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7FF34DA3-557B-D049-8E96-437258C62275}" xr6:coauthVersionLast="47" xr6:coauthVersionMax="47" xr10:uidLastSave="{00000000-0000-0000-0000-000000000000}"/>
  <bookViews>
    <workbookView xWindow="0" yWindow="500" windowWidth="28800" windowHeight="15940" tabRatio="899" xr2:uid="{00000000-000D-0000-FFFF-FFFF00000000}"/>
  </bookViews>
  <sheets>
    <sheet name="Heron View" sheetId="1" r:id="rId1"/>
    <sheet name="CPC" sheetId="2" r:id="rId2"/>
    <sheet name="CPC 24" sheetId="3" r:id="rId3"/>
    <sheet name="CPC 25" sheetId="4" r:id="rId4"/>
    <sheet name="DEVELOPERS FEES " sheetId="5" r:id="rId5"/>
    <sheet name="2024 Xero HV  " sheetId="6" r:id="rId6"/>
    <sheet name="2025 Xero HV" sheetId="7" r:id="rId7"/>
    <sheet name="TB HV 24" sheetId="8" r:id="rId8"/>
    <sheet name="TB HV 23" sheetId="9" r:id="rId9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5">#REF!</definedName>
    <definedName name="RawData" localSheetId="6">#REF!</definedName>
    <definedName name="RawData" localSheetId="2">#REF!</definedName>
    <definedName name="RawData" localSheetId="3">#REF!</definedName>
    <definedName name="RawData" localSheetId="4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9" l="1"/>
  <c r="E27" i="9"/>
  <c r="D27" i="9"/>
  <c r="F34" i="8"/>
  <c r="E34" i="8"/>
  <c r="D27" i="8"/>
  <c r="D34" i="8" s="1"/>
  <c r="I63" i="7"/>
  <c r="H63" i="7"/>
  <c r="G63" i="7"/>
  <c r="F63" i="7"/>
  <c r="E63" i="7"/>
  <c r="D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O43" i="7"/>
  <c r="O63" i="7" s="1"/>
  <c r="N43" i="7"/>
  <c r="N63" i="7" s="1"/>
  <c r="M43" i="7"/>
  <c r="M63" i="7" s="1"/>
  <c r="L43" i="7"/>
  <c r="L63" i="7" s="1"/>
  <c r="K43" i="7"/>
  <c r="K63" i="7" s="1"/>
  <c r="J43" i="7"/>
  <c r="J63" i="7" s="1"/>
  <c r="C43" i="7"/>
  <c r="C42" i="7"/>
  <c r="C41" i="7"/>
  <c r="C40" i="7"/>
  <c r="C39" i="7"/>
  <c r="C38" i="7"/>
  <c r="C37" i="7"/>
  <c r="C36" i="7"/>
  <c r="C35" i="7"/>
  <c r="C34" i="7"/>
  <c r="C33" i="7"/>
  <c r="C63" i="7" s="1"/>
  <c r="O30" i="7"/>
  <c r="N30" i="7"/>
  <c r="M30" i="7"/>
  <c r="L30" i="7"/>
  <c r="K30" i="7"/>
  <c r="J30" i="7"/>
  <c r="I30" i="7"/>
  <c r="H30" i="7"/>
  <c r="G30" i="7"/>
  <c r="F30" i="7"/>
  <c r="E30" i="7"/>
  <c r="D30" i="7"/>
  <c r="C29" i="7"/>
  <c r="C30" i="7" s="1"/>
  <c r="M24" i="7"/>
  <c r="L24" i="7"/>
  <c r="K24" i="7"/>
  <c r="I24" i="7"/>
  <c r="H24" i="7"/>
  <c r="G24" i="7"/>
  <c r="F24" i="7"/>
  <c r="E24" i="7"/>
  <c r="D24" i="7"/>
  <c r="O23" i="7"/>
  <c r="N23" i="7"/>
  <c r="M23" i="7"/>
  <c r="L23" i="7"/>
  <c r="K23" i="7"/>
  <c r="J23" i="7"/>
  <c r="C23" i="7"/>
  <c r="C22" i="7"/>
  <c r="C21" i="7"/>
  <c r="C20" i="7"/>
  <c r="C19" i="7"/>
  <c r="C18" i="7"/>
  <c r="C17" i="7"/>
  <c r="C16" i="7"/>
  <c r="O15" i="7"/>
  <c r="O24" i="7" s="1"/>
  <c r="N15" i="7"/>
  <c r="N24" i="7" s="1"/>
  <c r="M15" i="7"/>
  <c r="L15" i="7"/>
  <c r="K15" i="7"/>
  <c r="J15" i="7"/>
  <c r="C15" i="7" s="1"/>
  <c r="C14" i="7"/>
  <c r="C24" i="7" s="1"/>
  <c r="O11" i="7"/>
  <c r="J11" i="7"/>
  <c r="I11" i="7"/>
  <c r="I26" i="7" s="1"/>
  <c r="I65" i="7" s="1"/>
  <c r="H11" i="7"/>
  <c r="H26" i="7" s="1"/>
  <c r="H65" i="7" s="1"/>
  <c r="G11" i="7"/>
  <c r="G26" i="7" s="1"/>
  <c r="G65" i="7" s="1"/>
  <c r="F11" i="7"/>
  <c r="F26" i="7" s="1"/>
  <c r="F65" i="7" s="1"/>
  <c r="E11" i="7"/>
  <c r="E26" i="7" s="1"/>
  <c r="E65" i="7" s="1"/>
  <c r="D11" i="7"/>
  <c r="D26" i="7" s="1"/>
  <c r="D65" i="7" s="1"/>
  <c r="C10" i="7"/>
  <c r="C9" i="7"/>
  <c r="O8" i="7"/>
  <c r="N8" i="7"/>
  <c r="N11" i="7" s="1"/>
  <c r="M8" i="7"/>
  <c r="C8" i="7" s="1"/>
  <c r="C11" i="7" s="1"/>
  <c r="C26" i="7" s="1"/>
  <c r="L8" i="7"/>
  <c r="L11" i="7" s="1"/>
  <c r="L26" i="7" s="1"/>
  <c r="K8" i="7"/>
  <c r="K11" i="7" s="1"/>
  <c r="K26" i="7" s="1"/>
  <c r="J8" i="7"/>
  <c r="M66" i="6"/>
  <c r="O64" i="6"/>
  <c r="N64" i="6"/>
  <c r="M64" i="6"/>
  <c r="L64" i="6"/>
  <c r="K64" i="6"/>
  <c r="J64" i="6"/>
  <c r="I64" i="6"/>
  <c r="D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J44" i="6"/>
  <c r="I44" i="6"/>
  <c r="H44" i="6"/>
  <c r="H64" i="6" s="1"/>
  <c r="G44" i="6"/>
  <c r="G64" i="6" s="1"/>
  <c r="F44" i="6"/>
  <c r="F64" i="6" s="1"/>
  <c r="E44" i="6"/>
  <c r="E64" i="6" s="1"/>
  <c r="D44" i="6"/>
  <c r="C44" i="6" s="1"/>
  <c r="C43" i="6"/>
  <c r="C42" i="6"/>
  <c r="C41" i="6"/>
  <c r="C40" i="6"/>
  <c r="C39" i="6"/>
  <c r="C38" i="6"/>
  <c r="C37" i="6"/>
  <c r="C36" i="6"/>
  <c r="C35" i="6"/>
  <c r="C34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C30" i="6"/>
  <c r="M27" i="6"/>
  <c r="L27" i="6"/>
  <c r="L66" i="6" s="1"/>
  <c r="O25" i="6"/>
  <c r="N25" i="6"/>
  <c r="M25" i="6"/>
  <c r="L25" i="6"/>
  <c r="H25" i="6"/>
  <c r="J24" i="6"/>
  <c r="I24" i="6"/>
  <c r="E23" i="1" s="1"/>
  <c r="H24" i="6"/>
  <c r="F23" i="1" s="1"/>
  <c r="G24" i="6"/>
  <c r="L23" i="1" s="1"/>
  <c r="F24" i="6"/>
  <c r="M23" i="1" s="1"/>
  <c r="E24" i="6"/>
  <c r="E25" i="6" s="1"/>
  <c r="E27" i="6" s="1"/>
  <c r="D24" i="6"/>
  <c r="C24" i="6" s="1"/>
  <c r="C23" i="6"/>
  <c r="K22" i="6"/>
  <c r="C22" i="6"/>
  <c r="C21" i="6"/>
  <c r="C20" i="6"/>
  <c r="C19" i="6"/>
  <c r="K18" i="6"/>
  <c r="K25" i="6" s="1"/>
  <c r="K27" i="6" s="1"/>
  <c r="K66" i="6" s="1"/>
  <c r="C17" i="6"/>
  <c r="C16" i="6"/>
  <c r="J15" i="6"/>
  <c r="J25" i="6" s="1"/>
  <c r="I15" i="6"/>
  <c r="C15" i="6" s="1"/>
  <c r="H15" i="6"/>
  <c r="L22" i="1" s="1"/>
  <c r="G15" i="6"/>
  <c r="F15" i="6"/>
  <c r="E15" i="6"/>
  <c r="D15" i="6"/>
  <c r="D25" i="6" s="1"/>
  <c r="C14" i="6"/>
  <c r="O11" i="6"/>
  <c r="O27" i="6" s="1"/>
  <c r="O66" i="6" s="1"/>
  <c r="N11" i="6"/>
  <c r="N27" i="6" s="1"/>
  <c r="N66" i="6" s="1"/>
  <c r="M11" i="6"/>
  <c r="L11" i="6"/>
  <c r="K11" i="6"/>
  <c r="H11" i="6"/>
  <c r="H27" i="6" s="1"/>
  <c r="H66" i="6" s="1"/>
  <c r="G11" i="6"/>
  <c r="F11" i="6"/>
  <c r="E11" i="6"/>
  <c r="C10" i="6"/>
  <c r="C9" i="6"/>
  <c r="J8" i="6"/>
  <c r="J11" i="6" s="1"/>
  <c r="I8" i="6"/>
  <c r="N6" i="1" s="1"/>
  <c r="N4" i="1" s="1"/>
  <c r="H8" i="6"/>
  <c r="O6" i="1" s="1"/>
  <c r="O4" i="1" s="1"/>
  <c r="G8" i="6"/>
  <c r="F8" i="6"/>
  <c r="E8" i="6"/>
  <c r="D8" i="6"/>
  <c r="D11" i="6" s="1"/>
  <c r="D27" i="6" s="1"/>
  <c r="D66" i="6" s="1"/>
  <c r="B37" i="5"/>
  <c r="D32" i="5"/>
  <c r="D31" i="5"/>
  <c r="C28" i="5"/>
  <c r="C35" i="5" s="1"/>
  <c r="D25" i="5"/>
  <c r="I19" i="1" s="1"/>
  <c r="D23" i="5"/>
  <c r="J20" i="1" s="1"/>
  <c r="D20" i="5"/>
  <c r="D16" i="5"/>
  <c r="D14" i="5"/>
  <c r="D13" i="5"/>
  <c r="D11" i="5"/>
  <c r="D10" i="5"/>
  <c r="D7" i="5"/>
  <c r="D6" i="5"/>
  <c r="F5" i="5"/>
  <c r="D3" i="5" s="1"/>
  <c r="D2" i="5"/>
  <c r="M84" i="4"/>
  <c r="L84" i="4"/>
  <c r="K84" i="4"/>
  <c r="J84" i="4"/>
  <c r="I84" i="4"/>
  <c r="H84" i="4"/>
  <c r="G84" i="4"/>
  <c r="F84" i="4"/>
  <c r="E84" i="4"/>
  <c r="D84" i="4"/>
  <c r="C84" i="4"/>
  <c r="B84" i="4"/>
  <c r="M39" i="4"/>
  <c r="L39" i="4"/>
  <c r="K39" i="4"/>
  <c r="J39" i="4"/>
  <c r="I39" i="4"/>
  <c r="H39" i="4"/>
  <c r="G39" i="4"/>
  <c r="F39" i="4"/>
  <c r="E39" i="4"/>
  <c r="D39" i="4"/>
  <c r="C39" i="4"/>
  <c r="B39" i="4"/>
  <c r="G33" i="4"/>
  <c r="G86" i="4" s="1"/>
  <c r="F33" i="4"/>
  <c r="F86" i="4" s="1"/>
  <c r="E33" i="4"/>
  <c r="E86" i="4" s="1"/>
  <c r="K31" i="4"/>
  <c r="J31" i="4"/>
  <c r="I31" i="4"/>
  <c r="H31" i="4"/>
  <c r="H33" i="4" s="1"/>
  <c r="H86" i="4" s="1"/>
  <c r="G31" i="4"/>
  <c r="F31" i="4"/>
  <c r="E31" i="4"/>
  <c r="D31" i="4"/>
  <c r="C31" i="4"/>
  <c r="B31" i="4"/>
  <c r="M23" i="4"/>
  <c r="M13" i="1" s="1"/>
  <c r="L23" i="4"/>
  <c r="L31" i="4" s="1"/>
  <c r="K23" i="4"/>
  <c r="J23" i="4"/>
  <c r="I23" i="4"/>
  <c r="H23" i="4"/>
  <c r="M9" i="4"/>
  <c r="L9" i="4"/>
  <c r="K9" i="4"/>
  <c r="K33" i="4" s="1"/>
  <c r="K86" i="4" s="1"/>
  <c r="J9" i="4"/>
  <c r="J33" i="4" s="1"/>
  <c r="J86" i="4" s="1"/>
  <c r="I9" i="4"/>
  <c r="I33" i="4" s="1"/>
  <c r="I86" i="4" s="1"/>
  <c r="H9" i="4"/>
  <c r="G9" i="4"/>
  <c r="F9" i="4"/>
  <c r="E9" i="4"/>
  <c r="D9" i="4"/>
  <c r="D33" i="4" s="1"/>
  <c r="D86" i="4" s="1"/>
  <c r="C9" i="4"/>
  <c r="C33" i="4" s="1"/>
  <c r="C86" i="4" s="1"/>
  <c r="B9" i="4"/>
  <c r="B33" i="4" s="1"/>
  <c r="B86" i="4" s="1"/>
  <c r="M84" i="3"/>
  <c r="L84" i="3"/>
  <c r="K84" i="3"/>
  <c r="J84" i="3"/>
  <c r="I84" i="3"/>
  <c r="H84" i="3"/>
  <c r="G84" i="3"/>
  <c r="F84" i="3"/>
  <c r="E84" i="3"/>
  <c r="D84" i="3"/>
  <c r="C84" i="3"/>
  <c r="B84" i="3"/>
  <c r="M39" i="3"/>
  <c r="L39" i="3"/>
  <c r="K39" i="3"/>
  <c r="J39" i="3"/>
  <c r="I39" i="3"/>
  <c r="H39" i="3"/>
  <c r="G39" i="3"/>
  <c r="F39" i="3"/>
  <c r="E39" i="3"/>
  <c r="D39" i="3"/>
  <c r="C39" i="3"/>
  <c r="B39" i="3"/>
  <c r="M31" i="3"/>
  <c r="L31" i="3"/>
  <c r="K31" i="3"/>
  <c r="J31" i="3"/>
  <c r="I31" i="3"/>
  <c r="H31" i="3"/>
  <c r="G31" i="3"/>
  <c r="F31" i="3"/>
  <c r="E31" i="3"/>
  <c r="D31" i="3"/>
  <c r="C31" i="3"/>
  <c r="B31" i="3"/>
  <c r="M9" i="3"/>
  <c r="M33" i="3" s="1"/>
  <c r="M86" i="3" s="1"/>
  <c r="L9" i="3"/>
  <c r="L33" i="3" s="1"/>
  <c r="L86" i="3" s="1"/>
  <c r="K9" i="3"/>
  <c r="K33" i="3" s="1"/>
  <c r="K86" i="3" s="1"/>
  <c r="J9" i="3"/>
  <c r="J33" i="3" s="1"/>
  <c r="J86" i="3" s="1"/>
  <c r="I9" i="3"/>
  <c r="I33" i="3" s="1"/>
  <c r="I86" i="3" s="1"/>
  <c r="H9" i="3"/>
  <c r="H33" i="3" s="1"/>
  <c r="H86" i="3" s="1"/>
  <c r="G9" i="3"/>
  <c r="G33" i="3" s="1"/>
  <c r="G86" i="3" s="1"/>
  <c r="F9" i="3"/>
  <c r="F33" i="3" s="1"/>
  <c r="F86" i="3" s="1"/>
  <c r="E9" i="3"/>
  <c r="E33" i="3" s="1"/>
  <c r="E86" i="3" s="1"/>
  <c r="D9" i="3"/>
  <c r="D33" i="3" s="1"/>
  <c r="D86" i="3" s="1"/>
  <c r="C9" i="3"/>
  <c r="C33" i="3" s="1"/>
  <c r="C86" i="3" s="1"/>
  <c r="B9" i="3"/>
  <c r="B33" i="3" s="1"/>
  <c r="B86" i="3" s="1"/>
  <c r="D144" i="2"/>
  <c r="C144" i="2"/>
  <c r="B144" i="2"/>
  <c r="D72" i="2"/>
  <c r="C72" i="2"/>
  <c r="B72" i="2"/>
  <c r="D63" i="2"/>
  <c r="C63" i="2"/>
  <c r="B63" i="2"/>
  <c r="B65" i="2" s="1"/>
  <c r="B146" i="2" s="1"/>
  <c r="D14" i="2"/>
  <c r="D65" i="2" s="1"/>
  <c r="D146" i="2" s="1"/>
  <c r="C14" i="2"/>
  <c r="C65" i="2" s="1"/>
  <c r="C146" i="2" s="1"/>
  <c r="B14" i="2"/>
  <c r="P53" i="1"/>
  <c r="O53" i="1"/>
  <c r="N53" i="1"/>
  <c r="M53" i="1"/>
  <c r="M33" i="1" s="1"/>
  <c r="L53" i="1"/>
  <c r="K53" i="1"/>
  <c r="J53" i="1"/>
  <c r="I53" i="1"/>
  <c r="H53" i="1"/>
  <c r="G53" i="1"/>
  <c r="F53" i="1"/>
  <c r="E53" i="1"/>
  <c r="E33" i="1" s="1"/>
  <c r="D53" i="1"/>
  <c r="C53" i="1"/>
  <c r="B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P39" i="1"/>
  <c r="O39" i="1"/>
  <c r="N39" i="1"/>
  <c r="M39" i="1"/>
  <c r="L39" i="1"/>
  <c r="L33" i="1" s="1"/>
  <c r="K39" i="1"/>
  <c r="J39" i="1"/>
  <c r="I39" i="1"/>
  <c r="H39" i="1"/>
  <c r="G39" i="1"/>
  <c r="F39" i="1"/>
  <c r="E39" i="1"/>
  <c r="D39" i="1"/>
  <c r="D33" i="1" s="1"/>
  <c r="C39" i="1"/>
  <c r="B39" i="1"/>
  <c r="P36" i="1"/>
  <c r="O36" i="1"/>
  <c r="N36" i="1"/>
  <c r="M36" i="1"/>
  <c r="L36" i="1"/>
  <c r="K36" i="1"/>
  <c r="K33" i="1" s="1"/>
  <c r="J36" i="1"/>
  <c r="I36" i="1"/>
  <c r="H36" i="1"/>
  <c r="G36" i="1"/>
  <c r="F36" i="1"/>
  <c r="E36" i="1"/>
  <c r="D36" i="1"/>
  <c r="C36" i="1"/>
  <c r="C33" i="1" s="1"/>
  <c r="B36" i="1"/>
  <c r="P35" i="1"/>
  <c r="P33" i="1" s="1"/>
  <c r="O35" i="1"/>
  <c r="O33" i="1" s="1"/>
  <c r="N35" i="1"/>
  <c r="M35" i="1"/>
  <c r="L35" i="1"/>
  <c r="K35" i="1"/>
  <c r="J35" i="1"/>
  <c r="J33" i="1" s="1"/>
  <c r="I35" i="1"/>
  <c r="I33" i="1" s="1"/>
  <c r="H35" i="1"/>
  <c r="H33" i="1" s="1"/>
  <c r="G35" i="1"/>
  <c r="G33" i="1" s="1"/>
  <c r="F35" i="1"/>
  <c r="E35" i="1"/>
  <c r="D35" i="1"/>
  <c r="C35" i="1"/>
  <c r="B35" i="1"/>
  <c r="B33" i="1" s="1"/>
  <c r="N33" i="1"/>
  <c r="F33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J23" i="1"/>
  <c r="D23" i="1"/>
  <c r="C23" i="1"/>
  <c r="B23" i="1"/>
  <c r="I22" i="1"/>
  <c r="C22" i="1"/>
  <c r="B22" i="1"/>
  <c r="P21" i="1"/>
  <c r="H21" i="1"/>
  <c r="G21" i="1"/>
  <c r="F21" i="1"/>
  <c r="E21" i="1"/>
  <c r="D21" i="1"/>
  <c r="C21" i="1"/>
  <c r="B21" i="1"/>
  <c r="O20" i="1"/>
  <c r="G20" i="1"/>
  <c r="O19" i="1"/>
  <c r="N19" i="1"/>
  <c r="G19" i="1"/>
  <c r="F19" i="1"/>
  <c r="P17" i="1"/>
  <c r="P58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B16" i="1"/>
  <c r="D14" i="1"/>
  <c r="E14" i="1" s="1"/>
  <c r="N13" i="1"/>
  <c r="J13" i="1"/>
  <c r="I13" i="1"/>
  <c r="H13" i="1"/>
  <c r="G13" i="1"/>
  <c r="F13" i="1"/>
  <c r="E13" i="1"/>
  <c r="D13" i="1"/>
  <c r="C13" i="1"/>
  <c r="B13" i="1"/>
  <c r="L6" i="1"/>
  <c r="L4" i="1" s="1"/>
  <c r="D6" i="1"/>
  <c r="D4" i="1" s="1"/>
  <c r="C6" i="1"/>
  <c r="B6" i="1"/>
  <c r="C4" i="1"/>
  <c r="B4" i="1"/>
  <c r="C65" i="7" l="1"/>
  <c r="N26" i="7"/>
  <c r="N65" i="7" s="1"/>
  <c r="L33" i="4"/>
  <c r="L86" i="4" s="1"/>
  <c r="C64" i="6"/>
  <c r="D28" i="5"/>
  <c r="P18" i="1"/>
  <c r="H18" i="1"/>
  <c r="O18" i="1"/>
  <c r="N18" i="1"/>
  <c r="F18" i="1"/>
  <c r="L18" i="1"/>
  <c r="D18" i="1"/>
  <c r="M18" i="1"/>
  <c r="K18" i="1"/>
  <c r="C18" i="1"/>
  <c r="J18" i="1"/>
  <c r="B18" i="1"/>
  <c r="G18" i="1"/>
  <c r="I18" i="1"/>
  <c r="E18" i="1"/>
  <c r="O26" i="7"/>
  <c r="O65" i="7" s="1"/>
  <c r="K65" i="7"/>
  <c r="F14" i="1"/>
  <c r="G14" i="1" s="1"/>
  <c r="H14" i="1" s="1"/>
  <c r="I14" i="1" s="1"/>
  <c r="J14" i="1" s="1"/>
  <c r="E66" i="6"/>
  <c r="J27" i="6"/>
  <c r="J66" i="6" s="1"/>
  <c r="L65" i="7"/>
  <c r="H6" i="1"/>
  <c r="H4" i="1" s="1"/>
  <c r="P6" i="1"/>
  <c r="P4" i="1" s="1"/>
  <c r="B19" i="1"/>
  <c r="J19" i="1"/>
  <c r="C20" i="1"/>
  <c r="K20" i="1"/>
  <c r="L21" i="1"/>
  <c r="E22" i="1"/>
  <c r="M22" i="1"/>
  <c r="N23" i="1"/>
  <c r="M31" i="4"/>
  <c r="M33" i="4" s="1"/>
  <c r="M86" i="4" s="1"/>
  <c r="C18" i="6"/>
  <c r="C25" i="6" s="1"/>
  <c r="M6" i="1"/>
  <c r="M4" i="1" s="1"/>
  <c r="I21" i="1"/>
  <c r="K22" i="1"/>
  <c r="C8" i="6"/>
  <c r="C11" i="6" s="1"/>
  <c r="I6" i="1"/>
  <c r="I4" i="1" s="1"/>
  <c r="K13" i="1"/>
  <c r="C19" i="1"/>
  <c r="K19" i="1"/>
  <c r="D20" i="1"/>
  <c r="L20" i="1"/>
  <c r="M21" i="1"/>
  <c r="F22" i="1"/>
  <c r="N22" i="1"/>
  <c r="G23" i="1"/>
  <c r="O23" i="1"/>
  <c r="I11" i="6"/>
  <c r="I27" i="6" s="1"/>
  <c r="I66" i="6" s="1"/>
  <c r="I25" i="6"/>
  <c r="J6" i="1"/>
  <c r="J4" i="1" s="1"/>
  <c r="L13" i="1"/>
  <c r="D19" i="1"/>
  <c r="L19" i="1"/>
  <c r="E20" i="1"/>
  <c r="M20" i="1"/>
  <c r="N21" i="1"/>
  <c r="G22" i="1"/>
  <c r="O22" i="1"/>
  <c r="H23" i="1"/>
  <c r="P23" i="1"/>
  <c r="M11" i="7"/>
  <c r="M26" i="7" s="1"/>
  <c r="M65" i="7" s="1"/>
  <c r="J24" i="7"/>
  <c r="J26" i="7" s="1"/>
  <c r="J65" i="7" s="1"/>
  <c r="G25" i="6"/>
  <c r="G27" i="6" s="1"/>
  <c r="G66" i="6" s="1"/>
  <c r="O13" i="1"/>
  <c r="H20" i="1"/>
  <c r="K23" i="1"/>
  <c r="K6" i="1"/>
  <c r="K4" i="1" s="1"/>
  <c r="E19" i="1"/>
  <c r="M19" i="1"/>
  <c r="F20" i="1"/>
  <c r="N20" i="1"/>
  <c r="O21" i="1"/>
  <c r="H22" i="1"/>
  <c r="P22" i="1"/>
  <c r="I23" i="1"/>
  <c r="F25" i="6"/>
  <c r="F27" i="6" s="1"/>
  <c r="F66" i="6" s="1"/>
  <c r="E6" i="1"/>
  <c r="E4" i="1" s="1"/>
  <c r="P20" i="1"/>
  <c r="J22" i="1"/>
  <c r="F6" i="1"/>
  <c r="F4" i="1" s="1"/>
  <c r="P13" i="1"/>
  <c r="H19" i="1"/>
  <c r="P19" i="1"/>
  <c r="I20" i="1"/>
  <c r="J21" i="1"/>
  <c r="G6" i="1"/>
  <c r="G4" i="1" s="1"/>
  <c r="B20" i="1"/>
  <c r="K21" i="1"/>
  <c r="D22" i="1"/>
  <c r="M15" i="1" l="1"/>
  <c r="E15" i="1"/>
  <c r="E11" i="1" s="1"/>
  <c r="D15" i="1"/>
  <c r="D11" i="1" s="1"/>
  <c r="D31" i="1" s="1"/>
  <c r="D56" i="1" s="1"/>
  <c r="C15" i="1"/>
  <c r="C11" i="1" s="1"/>
  <c r="C31" i="1" s="1"/>
  <c r="C56" i="1" s="1"/>
  <c r="B15" i="1"/>
  <c r="B11" i="1" s="1"/>
  <c r="B31" i="1" s="1"/>
  <c r="B56" i="1" s="1"/>
  <c r="D35" i="5"/>
  <c r="E35" i="5" s="1"/>
  <c r="I15" i="1"/>
  <c r="K15" i="1"/>
  <c r="J15" i="1"/>
  <c r="P15" i="1"/>
  <c r="H15" i="1"/>
  <c r="H11" i="1" s="1"/>
  <c r="H31" i="1" s="1"/>
  <c r="H56" i="1" s="1"/>
  <c r="O15" i="1"/>
  <c r="G15" i="1"/>
  <c r="G11" i="1" s="1"/>
  <c r="G31" i="1" s="1"/>
  <c r="G56" i="1" s="1"/>
  <c r="L15" i="1"/>
  <c r="N15" i="1"/>
  <c r="F15" i="1"/>
  <c r="J11" i="1"/>
  <c r="K14" i="1"/>
  <c r="L14" i="1" s="1"/>
  <c r="M14" i="1" s="1"/>
  <c r="I11" i="1"/>
  <c r="K11" i="1"/>
  <c r="I31" i="1"/>
  <c r="I56" i="1" s="1"/>
  <c r="F11" i="1"/>
  <c r="F31" i="1" s="1"/>
  <c r="F56" i="1" s="1"/>
  <c r="E31" i="1"/>
  <c r="E56" i="1" s="1"/>
  <c r="C27" i="6"/>
  <c r="C66" i="6" s="1"/>
  <c r="K31" i="1"/>
  <c r="K56" i="1" s="1"/>
  <c r="J31" i="1"/>
  <c r="J56" i="1" s="1"/>
  <c r="N14" i="1" l="1"/>
  <c r="M11" i="1"/>
  <c r="M31" i="1" s="1"/>
  <c r="M56" i="1" s="1"/>
  <c r="L11" i="1"/>
  <c r="L31" i="1" s="1"/>
  <c r="L56" i="1" s="1"/>
  <c r="O14" i="1" l="1"/>
  <c r="N11" i="1"/>
  <c r="N31" i="1" s="1"/>
  <c r="N56" i="1" s="1"/>
  <c r="P14" i="1" l="1"/>
  <c r="P11" i="1" s="1"/>
  <c r="P31" i="1" s="1"/>
  <c r="P56" i="1" s="1"/>
  <c r="O11" i="1"/>
  <c r="O31" i="1" s="1"/>
  <c r="O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Deric</author>
  </authors>
  <commentList>
    <comment ref="D8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Deric:
4xBlock D
4xBlock N
5xBlock O
4xBlock J</t>
        </r>
      </text>
    </comment>
    <comment ref="E8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Deric:
4xBlock D
4XBlock N</t>
        </r>
      </text>
    </comment>
    <comment ref="F8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Deric:
3xBlock P</t>
        </r>
      </text>
    </comment>
    <comment ref="G8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Deric:
6xBlock C
3xBlock P</t>
        </r>
      </text>
    </comment>
    <comment ref="H8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Deric:
6xBlock C
3XBlock P</t>
        </r>
      </text>
    </comment>
    <comment ref="I8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Deric:
3xBlock C</t>
        </r>
      </text>
    </comment>
    <comment ref="J8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Deric:
3xBlock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Deric</author>
  </authors>
  <commentList>
    <comment ref="J8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Deric:
4xBlock E
6xBlock G
4xBlock I
4xBlock F</t>
        </r>
      </text>
    </comment>
    <comment ref="K8" authorId="0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Deric:
8xBlock K
4xBlock L
4xBlock E
6xBlock G
4xBlock I
4xBlock F</t>
        </r>
      </text>
    </comment>
    <comment ref="L8" authorId="0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Deric:
8xBlock K
4xBlock L
4xBlock E</t>
        </r>
      </text>
    </comment>
    <comment ref="M8" authorId="0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Deric:
8xBlock K</t>
        </r>
      </text>
    </comment>
    <comment ref="N8" authorId="0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Deric:
4XBlock D
5xBlock O
4xBlock M
4xBlock H
4xBlock J</t>
        </r>
      </text>
    </comment>
    <comment ref="O8" authorId="0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Deric:
4xBlock D
4xBlock N
5xBlock O
4xBlock M
4xBlock H
4xBlock J</t>
        </r>
      </text>
    </comment>
  </commentList>
</comments>
</file>

<file path=xl/sharedStrings.xml><?xml version="1.0" encoding="utf-8"?>
<sst xmlns="http://schemas.openxmlformats.org/spreadsheetml/2006/main" count="742" uniqueCount="372">
  <si>
    <t>Actual</t>
  </si>
  <si>
    <t>Forecast</t>
  </si>
  <si>
    <t>Heron View P&amp;L</t>
  </si>
  <si>
    <t>30 Jun 23</t>
  </si>
  <si>
    <t>31 Jul 23</t>
  </si>
  <si>
    <t>31 Aug 23</t>
  </si>
  <si>
    <t>30 Sep 23</t>
  </si>
  <si>
    <t>31 Oct 23</t>
  </si>
  <si>
    <t>30 Nov 23</t>
  </si>
  <si>
    <t>31 Dec 23</t>
  </si>
  <si>
    <t>31 Jan 24</t>
  </si>
  <si>
    <t>29 Feb 24</t>
  </si>
  <si>
    <t>31 Mar 24</t>
  </si>
  <si>
    <t>30 Apr 24</t>
  </si>
  <si>
    <t>31 May 24</t>
  </si>
  <si>
    <t>30 Jun 24</t>
  </si>
  <si>
    <t>31 Jul 24</t>
  </si>
  <si>
    <t>31 Aug 24</t>
  </si>
  <si>
    <t>Revenue</t>
  </si>
  <si>
    <t>Sales</t>
  </si>
  <si>
    <t>Sales - Heron View occupational rent</t>
  </si>
  <si>
    <t>Bond Origination</t>
  </si>
  <si>
    <t>Cost of sales</t>
  </si>
  <si>
    <t>Construction</t>
  </si>
  <si>
    <t>Rent, Salaries &amp; wages</t>
  </si>
  <si>
    <t>Professional fees</t>
  </si>
  <si>
    <t xml:space="preserve">Professional fees CPSD </t>
  </si>
  <si>
    <t>Professional fees Opp Invest</t>
  </si>
  <si>
    <t>Land</t>
  </si>
  <si>
    <t>Civils and electrical</t>
  </si>
  <si>
    <t>COCT Bulk Levy</t>
  </si>
  <si>
    <t>Investor interest</t>
  </si>
  <si>
    <t>Commissions</t>
  </si>
  <si>
    <t>L&amp;S</t>
  </si>
  <si>
    <t>Levies</t>
  </si>
  <si>
    <t>Other</t>
  </si>
  <si>
    <t>Inverters</t>
  </si>
  <si>
    <t>Unforseen</t>
  </si>
  <si>
    <t>Rates clearance</t>
  </si>
  <si>
    <t>COS - Legal fees</t>
  </si>
  <si>
    <t>Gross profit/(loss)</t>
  </si>
  <si>
    <t>Expenses</t>
  </si>
  <si>
    <t>Advertising</t>
  </si>
  <si>
    <t>Admin Fee - Momentum</t>
  </si>
  <si>
    <t>Bank charges</t>
  </si>
  <si>
    <t>Indirect Expenses - CPC</t>
  </si>
  <si>
    <t>Consulting fees - Trustees</t>
  </si>
  <si>
    <t>Computer expenses</t>
  </si>
  <si>
    <t>Electricity</t>
  </si>
  <si>
    <t>Entertainment</t>
  </si>
  <si>
    <t>Insurance</t>
  </si>
  <si>
    <t>Interest Paid</t>
  </si>
  <si>
    <t>Printing &amp; Stationery</t>
  </si>
  <si>
    <t>Rates</t>
  </si>
  <si>
    <t>Refuse</t>
  </si>
  <si>
    <t>Repairs &amp; maintenance</t>
  </si>
  <si>
    <t>Secretarial fees</t>
  </si>
  <si>
    <t>Staff welfare</t>
  </si>
  <si>
    <t>Water</t>
  </si>
  <si>
    <t>Subscriptions</t>
  </si>
  <si>
    <t>Security</t>
  </si>
  <si>
    <t>Net profit/(loss)</t>
  </si>
  <si>
    <t>Opp Invest</t>
  </si>
  <si>
    <t>CPSD</t>
  </si>
  <si>
    <t>Profit and Loss</t>
  </si>
  <si>
    <t>Cape Projects Construction (Pty) Ltd</t>
  </si>
  <si>
    <t>For the year ended 29 February 2024</t>
  </si>
  <si>
    <t>Account</t>
  </si>
  <si>
    <t>2024</t>
  </si>
  <si>
    <t>2023</t>
  </si>
  <si>
    <t>2022</t>
  </si>
  <si>
    <t>Trading Income</t>
  </si>
  <si>
    <t>Discount Received for Cash</t>
  </si>
  <si>
    <t>Fees - Construction - Endulini</t>
  </si>
  <si>
    <t>Fees - Construction - Endulini P and G</t>
  </si>
  <si>
    <t>Fees - Construction - Heron</t>
  </si>
  <si>
    <t>Fees - Construction - Heron Fields</t>
  </si>
  <si>
    <t>Fees - Construction - Heron Fields P&amp;G</t>
  </si>
  <si>
    <t>Total Trading Income</t>
  </si>
  <si>
    <t>Cost of Sales</t>
  </si>
  <si>
    <t>COS - Bakhoven</t>
  </si>
  <si>
    <t>COS - Electricity Cost Endulini</t>
  </si>
  <si>
    <t>COS - Electricity Cost Heron Field</t>
  </si>
  <si>
    <t>COS - Endulini - Cleaning</t>
  </si>
  <si>
    <t>COS - Endulini - Consumables</t>
  </si>
  <si>
    <t>COS - Endulini - Fuel</t>
  </si>
  <si>
    <t>COS - Endulini - Health &amp; Safety</t>
  </si>
  <si>
    <t>COS - Endulini - Printing &amp; Stationary</t>
  </si>
  <si>
    <t>COS - Endulini - Security</t>
  </si>
  <si>
    <t>COS - Endulini - Site Labour</t>
  </si>
  <si>
    <t>COS - Endulini - Small Assets</t>
  </si>
  <si>
    <t>COS - Endulini - Telephone &amp; Internet</t>
  </si>
  <si>
    <t>COS - Endulini Construction</t>
  </si>
  <si>
    <t>COS - Endulini P and G</t>
  </si>
  <si>
    <t>COS - External Works</t>
  </si>
  <si>
    <t>COS - Health _AND_ Safety (2002/240)</t>
  </si>
  <si>
    <t>COS - Heron - Internet</t>
  </si>
  <si>
    <t>COS - Heron - Sales office Staff refreshments</t>
  </si>
  <si>
    <t>COS - Heron Fields - Construction</t>
  </si>
  <si>
    <t>COS - Heron Fields - Garden Services</t>
  </si>
  <si>
    <t>COS - Heron Fields - Health &amp; Safety</t>
  </si>
  <si>
    <t>COS - Heron Fields - Labourers</t>
  </si>
  <si>
    <t>COS - Heron Fields - P &amp; G</t>
  </si>
  <si>
    <t>COS - Heron Fields - Printing &amp; Stationary</t>
  </si>
  <si>
    <t>COS - Heron Fields - Security</t>
  </si>
  <si>
    <t>COS - Heron Projects insurance</t>
  </si>
  <si>
    <t>COS - Heron View - Construction</t>
  </si>
  <si>
    <t>COS - Heron View - P&amp;G</t>
  </si>
  <si>
    <t>COS - Heron View - Printing &amp; Stationary</t>
  </si>
  <si>
    <t>COS - Insurance</t>
  </si>
  <si>
    <t>COS - Internet - Fibre SUPPLY _AND_ FIT</t>
  </si>
  <si>
    <t>COS - Plumbing Sanware</t>
  </si>
  <si>
    <t>COS - Repairs &amp; Maintenance - Endulini Sales Office</t>
  </si>
  <si>
    <t>COS - Repairs &amp; Maintenance - Heron Sales Office</t>
  </si>
  <si>
    <t>COS - Repairs &amp; Maintenance - SW Southwark</t>
  </si>
  <si>
    <t>COS - Security - Guarding</t>
  </si>
  <si>
    <t>COS - Site Establishment - Consumables</t>
  </si>
  <si>
    <t>COS - Site Establishment - Security</t>
  </si>
  <si>
    <t>COS - Site Establishment Water Pump</t>
  </si>
  <si>
    <t>COS - Site Labour Labourers</t>
  </si>
  <si>
    <t>COS - Southwark - Printing</t>
  </si>
  <si>
    <t>COS - Units - Cement</t>
  </si>
  <si>
    <t>COS - Units - Outside work - Paving</t>
  </si>
  <si>
    <t>COS - Units Plumbing Supply_AND_Fit</t>
  </si>
  <si>
    <t>Cost of Sales - SouthWark Project</t>
  </si>
  <si>
    <t>Total Cost of Sales</t>
  </si>
  <si>
    <t>Gross Profit</t>
  </si>
  <si>
    <t>Other Income</t>
  </si>
  <si>
    <t>Insurance recovery</t>
  </si>
  <si>
    <t>Interest Received - FNB</t>
  </si>
  <si>
    <t>Interest received - Momentum</t>
  </si>
  <si>
    <t>Rent - CT Office</t>
  </si>
  <si>
    <t>Total Other Income</t>
  </si>
  <si>
    <t>Operating Expenses</t>
  </si>
  <si>
    <t>Accounting - Deric Dudley</t>
  </si>
  <si>
    <t>Accounting - Janine Theart</t>
  </si>
  <si>
    <t>Accounting - Warwick</t>
  </si>
  <si>
    <t>Accounting Fee - PayrollWorx</t>
  </si>
  <si>
    <t>Accounting Fees - Audit</t>
  </si>
  <si>
    <t>Accounting Fees - Other</t>
  </si>
  <si>
    <t>Accounting Fees - Tax Dept.</t>
  </si>
  <si>
    <t>Admin - Subcontractors</t>
  </si>
  <si>
    <t>Advertising - Design Fees</t>
  </si>
  <si>
    <t>Advertising - Other</t>
  </si>
  <si>
    <t>Advertising _AND_ Promotions</t>
  </si>
  <si>
    <t>Bank Charges</t>
  </si>
  <si>
    <t>BIBC Company Contribution</t>
  </si>
  <si>
    <t>BIBC Employee Contribution</t>
  </si>
  <si>
    <t>Cell Phone - Nick Morgan</t>
  </si>
  <si>
    <t>Cleaning</t>
  </si>
  <si>
    <t>Computer Exp - IT, Internet/Hosting Fee</t>
  </si>
  <si>
    <t>Computer Expenses</t>
  </si>
  <si>
    <t>Consulting Fees</t>
  </si>
  <si>
    <t>Consulting Fees - Admin and Finance</t>
  </si>
  <si>
    <t>Consulting fees - Herbert du Plessis</t>
  </si>
  <si>
    <t>Consulting fees - Quabeka</t>
  </si>
  <si>
    <t>Courier _AND_ Postage</t>
  </si>
  <si>
    <t>Depreciation - Computer Equipment</t>
  </si>
  <si>
    <t>Depreciation - Furniture and Fittings</t>
  </si>
  <si>
    <t>Depreciation - Generator Fixed Asset</t>
  </si>
  <si>
    <t>Depreciation - Motor vehicle</t>
  </si>
  <si>
    <t>Electricity _AND_ Water</t>
  </si>
  <si>
    <t>Entertainment Expenses</t>
  </si>
  <si>
    <t>Health _AND_ Safety - Labour Department</t>
  </si>
  <si>
    <t>Insurance - RBS</t>
  </si>
  <si>
    <t>Insurance - Santam</t>
  </si>
  <si>
    <t>Interest Paid - BIBC</t>
  </si>
  <si>
    <t>Interest Paid - Blou Mamba Trust</t>
  </si>
  <si>
    <t>Interest Paid - SARS</t>
  </si>
  <si>
    <t>Interest Paid - Suppliers</t>
  </si>
  <si>
    <t>Interest Paid - VAF Toyota</t>
  </si>
  <si>
    <t>Legal Fees</t>
  </si>
  <si>
    <t>Motor Vehicle - Insurance _AND_ Licence</t>
  </si>
  <si>
    <t>Motor Vehicle - Petrol _AND_ Oil</t>
  </si>
  <si>
    <t>Motor Vehicle - Repairs _AND_ Maint.</t>
  </si>
  <si>
    <t>Motor Vehicle Expenses</t>
  </si>
  <si>
    <t>PAYE Contributions</t>
  </si>
  <si>
    <t>Printing - Printer rental</t>
  </si>
  <si>
    <t>Printing _AND_ Stationery</t>
  </si>
  <si>
    <t>Rent Paid</t>
  </si>
  <si>
    <t>Repairs _AND_ Maintenance</t>
  </si>
  <si>
    <t>Salaries &amp; Wages - WCA</t>
  </si>
  <si>
    <t>Salaries _AND_ Wages</t>
  </si>
  <si>
    <t>Salaries and Wages - Shorty</t>
  </si>
  <si>
    <t>SDL Contributions</t>
  </si>
  <si>
    <t>Secretarial fees - CIPC</t>
  </si>
  <si>
    <t>Small Assets</t>
  </si>
  <si>
    <t>Staff Training</t>
  </si>
  <si>
    <t>Staff Welfare _AND_ Refreshmts</t>
  </si>
  <si>
    <t>Subscription - Candy software</t>
  </si>
  <si>
    <t>Subscriptions - SAIPA</t>
  </si>
  <si>
    <t>Subscriptions - Smartsheet</t>
  </si>
  <si>
    <t>Subscriptions &amp; Licenses - Caseware</t>
  </si>
  <si>
    <t>Subscriptions &amp; Licenses - Sage payroll</t>
  </si>
  <si>
    <t>Subscriptions &amp; Licenses - Xero</t>
  </si>
  <si>
    <t>Subscriptions / Licenses</t>
  </si>
  <si>
    <t>Telephone _AND_ Fax</t>
  </si>
  <si>
    <t>Travel - Local</t>
  </si>
  <si>
    <t>UIF Company Contributions</t>
  </si>
  <si>
    <t>UIF Employee Contribution</t>
  </si>
  <si>
    <t>Total Operating Expenses</t>
  </si>
  <si>
    <t>Net Profit</t>
  </si>
  <si>
    <t>For the month ended 29 February 2024</t>
  </si>
  <si>
    <t>Feb 2024</t>
  </si>
  <si>
    <t>Jan 2024</t>
  </si>
  <si>
    <t>Dec 2023</t>
  </si>
  <si>
    <t>Nov 2023</t>
  </si>
  <si>
    <t>Oct 2023</t>
  </si>
  <si>
    <t>Sep 2023</t>
  </si>
  <si>
    <t>Aug 2023</t>
  </si>
  <si>
    <t>Jul 2023</t>
  </si>
  <si>
    <t>Jun 2023</t>
  </si>
  <si>
    <t>May 2023</t>
  </si>
  <si>
    <t>Apr 2023</t>
  </si>
  <si>
    <t>Mar 2023</t>
  </si>
  <si>
    <t>COS - Repairs &amp; Maintenance - SH Soho</t>
  </si>
  <si>
    <t>For the month ended 28 February 2025</t>
  </si>
  <si>
    <t>HF</t>
  </si>
  <si>
    <t>HV</t>
  </si>
  <si>
    <t>Units</t>
  </si>
  <si>
    <t>7610/395</t>
  </si>
  <si>
    <t>HF CIP NHBRC</t>
  </si>
  <si>
    <t>7620/100</t>
  </si>
  <si>
    <t>Heron View Land</t>
  </si>
  <si>
    <t>7620/101</t>
  </si>
  <si>
    <t>HF CIP Bond Registration Fee</t>
  </si>
  <si>
    <t>7620/102</t>
  </si>
  <si>
    <t>HF CIP Transfer Fee</t>
  </si>
  <si>
    <t>Total</t>
  </si>
  <si>
    <t>7620/220</t>
  </si>
  <si>
    <t>HF CIP Architectural Designs</t>
  </si>
  <si>
    <t>7620/230</t>
  </si>
  <si>
    <t>HF CIP Construction Management</t>
  </si>
  <si>
    <t>7620/240</t>
  </si>
  <si>
    <t>HF CIP Civil Engineering</t>
  </si>
  <si>
    <t>7620/245</t>
  </si>
  <si>
    <t>HF CIP Development fee</t>
  </si>
  <si>
    <t>7620/250</t>
  </si>
  <si>
    <t>HF CIP Land Surveyor</t>
  </si>
  <si>
    <t>7620/255</t>
  </si>
  <si>
    <t>HF CIP Landscaping</t>
  </si>
  <si>
    <t>7620/260</t>
  </si>
  <si>
    <t>HF CIP Mechanical Engineers</t>
  </si>
  <si>
    <t>7620/605</t>
  </si>
  <si>
    <t>HF CIP Structural Engineers</t>
  </si>
  <si>
    <t>7620/265</t>
  </si>
  <si>
    <t>HF CIP Health &amp; Safety</t>
  </si>
  <si>
    <t>7620/270</t>
  </si>
  <si>
    <t>HF CIP Geotechnical</t>
  </si>
  <si>
    <t>7620/275</t>
  </si>
  <si>
    <t>HF CIP Retaining Wall</t>
  </si>
  <si>
    <t>HV CIP Architectural Designs</t>
  </si>
  <si>
    <t>7620/630</t>
  </si>
  <si>
    <t>HV CIP Health &amp; Safety</t>
  </si>
  <si>
    <t>7620/290</t>
  </si>
  <si>
    <t>HF CIP Town Planning</t>
  </si>
  <si>
    <t>7620/295</t>
  </si>
  <si>
    <t>HF CIP Traffic Planning</t>
  </si>
  <si>
    <t>7620/600</t>
  </si>
  <si>
    <t>HF CIP Eco work</t>
  </si>
  <si>
    <t>HF CIP CoCT development contribution</t>
  </si>
  <si>
    <t>7620/640</t>
  </si>
  <si>
    <t>HF CIP Project costs</t>
  </si>
  <si>
    <t>7620/650</t>
  </si>
  <si>
    <t>HF CIP Electrical</t>
  </si>
  <si>
    <t>7620/800</t>
  </si>
  <si>
    <t>HF CIP GL Conradie</t>
  </si>
  <si>
    <t>7620/280</t>
  </si>
  <si>
    <t>HF CIP Construction CPC</t>
  </si>
  <si>
    <t>7620/285</t>
  </si>
  <si>
    <t>HF CIP Structuring Fee - Invest</t>
  </si>
  <si>
    <t>7620/287</t>
  </si>
  <si>
    <t>HF CIP Structuring Fee - CPSD</t>
  </si>
  <si>
    <t>Unit costs</t>
  </si>
  <si>
    <t xml:space="preserve">Investor interest </t>
  </si>
  <si>
    <t>Attorney fees</t>
  </si>
  <si>
    <t>Purchaser variations</t>
  </si>
  <si>
    <t>C2M certificate of transfer</t>
  </si>
  <si>
    <t>Gifts</t>
  </si>
  <si>
    <t>Heron View (Pty) Ltd</t>
  </si>
  <si>
    <t>For the month ended 28 February 2024</t>
  </si>
  <si>
    <t>Income</t>
  </si>
  <si>
    <t xml:space="preserve">Total Income </t>
  </si>
  <si>
    <t>COS - Commission Heron View investors</t>
  </si>
  <si>
    <t>COS - Commission Heron View units</t>
  </si>
  <si>
    <t>COS - Electricity</t>
  </si>
  <si>
    <t>COS - Printing HV</t>
  </si>
  <si>
    <t>COS - Rates clearance</t>
  </si>
  <si>
    <t>COS - Construction</t>
  </si>
  <si>
    <t>COS - Legal fees - Opening of Sec Title Fees</t>
  </si>
  <si>
    <t>COS - Inverters</t>
  </si>
  <si>
    <t>COS - Showhouse - HV</t>
  </si>
  <si>
    <t>COS - Levies</t>
  </si>
  <si>
    <t>Interest Received - Momentum</t>
  </si>
  <si>
    <t>Accounting fees</t>
  </si>
  <si>
    <t>Advertising - Property24</t>
  </si>
  <si>
    <t>Advertising - Pure Brand Activation</t>
  </si>
  <si>
    <t>Consulting fees - Trustee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</si>
  <si>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</si>
  <si>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</si>
  <si>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</si>
  <si>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</si>
  <si>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</si>
  <si>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</si>
  <si>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</si>
  <si>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7.00%</t>
  </si>
  <si>
    <t>Interest Paid - Investors @ 7.5%</t>
  </si>
  <si>
    <t>Momentum Admin Fee</t>
  </si>
  <si>
    <t>Management fees - OMH</t>
  </si>
  <si>
    <t>Rates - Heron</t>
  </si>
  <si>
    <t>Refuse - Heron</t>
  </si>
  <si>
    <t>Repairs_AND_Maintenance</t>
  </si>
  <si>
    <t>Security - ADT</t>
  </si>
  <si>
    <t>Subscriptions - NHBRC</t>
  </si>
  <si>
    <t>Subscriptions - Xero</t>
  </si>
  <si>
    <t>For the month ended 29 February 2025</t>
  </si>
  <si>
    <t>Advertising - HV</t>
  </si>
  <si>
    <t>Trial Balance</t>
  </si>
  <si>
    <t>Account Code</t>
  </si>
  <si>
    <t>Account Type</t>
  </si>
  <si>
    <t>Debit - Year to date</t>
  </si>
  <si>
    <t>Credit - Year to date</t>
  </si>
  <si>
    <t>28 Feb 2023</t>
  </si>
  <si>
    <t>2000/010</t>
  </si>
  <si>
    <t>COS - Heron View</t>
  </si>
  <si>
    <t>Direct Costs</t>
  </si>
  <si>
    <t>2000/041</t>
  </si>
  <si>
    <t>COS - Legal Fees Opening of Sec Title Fees</t>
  </si>
  <si>
    <t>3050/000</t>
  </si>
  <si>
    <t>Expense</t>
  </si>
  <si>
    <t>3050/200</t>
  </si>
  <si>
    <t>Advertising - Media24</t>
  </si>
  <si>
    <t>3050/300</t>
  </si>
  <si>
    <t>Advertising - Thinkink</t>
  </si>
  <si>
    <t>3050/400</t>
  </si>
  <si>
    <t>3351/000</t>
  </si>
  <si>
    <t>4200/000</t>
  </si>
  <si>
    <t>4550/100</t>
  </si>
  <si>
    <t>Heron CIP NHBRC</t>
  </si>
  <si>
    <t>Current Asset</t>
  </si>
  <si>
    <t>Heron View CIP Architectural Designs</t>
  </si>
  <si>
    <t>Heron View CIP Land Surveyor</t>
  </si>
  <si>
    <t>Heron View CIP Landscaping</t>
  </si>
  <si>
    <t>Heron View CIP Site Establishment</t>
  </si>
  <si>
    <t>Heron View CIP Structuring Fee - Invest</t>
  </si>
  <si>
    <t>Heron View CIP Town Planning</t>
  </si>
  <si>
    <t>Heron View CIP Structural Engineers</t>
  </si>
  <si>
    <t>7620/610</t>
  </si>
  <si>
    <t>HV CIP Retaining wall</t>
  </si>
  <si>
    <t>Heron CIP - CoCT development contribution</t>
  </si>
  <si>
    <t>CIP - Construction Management</t>
  </si>
  <si>
    <t>7620/660</t>
  </si>
  <si>
    <t>7620/670</t>
  </si>
  <si>
    <t>HV CIP - Project costs CPSD</t>
  </si>
  <si>
    <t>7620/680</t>
  </si>
  <si>
    <t>HV CIP Electrical</t>
  </si>
  <si>
    <t>7620/690</t>
  </si>
  <si>
    <t>HV CIP Site Establishment</t>
  </si>
  <si>
    <t>5500/001</t>
  </si>
  <si>
    <t>Loan - Heron Fields</t>
  </si>
  <si>
    <t>Non-current Liability</t>
  </si>
  <si>
    <t>9000/000</t>
  </si>
  <si>
    <t>Supplier Control Account</t>
  </si>
  <si>
    <t>Current Liability</t>
  </si>
  <si>
    <t>9500/000</t>
  </si>
  <si>
    <t>Vat / Tax Control Account</t>
  </si>
  <si>
    <t>5200/000</t>
  </si>
  <si>
    <t>Retained Earnings / Loss</t>
  </si>
  <si>
    <t>Equity</t>
  </si>
  <si>
    <t>As at 28 February 2023</t>
  </si>
  <si>
    <t>28 Feb 2022</t>
  </si>
  <si>
    <t>HV CIP Elextrical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</si>
</sst>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\(#,##0.00\)"/>
    <numFmt numFmtId="166" formatCode="_-&quot;R&quot;* #,##0.00_-;\-&quot;R&quot;* #,##0.00_-;_-&quot;R&quot;* &quot;-&quot;??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  "/>
    </font>
    <font>
      <b/>
      <sz val="11"/>
      <color theme="1"/>
      <name val="Calibri  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164" fontId="2" fillId="0" borderId="0"/>
    <xf numFmtId="164" fontId="2" fillId="0" borderId="0"/>
    <xf numFmtId="0" fontId="3" fillId="0" borderId="0"/>
    <xf numFmtId="0" fontId="3" fillId="0" borderId="0">
      <alignment vertical="center"/>
    </xf>
    <xf numFmtId="164" fontId="3" fillId="0" borderId="0">
      <alignment vertical="center"/>
    </xf>
    <xf numFmtId="0" fontId="3" fillId="0" borderId="0"/>
    <xf numFmtId="0" fontId="6" fillId="0" borderId="0"/>
    <xf numFmtId="166" fontId="6" fillId="0" borderId="0"/>
    <xf numFmtId="9" fontId="6" fillId="0" borderId="0"/>
    <xf numFmtId="164" fontId="6" fillId="0" borderId="0"/>
    <xf numFmtId="0" fontId="7" fillId="0" borderId="0"/>
    <xf numFmtId="0" fontId="7" fillId="0" borderId="0"/>
    <xf numFmtId="164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3" fillId="0" borderId="0"/>
    <xf numFmtId="164" fontId="3" fillId="0" borderId="0"/>
    <xf numFmtId="0" fontId="3" fillId="0" borderId="0">
      <alignment vertical="center"/>
    </xf>
    <xf numFmtId="0" fontId="3" fillId="0" borderId="0"/>
    <xf numFmtId="0" fontId="20" fillId="0" borderId="0"/>
    <xf numFmtId="0" fontId="20" fillId="0" borderId="0"/>
    <xf numFmtId="0" fontId="20" fillId="0" borderId="0"/>
  </cellStyleXfs>
  <cellXfs count="146">
    <xf numFmtId="0" fontId="0" fillId="0" borderId="0" xfId="0"/>
    <xf numFmtId="164" fontId="4" fillId="0" borderId="0" xfId="1" applyFont="1"/>
    <xf numFmtId="164" fontId="3" fillId="0" borderId="0" xfId="1" applyFont="1" applyAlignment="1">
      <alignment vertical="center"/>
    </xf>
    <xf numFmtId="164" fontId="5" fillId="0" borderId="0" xfId="3" applyNumberFormat="1" applyFont="1" applyAlignment="1">
      <alignment vertical="center"/>
    </xf>
    <xf numFmtId="164" fontId="0" fillId="0" borderId="0" xfId="1" applyFont="1"/>
    <xf numFmtId="0" fontId="3" fillId="0" borderId="0" xfId="3"/>
    <xf numFmtId="0" fontId="4" fillId="0" borderId="5" xfId="3" applyFont="1" applyBorder="1" applyAlignment="1">
      <alignment vertical="center"/>
    </xf>
    <xf numFmtId="165" fontId="4" fillId="0" borderId="5" xfId="3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5" fillId="0" borderId="0" xfId="3" applyFont="1" applyAlignment="1">
      <alignment vertical="center"/>
    </xf>
    <xf numFmtId="0" fontId="3" fillId="0" borderId="0" xfId="3" applyAlignment="1">
      <alignment vertical="center"/>
    </xf>
    <xf numFmtId="0" fontId="4" fillId="0" borderId="0" xfId="3" applyFont="1"/>
    <xf numFmtId="0" fontId="1" fillId="0" borderId="0" xfId="0" applyFont="1"/>
    <xf numFmtId="164" fontId="8" fillId="0" borderId="5" xfId="18" applyFont="1" applyBorder="1" applyAlignment="1">
      <alignment horizontal="right" vertical="center"/>
    </xf>
    <xf numFmtId="164" fontId="4" fillId="0" borderId="5" xfId="18" applyFont="1" applyBorder="1" applyAlignment="1">
      <alignment horizontal="right" vertical="center"/>
    </xf>
    <xf numFmtId="164" fontId="4" fillId="0" borderId="5" xfId="18" applyFont="1" applyBorder="1" applyAlignment="1">
      <alignment vertical="center"/>
    </xf>
    <xf numFmtId="164" fontId="0" fillId="0" borderId="1" xfId="1" applyFont="1" applyBorder="1"/>
    <xf numFmtId="164" fontId="0" fillId="0" borderId="3" xfId="1" applyFont="1" applyBorder="1"/>
    <xf numFmtId="164" fontId="0" fillId="0" borderId="7" xfId="1" applyFont="1" applyBorder="1"/>
    <xf numFmtId="0" fontId="3" fillId="0" borderId="0" xfId="20"/>
    <xf numFmtId="0" fontId="8" fillId="0" borderId="4" xfId="20" applyFont="1" applyBorder="1" applyAlignment="1">
      <alignment horizontal="left" vertical="center"/>
    </xf>
    <xf numFmtId="17" fontId="8" fillId="0" borderId="4" xfId="20" applyNumberFormat="1" applyFont="1" applyBorder="1" applyAlignment="1">
      <alignment horizontal="right" vertical="center"/>
    </xf>
    <xf numFmtId="0" fontId="8" fillId="0" borderId="0" xfId="20" applyFont="1" applyAlignment="1">
      <alignment horizontal="left" vertical="center"/>
    </xf>
    <xf numFmtId="17" fontId="8" fillId="0" borderId="0" xfId="20" applyNumberFormat="1" applyFont="1" applyAlignment="1">
      <alignment horizontal="right" vertical="center"/>
    </xf>
    <xf numFmtId="0" fontId="4" fillId="0" borderId="5" xfId="20" applyFont="1" applyBorder="1" applyAlignment="1">
      <alignment vertical="center"/>
    </xf>
    <xf numFmtId="165" fontId="4" fillId="0" borderId="5" xfId="20" applyNumberFormat="1" applyFont="1" applyBorder="1" applyAlignment="1">
      <alignment vertical="center"/>
    </xf>
    <xf numFmtId="165" fontId="4" fillId="0" borderId="5" xfId="20" applyNumberFormat="1" applyFont="1" applyBorder="1" applyAlignment="1">
      <alignment horizontal="right" vertical="center"/>
    </xf>
    <xf numFmtId="0" fontId="8" fillId="0" borderId="5" xfId="20" applyFont="1" applyBorder="1" applyAlignment="1">
      <alignment vertical="center"/>
    </xf>
    <xf numFmtId="165" fontId="8" fillId="0" borderId="5" xfId="20" applyNumberFormat="1" applyFont="1" applyBorder="1" applyAlignment="1">
      <alignment horizontal="right" vertical="center"/>
    </xf>
    <xf numFmtId="165" fontId="4" fillId="4" borderId="5" xfId="20" applyNumberFormat="1" applyFont="1" applyFill="1" applyBorder="1" applyAlignment="1">
      <alignment vertical="center"/>
    </xf>
    <xf numFmtId="165" fontId="4" fillId="6" borderId="5" xfId="20" applyNumberFormat="1" applyFont="1" applyFill="1" applyBorder="1" applyAlignment="1">
      <alignment vertical="center"/>
    </xf>
    <xf numFmtId="0" fontId="4" fillId="3" borderId="5" xfId="20" applyFont="1" applyFill="1" applyBorder="1" applyAlignment="1">
      <alignment vertical="center"/>
    </xf>
    <xf numFmtId="165" fontId="4" fillId="7" borderId="5" xfId="20" applyNumberFormat="1" applyFont="1" applyFill="1" applyBorder="1" applyAlignment="1">
      <alignment vertical="center"/>
    </xf>
    <xf numFmtId="165" fontId="4" fillId="8" borderId="5" xfId="20" applyNumberFormat="1" applyFont="1" applyFill="1" applyBorder="1" applyAlignment="1">
      <alignment vertical="center"/>
    </xf>
    <xf numFmtId="165" fontId="4" fillId="9" borderId="5" xfId="20" applyNumberFormat="1" applyFont="1" applyFill="1" applyBorder="1" applyAlignment="1">
      <alignment vertical="center"/>
    </xf>
    <xf numFmtId="0" fontId="8" fillId="2" borderId="2" xfId="20" applyFont="1" applyFill="1" applyBorder="1" applyAlignment="1">
      <alignment vertical="center"/>
    </xf>
    <xf numFmtId="165" fontId="8" fillId="2" borderId="2" xfId="20" applyNumberFormat="1" applyFont="1" applyFill="1" applyBorder="1" applyAlignment="1">
      <alignment horizontal="right" vertical="center"/>
    </xf>
    <xf numFmtId="0" fontId="5" fillId="0" borderId="0" xfId="20" applyFont="1" applyAlignment="1">
      <alignment vertical="center" wrapText="1"/>
    </xf>
    <xf numFmtId="165" fontId="4" fillId="10" borderId="5" xfId="20" applyNumberFormat="1" applyFont="1" applyFill="1" applyBorder="1" applyAlignment="1">
      <alignment vertical="center"/>
    </xf>
    <xf numFmtId="165" fontId="4" fillId="11" borderId="5" xfId="20" applyNumberFormat="1" applyFont="1" applyFill="1" applyBorder="1" applyAlignment="1">
      <alignment vertical="center"/>
    </xf>
    <xf numFmtId="165" fontId="4" fillId="5" borderId="5" xfId="20" applyNumberFormat="1" applyFont="1" applyFill="1" applyBorder="1" applyAlignment="1">
      <alignment vertical="center"/>
    </xf>
    <xf numFmtId="165" fontId="4" fillId="12" borderId="5" xfId="20" applyNumberFormat="1" applyFont="1" applyFill="1" applyBorder="1" applyAlignment="1">
      <alignment vertical="center"/>
    </xf>
    <xf numFmtId="165" fontId="4" fillId="13" borderId="5" xfId="20" applyNumberFormat="1" applyFont="1" applyFill="1" applyBorder="1" applyAlignment="1">
      <alignment vertical="center"/>
    </xf>
    <xf numFmtId="165" fontId="4" fillId="14" borderId="5" xfId="20" applyNumberFormat="1" applyFont="1" applyFill="1" applyBorder="1" applyAlignment="1">
      <alignment vertical="center"/>
    </xf>
    <xf numFmtId="165" fontId="4" fillId="15" borderId="5" xfId="20" applyNumberFormat="1" applyFont="1" applyFill="1" applyBorder="1" applyAlignment="1">
      <alignment vertical="center"/>
    </xf>
    <xf numFmtId="165" fontId="4" fillId="16" borderId="5" xfId="20" applyNumberFormat="1" applyFont="1" applyFill="1" applyBorder="1" applyAlignment="1">
      <alignment vertical="center"/>
    </xf>
    <xf numFmtId="165" fontId="4" fillId="17" borderId="5" xfId="20" applyNumberFormat="1" applyFont="1" applyFill="1" applyBorder="1" applyAlignment="1">
      <alignment vertical="center"/>
    </xf>
    <xf numFmtId="0" fontId="13" fillId="0" borderId="0" xfId="21" applyFont="1"/>
    <xf numFmtId="0" fontId="14" fillId="0" borderId="0" xfId="21" applyFont="1"/>
    <xf numFmtId="0" fontId="11" fillId="0" borderId="0" xfId="21" applyFont="1"/>
    <xf numFmtId="0" fontId="15" fillId="0" borderId="8" xfId="21" applyFont="1" applyBorder="1" applyAlignment="1">
      <alignment horizontal="left" vertical="center"/>
    </xf>
    <xf numFmtId="0" fontId="15" fillId="0" borderId="8" xfId="21" applyFont="1" applyBorder="1" applyAlignment="1">
      <alignment horizontal="right" vertical="center"/>
    </xf>
    <xf numFmtId="0" fontId="16" fillId="0" borderId="0" xfId="21" applyFont="1"/>
    <xf numFmtId="0" fontId="11" fillId="0" borderId="0" xfId="21" applyFont="1" applyAlignment="1">
      <alignment vertical="center"/>
    </xf>
    <xf numFmtId="165" fontId="11" fillId="0" borderId="0" xfId="21" applyNumberFormat="1" applyFont="1" applyAlignment="1">
      <alignment horizontal="right" vertical="center"/>
    </xf>
    <xf numFmtId="0" fontId="11" fillId="0" borderId="5" xfId="21" applyFont="1" applyBorder="1" applyAlignment="1">
      <alignment vertical="center"/>
    </xf>
    <xf numFmtId="165" fontId="11" fillId="0" borderId="5" xfId="21" applyNumberFormat="1" applyFont="1" applyBorder="1" applyAlignment="1">
      <alignment horizontal="right" vertical="center"/>
    </xf>
    <xf numFmtId="0" fontId="17" fillId="0" borderId="5" xfId="21" applyFont="1" applyBorder="1" applyAlignment="1">
      <alignment vertical="center"/>
    </xf>
    <xf numFmtId="165" fontId="17" fillId="0" borderId="5" xfId="21" applyNumberFormat="1" applyFont="1" applyBorder="1" applyAlignment="1">
      <alignment horizontal="right" vertical="center"/>
    </xf>
    <xf numFmtId="165" fontId="11" fillId="18" borderId="5" xfId="21" applyNumberFormat="1" applyFont="1" applyFill="1" applyBorder="1" applyAlignment="1">
      <alignment horizontal="right" vertical="center"/>
    </xf>
    <xf numFmtId="165" fontId="11" fillId="18" borderId="0" xfId="21" applyNumberFormat="1" applyFont="1" applyFill="1" applyAlignment="1">
      <alignment horizontal="right" vertical="center"/>
    </xf>
    <xf numFmtId="165" fontId="11" fillId="4" borderId="5" xfId="21" applyNumberFormat="1" applyFont="1" applyFill="1" applyBorder="1" applyAlignment="1">
      <alignment horizontal="right" vertical="center"/>
    </xf>
    <xf numFmtId="165" fontId="18" fillId="0" borderId="5" xfId="21" applyNumberFormat="1" applyFont="1" applyBorder="1" applyAlignment="1">
      <alignment horizontal="right" vertical="center"/>
    </xf>
    <xf numFmtId="165" fontId="4" fillId="5" borderId="5" xfId="3" applyNumberFormat="1" applyFont="1" applyFill="1" applyBorder="1" applyAlignment="1">
      <alignment horizontal="right" vertical="center"/>
    </xf>
    <xf numFmtId="165" fontId="4" fillId="5" borderId="0" xfId="3" applyNumberFormat="1" applyFont="1" applyFill="1" applyAlignment="1">
      <alignment horizontal="right" vertical="center"/>
    </xf>
    <xf numFmtId="165" fontId="19" fillId="0" borderId="6" xfId="21" applyNumberFormat="1" applyFont="1" applyBorder="1" applyAlignment="1">
      <alignment horizontal="right" vertical="center"/>
    </xf>
    <xf numFmtId="0" fontId="22" fillId="0" borderId="0" xfId="22" applyFont="1"/>
    <xf numFmtId="0" fontId="23" fillId="0" borderId="0" xfId="22" applyFont="1"/>
    <xf numFmtId="0" fontId="20" fillId="0" borderId="0" xfId="22"/>
    <xf numFmtId="0" fontId="24" fillId="0" borderId="8" xfId="22" applyFont="1" applyBorder="1" applyAlignment="1">
      <alignment horizontal="left" vertical="center"/>
    </xf>
    <xf numFmtId="0" fontId="24" fillId="0" borderId="8" xfId="22" applyFont="1" applyBorder="1" applyAlignment="1">
      <alignment horizontal="right" vertical="center"/>
    </xf>
    <xf numFmtId="0" fontId="25" fillId="0" borderId="0" xfId="22" applyFont="1"/>
    <xf numFmtId="0" fontId="20" fillId="0" borderId="0" xfId="22" applyAlignment="1">
      <alignment vertical="center"/>
    </xf>
    <xf numFmtId="165" fontId="20" fillId="0" borderId="0" xfId="22" applyNumberFormat="1" applyAlignment="1">
      <alignment horizontal="right" vertical="center"/>
    </xf>
    <xf numFmtId="0" fontId="20" fillId="0" borderId="5" xfId="22" applyBorder="1" applyAlignment="1">
      <alignment vertical="center"/>
    </xf>
    <xf numFmtId="165" fontId="20" fillId="0" borderId="5" xfId="22" applyNumberFormat="1" applyBorder="1" applyAlignment="1">
      <alignment horizontal="right" vertical="center"/>
    </xf>
    <xf numFmtId="0" fontId="26" fillId="0" borderId="5" xfId="22" applyFont="1" applyBorder="1" applyAlignment="1">
      <alignment vertical="center"/>
    </xf>
    <xf numFmtId="165" fontId="26" fillId="0" borderId="5" xfId="22" applyNumberFormat="1" applyFont="1" applyBorder="1" applyAlignment="1">
      <alignment horizontal="right" vertical="center"/>
    </xf>
    <xf numFmtId="0" fontId="20" fillId="5" borderId="0" xfId="22" applyFill="1" applyAlignment="1">
      <alignment vertical="center"/>
    </xf>
    <xf numFmtId="0" fontId="20" fillId="5" borderId="5" xfId="22" applyFill="1" applyBorder="1" applyAlignment="1">
      <alignment vertical="center"/>
    </xf>
    <xf numFmtId="0" fontId="20" fillId="15" borderId="5" xfId="22" applyFill="1" applyBorder="1" applyAlignment="1">
      <alignment vertical="center"/>
    </xf>
    <xf numFmtId="0" fontId="20" fillId="19" borderId="5" xfId="22" applyFill="1" applyBorder="1" applyAlignment="1">
      <alignment vertical="center"/>
    </xf>
    <xf numFmtId="0" fontId="26" fillId="2" borderId="9" xfId="22" applyFont="1" applyFill="1" applyBorder="1" applyAlignment="1">
      <alignment vertical="center"/>
    </xf>
    <xf numFmtId="165" fontId="26" fillId="2" borderId="9" xfId="22" applyNumberFormat="1" applyFont="1" applyFill="1" applyBorder="1" applyAlignment="1">
      <alignment horizontal="right" vertical="center"/>
    </xf>
    <xf numFmtId="0" fontId="1" fillId="0" borderId="0" xfId="0" quotePrefix="1" applyFont="1"/>
    <xf numFmtId="0" fontId="22" fillId="0" borderId="0" xfId="23" applyFont="1"/>
    <xf numFmtId="0" fontId="23" fillId="0" borderId="0" xfId="23" applyFont="1"/>
    <xf numFmtId="0" fontId="20" fillId="0" borderId="0" xfId="23"/>
    <xf numFmtId="0" fontId="24" fillId="0" borderId="8" xfId="23" applyFont="1" applyBorder="1" applyAlignment="1">
      <alignment horizontal="left" vertical="center"/>
    </xf>
    <xf numFmtId="0" fontId="24" fillId="0" borderId="8" xfId="23" applyFont="1" applyBorder="1" applyAlignment="1">
      <alignment horizontal="right" vertical="center"/>
    </xf>
    <xf numFmtId="0" fontId="25" fillId="0" borderId="0" xfId="23" applyFont="1"/>
    <xf numFmtId="0" fontId="20" fillId="0" borderId="0" xfId="23" applyAlignment="1">
      <alignment vertical="center"/>
    </xf>
    <xf numFmtId="165" fontId="20" fillId="0" borderId="0" xfId="23" applyNumberFormat="1" applyAlignment="1">
      <alignment horizontal="right" vertical="center"/>
    </xf>
    <xf numFmtId="0" fontId="26" fillId="0" borderId="5" xfId="23" applyFont="1" applyBorder="1" applyAlignment="1">
      <alignment vertical="center"/>
    </xf>
    <xf numFmtId="165" fontId="26" fillId="0" borderId="5" xfId="23" applyNumberFormat="1" applyFont="1" applyBorder="1" applyAlignment="1">
      <alignment horizontal="right" vertical="center"/>
    </xf>
    <xf numFmtId="0" fontId="20" fillId="0" borderId="5" xfId="23" applyBorder="1" applyAlignment="1">
      <alignment vertical="center"/>
    </xf>
    <xf numFmtId="165" fontId="20" fillId="0" borderId="5" xfId="23" applyNumberFormat="1" applyBorder="1" applyAlignment="1">
      <alignment horizontal="right" vertical="center"/>
    </xf>
    <xf numFmtId="0" fontId="20" fillId="20" borderId="5" xfId="23" applyFill="1" applyBorder="1" applyAlignment="1">
      <alignment vertical="center"/>
    </xf>
    <xf numFmtId="165" fontId="20" fillId="20" borderId="5" xfId="23" applyNumberFormat="1" applyFill="1" applyBorder="1" applyAlignment="1">
      <alignment horizontal="right" vertical="center"/>
    </xf>
    <xf numFmtId="0" fontId="20" fillId="20" borderId="0" xfId="23" applyFill="1"/>
    <xf numFmtId="0" fontId="26" fillId="2" borderId="9" xfId="23" applyFont="1" applyFill="1" applyBorder="1" applyAlignment="1">
      <alignment vertical="center"/>
    </xf>
    <xf numFmtId="165" fontId="26" fillId="2" borderId="9" xfId="23" applyNumberFormat="1" applyFont="1" applyFill="1" applyBorder="1" applyAlignment="1">
      <alignment horizontal="right" vertical="center"/>
    </xf>
    <xf numFmtId="0" fontId="20" fillId="12" borderId="0" xfId="23" applyFill="1" applyAlignment="1">
      <alignment vertical="center"/>
    </xf>
    <xf numFmtId="165" fontId="20" fillId="12" borderId="0" xfId="23" applyNumberFormat="1" applyFill="1" applyAlignment="1">
      <alignment horizontal="right" vertical="center"/>
    </xf>
    <xf numFmtId="0" fontId="20" fillId="12" borderId="0" xfId="23" applyFill="1"/>
    <xf numFmtId="0" fontId="20" fillId="12" borderId="5" xfId="23" applyFill="1" applyBorder="1" applyAlignment="1">
      <alignment vertical="center"/>
    </xf>
    <xf numFmtId="165" fontId="20" fillId="12" borderId="5" xfId="23" applyNumberFormat="1" applyFill="1" applyBorder="1" applyAlignment="1">
      <alignment horizontal="right" vertical="center"/>
    </xf>
    <xf numFmtId="17" fontId="24" fillId="0" borderId="8" xfId="23" applyNumberFormat="1" applyFont="1" applyBorder="1" applyAlignment="1">
      <alignment horizontal="right" vertical="center"/>
    </xf>
    <xf numFmtId="165" fontId="4" fillId="5" borderId="5" xfId="20" applyNumberFormat="1" applyFont="1" applyFill="1" applyBorder="1" applyAlignment="1">
      <alignment horizontal="right" vertical="center"/>
    </xf>
    <xf numFmtId="0" fontId="20" fillId="9" borderId="5" xfId="23" applyFill="1" applyBorder="1" applyAlignment="1">
      <alignment vertical="center"/>
    </xf>
    <xf numFmtId="165" fontId="20" fillId="9" borderId="5" xfId="23" applyNumberFormat="1" applyFill="1" applyBorder="1" applyAlignment="1">
      <alignment horizontal="right" vertical="center"/>
    </xf>
    <xf numFmtId="0" fontId="20" fillId="9" borderId="0" xfId="23" applyFill="1"/>
    <xf numFmtId="15" fontId="1" fillId="21" borderId="0" xfId="1" quotePrefix="1" applyNumberFormat="1" applyFont="1" applyFill="1"/>
    <xf numFmtId="164" fontId="0" fillId="21" borderId="0" xfId="1" applyFont="1" applyFill="1"/>
    <xf numFmtId="164" fontId="0" fillId="21" borderId="1" xfId="1" applyFont="1" applyFill="1" applyBorder="1"/>
    <xf numFmtId="164" fontId="0" fillId="21" borderId="3" xfId="1" applyFont="1" applyFill="1" applyBorder="1"/>
    <xf numFmtId="164" fontId="0" fillId="21" borderId="7" xfId="1" applyFont="1" applyFill="1" applyBorder="1"/>
    <xf numFmtId="165" fontId="18" fillId="21" borderId="5" xfId="21" applyNumberFormat="1" applyFont="1" applyFill="1" applyBorder="1" applyAlignment="1">
      <alignment horizontal="right" vertical="center"/>
    </xf>
    <xf numFmtId="165" fontId="19" fillId="21" borderId="6" xfId="21" applyNumberFormat="1" applyFont="1" applyFill="1" applyBorder="1" applyAlignment="1">
      <alignment horizontal="right" vertical="center"/>
    </xf>
    <xf numFmtId="0" fontId="0" fillId="21" borderId="0" xfId="0" applyFill="1"/>
    <xf numFmtId="0" fontId="4" fillId="0" borderId="0" xfId="0" applyFont="1" applyAlignment="1">
      <alignment vertical="center"/>
    </xf>
    <xf numFmtId="165" fontId="3" fillId="0" borderId="6" xfId="3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0" applyNumberFormat="1"/>
    <xf numFmtId="39" fontId="0" fillId="0" borderId="0" xfId="0" applyNumberFormat="1"/>
    <xf numFmtId="0" fontId="24" fillId="0" borderId="8" xfId="22" applyFont="1" applyBorder="1" applyAlignment="1">
      <alignment vertical="center" wrapText="1"/>
    </xf>
    <xf numFmtId="0" fontId="0" fillId="0" borderId="8" xfId="0" applyBorder="1"/>
    <xf numFmtId="0" fontId="21" fillId="0" borderId="0" xfId="22" applyFont="1" applyAlignment="1">
      <alignment vertical="center" wrapText="1"/>
    </xf>
    <xf numFmtId="0" fontId="22" fillId="0" borderId="0" xfId="22" applyFont="1"/>
    <xf numFmtId="0" fontId="23" fillId="0" borderId="0" xfId="22" applyFont="1" applyAlignment="1">
      <alignment vertical="center" wrapText="1"/>
    </xf>
    <xf numFmtId="0" fontId="23" fillId="0" borderId="0" xfId="22" applyFont="1"/>
    <xf numFmtId="0" fontId="24" fillId="0" borderId="8" xfId="23" applyFont="1" applyBorder="1" applyAlignment="1">
      <alignment vertical="center" wrapText="1"/>
    </xf>
    <xf numFmtId="0" fontId="21" fillId="0" borderId="0" xfId="23" applyFont="1" applyAlignment="1">
      <alignment vertical="center" wrapText="1"/>
    </xf>
    <xf numFmtId="0" fontId="22" fillId="0" borderId="0" xfId="23" applyFont="1"/>
    <xf numFmtId="0" fontId="23" fillId="0" borderId="0" xfId="23" applyFont="1" applyAlignment="1">
      <alignment vertical="center" wrapText="1"/>
    </xf>
    <xf numFmtId="0" fontId="23" fillId="0" borderId="0" xfId="23" applyFont="1"/>
    <xf numFmtId="0" fontId="5" fillId="0" borderId="4" xfId="20" applyFont="1" applyBorder="1" applyAlignment="1">
      <alignment vertical="center" wrapText="1"/>
    </xf>
    <xf numFmtId="0" fontId="0" fillId="0" borderId="4" xfId="0" applyBorder="1"/>
    <xf numFmtId="0" fontId="10" fillId="0" borderId="0" xfId="20" applyFont="1" applyAlignment="1">
      <alignment vertical="center" wrapText="1"/>
    </xf>
    <xf numFmtId="0" fontId="3" fillId="0" borderId="0" xfId="20"/>
    <xf numFmtId="0" fontId="9" fillId="0" borderId="0" xfId="20" applyFont="1" applyAlignment="1">
      <alignment vertical="center" wrapText="1"/>
    </xf>
    <xf numFmtId="0" fontId="12" fillId="0" borderId="0" xfId="21" applyFont="1" applyAlignment="1">
      <alignment vertical="center" wrapText="1"/>
    </xf>
    <xf numFmtId="0" fontId="13" fillId="0" borderId="0" xfId="21" applyFont="1"/>
    <xf numFmtId="0" fontId="14" fillId="0" borderId="0" xfId="21" applyFont="1" applyAlignment="1">
      <alignment vertical="center" wrapText="1"/>
    </xf>
    <xf numFmtId="0" fontId="14" fillId="0" borderId="0" xfId="21" applyFont="1"/>
  </cellXfs>
  <cellStyles count="24">
    <cellStyle name="Comma" xfId="1" builtinId="3"/>
    <cellStyle name="Comma 2" xfId="5" xr:uid="{00000000-0005-0000-0000-000005000000}"/>
    <cellStyle name="Comma 2 2" xfId="13" xr:uid="{00000000-0005-0000-0000-00000D000000}"/>
    <cellStyle name="Comma 3" xfId="10" xr:uid="{00000000-0005-0000-0000-00000A000000}"/>
    <cellStyle name="Comma 4" xfId="2" xr:uid="{00000000-0005-0000-0000-000002000000}"/>
    <cellStyle name="Comma 5" xfId="18" xr:uid="{00000000-0005-0000-0000-000012000000}"/>
    <cellStyle name="Currency 2" xfId="8" xr:uid="{00000000-0005-0000-0000-000008000000}"/>
    <cellStyle name="Normal" xfId="0" builtinId="0"/>
    <cellStyle name="Normal 10" xfId="21" xr:uid="{00000000-0005-0000-0000-000015000000}"/>
    <cellStyle name="Normal 11" xfId="22" xr:uid="{00000000-0005-0000-0000-000016000000}"/>
    <cellStyle name="Normal 14" xfId="17" xr:uid="{00000000-0005-0000-0000-000011000000}"/>
    <cellStyle name="Normal 14 2" xfId="20" xr:uid="{00000000-0005-0000-0000-000014000000}"/>
    <cellStyle name="Normal 2" xfId="3" xr:uid="{00000000-0005-0000-0000-000003000000}"/>
    <cellStyle name="Normal 2 2" xfId="19" xr:uid="{00000000-0005-0000-0000-000013000000}"/>
    <cellStyle name="Normal 3" xfId="4" xr:uid="{00000000-0005-0000-0000-000004000000}"/>
    <cellStyle name="Normal 4" xfId="6" xr:uid="{00000000-0005-0000-0000-000006000000}"/>
    <cellStyle name="Normal 5" xfId="7" xr:uid="{00000000-0005-0000-0000-000007000000}"/>
    <cellStyle name="Normal 6" xfId="11" xr:uid="{00000000-0005-0000-0000-00000B000000}"/>
    <cellStyle name="Normal 7" xfId="12" xr:uid="{00000000-0005-0000-0000-00000C000000}"/>
    <cellStyle name="Normal 7 2" xfId="14" xr:uid="{00000000-0005-0000-0000-00000E000000}"/>
    <cellStyle name="Normal 8" xfId="15" xr:uid="{00000000-0005-0000-0000-00000F000000}"/>
    <cellStyle name="Normal 8 3" xfId="23" xr:uid="{00000000-0005-0000-0000-000017000000}"/>
    <cellStyle name="Normal 9" xfId="16" xr:uid="{00000000-0005-0000-0000-000010000000}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" sqref="Q4"/>
    </sheetView>
  </sheetViews>
  <sheetFormatPr baseColWidth="10" defaultColWidth="8.83203125" defaultRowHeight="15"/>
  <cols>
    <col min="1" max="1" width="42.1640625" bestFit="1" customWidth="1"/>
    <col min="2" max="2" width="16.5" style="113" bestFit="1" customWidth="1"/>
    <col min="3" max="3" width="16.5" style="119" bestFit="1" customWidth="1"/>
    <col min="4" max="14" width="16.5" bestFit="1" customWidth="1"/>
    <col min="15" max="15" width="15.83203125" bestFit="1" customWidth="1"/>
    <col min="16" max="16" width="15.83203125" customWidth="1"/>
    <col min="17" max="17" width="15.83203125" bestFit="1" customWidth="1"/>
    <col min="18" max="18" width="13.5" bestFit="1" customWidth="1"/>
    <col min="20" max="21" width="15.33203125" bestFit="1" customWidth="1"/>
  </cols>
  <sheetData>
    <row r="1" spans="1:21">
      <c r="A1" s="12"/>
      <c r="B1" s="112" t="s">
        <v>0</v>
      </c>
      <c r="C1" s="112" t="s">
        <v>0</v>
      </c>
      <c r="D1" s="12" t="s">
        <v>1</v>
      </c>
      <c r="E1" s="12" t="s">
        <v>1</v>
      </c>
      <c r="F1" s="12" t="s">
        <v>1</v>
      </c>
      <c r="G1" s="12" t="s">
        <v>1</v>
      </c>
      <c r="H1" s="12" t="s">
        <v>1</v>
      </c>
      <c r="I1" s="12" t="s">
        <v>1</v>
      </c>
      <c r="J1" s="12" t="s">
        <v>1</v>
      </c>
      <c r="K1" s="12" t="s">
        <v>1</v>
      </c>
      <c r="L1" s="12" t="s">
        <v>1</v>
      </c>
      <c r="M1" s="12" t="s">
        <v>1</v>
      </c>
      <c r="N1" s="12" t="s">
        <v>1</v>
      </c>
      <c r="O1" s="12" t="s">
        <v>1</v>
      </c>
      <c r="P1" s="12" t="s">
        <v>1</v>
      </c>
    </row>
    <row r="2" spans="1:21">
      <c r="A2" s="12" t="s">
        <v>2</v>
      </c>
      <c r="B2" s="112" t="s">
        <v>3</v>
      </c>
      <c r="C2" s="112" t="s">
        <v>4</v>
      </c>
      <c r="D2" s="84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4" t="s">
        <v>12</v>
      </c>
      <c r="L2" s="84" t="s">
        <v>13</v>
      </c>
      <c r="M2" s="84" t="s">
        <v>14</v>
      </c>
      <c r="N2" s="84" t="s">
        <v>15</v>
      </c>
      <c r="O2" s="84" t="s">
        <v>16</v>
      </c>
      <c r="P2" s="84" t="s">
        <v>17</v>
      </c>
    </row>
    <row r="4" spans="1:21">
      <c r="A4" s="12" t="s">
        <v>18</v>
      </c>
      <c r="B4" s="113">
        <f t="shared" ref="B4:P4" si="0">SUM(B6:B8)</f>
        <v>0</v>
      </c>
      <c r="C4" s="113">
        <f t="shared" si="0"/>
        <v>0</v>
      </c>
      <c r="D4" s="4">
        <f t="shared" si="0"/>
        <v>4050000</v>
      </c>
      <c r="E4" s="4">
        <f t="shared" si="0"/>
        <v>8600000</v>
      </c>
      <c r="F4" s="4">
        <f t="shared" si="0"/>
        <v>21250000</v>
      </c>
      <c r="G4" s="4">
        <f t="shared" si="0"/>
        <v>33900000</v>
      </c>
      <c r="H4" s="4">
        <f t="shared" si="0"/>
        <v>38450000</v>
      </c>
      <c r="I4" s="4">
        <f t="shared" si="0"/>
        <v>52044260.870000005</v>
      </c>
      <c r="J4" s="4">
        <f t="shared" si="0"/>
        <v>75494260.870000005</v>
      </c>
      <c r="K4" s="4">
        <f t="shared" si="0"/>
        <v>109744260.87</v>
      </c>
      <c r="L4" s="4">
        <f t="shared" si="0"/>
        <v>127794260.87</v>
      </c>
      <c r="M4" s="4">
        <f t="shared" si="0"/>
        <v>139094260.87</v>
      </c>
      <c r="N4" s="4">
        <f t="shared" si="0"/>
        <v>161194260.87</v>
      </c>
      <c r="O4" s="4">
        <f t="shared" si="0"/>
        <v>204894260.87</v>
      </c>
      <c r="P4" s="4">
        <f t="shared" si="0"/>
        <v>232394260.87</v>
      </c>
      <c r="Q4" s="122"/>
    </row>
    <row r="6" spans="1:21">
      <c r="A6" t="s">
        <v>19</v>
      </c>
      <c r="B6" s="114">
        <f>SUM('2024 Xero HV  '!L8:O8)</f>
        <v>0</v>
      </c>
      <c r="C6" s="114">
        <f>SUM('2024 Xero HV  '!K8:O8)</f>
        <v>0</v>
      </c>
      <c r="D6" s="16">
        <f>SUM('2024 Xero HV  '!J8:O8)</f>
        <v>4050000</v>
      </c>
      <c r="E6" s="16">
        <f>SUM('2024 Xero HV  '!I8:O8)</f>
        <v>8600000</v>
      </c>
      <c r="F6" s="16">
        <f>SUM('2024 Xero HV  '!H8:O8)</f>
        <v>21250000</v>
      </c>
      <c r="G6" s="16">
        <f>SUM('2024 Xero HV  '!G8:O8)</f>
        <v>33900000</v>
      </c>
      <c r="H6" s="16">
        <f>SUM('2024 Xero HV  '!F8:O8)</f>
        <v>38450000</v>
      </c>
      <c r="I6" s="16">
        <f>SUM('2024 Xero HV  '!E8:O8)</f>
        <v>52044260.870000005</v>
      </c>
      <c r="J6" s="16">
        <f>SUM('2024 Xero HV  '!D8:O8)</f>
        <v>75494260.870000005</v>
      </c>
      <c r="K6" s="16">
        <f>SUM('2024 Xero HV  '!D8:O8)+SUM('2025 Xero HV'!O8)</f>
        <v>109744260.87</v>
      </c>
      <c r="L6" s="16">
        <f>SUM('2024 Xero HV  '!D8:O8)+SUM('2025 Xero HV'!N8:O8)</f>
        <v>127794260.87</v>
      </c>
      <c r="M6" s="16">
        <f>SUM('2024 Xero HV  '!D8:O8)+SUM('2025 Xero HV'!M8:O8)</f>
        <v>139094260.87</v>
      </c>
      <c r="N6" s="16">
        <f>SUM('2024 Xero HV  '!D8:O8)+SUM('2025 Xero HV'!L8:O8)</f>
        <v>161194260.87</v>
      </c>
      <c r="O6" s="16">
        <f>SUM('2024 Xero HV  '!D8:O8)+SUM('2025 Xero HV'!K8:O8)</f>
        <v>204894260.87</v>
      </c>
      <c r="P6" s="16">
        <f>SUM('2024 Xero HV  '!D8:O8)+SUM('2025 Xero HV'!J8:O8)</f>
        <v>232394260.87</v>
      </c>
      <c r="T6" s="4"/>
      <c r="U6" s="124"/>
    </row>
    <row r="7" spans="1:21">
      <c r="A7" t="s">
        <v>20</v>
      </c>
      <c r="B7" s="115"/>
      <c r="C7" s="11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21">
      <c r="A8" t="s">
        <v>21</v>
      </c>
      <c r="B8" s="116"/>
      <c r="C8" s="11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11" spans="1:21">
      <c r="A11" s="12" t="s">
        <v>22</v>
      </c>
      <c r="B11" s="113">
        <f t="shared" ref="B11:P11" si="1">SUM(B13:B29)</f>
        <v>63443778.478</v>
      </c>
      <c r="C11" s="113">
        <f t="shared" si="1"/>
        <v>66702264.038000003</v>
      </c>
      <c r="D11" s="4">
        <f t="shared" si="1"/>
        <v>72412002.10800001</v>
      </c>
      <c r="E11" s="4">
        <f t="shared" si="1"/>
        <v>79006740.178000003</v>
      </c>
      <c r="F11" s="4">
        <f t="shared" si="1"/>
        <v>86141478.247999996</v>
      </c>
      <c r="G11" s="4">
        <f t="shared" si="1"/>
        <v>95276216.318000004</v>
      </c>
      <c r="H11" s="4">
        <f t="shared" si="1"/>
        <v>103870954.38800004</v>
      </c>
      <c r="I11" s="4">
        <f t="shared" si="1"/>
        <v>118880692.45800003</v>
      </c>
      <c r="J11" s="4">
        <f t="shared" si="1"/>
        <v>133932508.49800004</v>
      </c>
      <c r="K11" s="4">
        <f t="shared" si="1"/>
        <v>148916905.08800006</v>
      </c>
      <c r="L11" s="4">
        <f t="shared" si="1"/>
        <v>167158704.05800003</v>
      </c>
      <c r="M11" s="4">
        <f t="shared" si="1"/>
        <v>184396224.40800005</v>
      </c>
      <c r="N11" s="4">
        <f t="shared" si="1"/>
        <v>200959084.04800004</v>
      </c>
      <c r="O11" s="4">
        <f t="shared" si="1"/>
        <v>218256784.47800004</v>
      </c>
      <c r="P11" s="4">
        <f t="shared" si="1"/>
        <v>242136420.25147831</v>
      </c>
    </row>
    <row r="12" spans="1:21">
      <c r="C12" s="11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21">
      <c r="A13" t="s">
        <v>23</v>
      </c>
      <c r="B13" s="114">
        <f>SUM(CPC!C43:D45)+SUM('CPC 24'!J23:M25)</f>
        <v>19504032.41</v>
      </c>
      <c r="C13" s="114">
        <f>SUM(CPC!C43:D45)+SUM('CPC 24'!I23:M25)</f>
        <v>22762517.970000003</v>
      </c>
      <c r="D13" s="16">
        <f>SUM(CPC!C43:D45)+SUM('CPC 24'!H23:M25)</f>
        <v>26094054.830000006</v>
      </c>
      <c r="E13" s="16">
        <f>SUM(CPC!C43:D45)+SUM('CPC 24'!G23:M25)</f>
        <v>29425591.689999998</v>
      </c>
      <c r="F13" s="16">
        <f>SUM(CPC!C43:D45)+SUM('CPC 24'!F23:M25)</f>
        <v>32757128.549999997</v>
      </c>
      <c r="G13" s="16">
        <f>SUM(CPC!C43:D45)+SUM('CPC 24'!E23:M25)</f>
        <v>38088665.409999996</v>
      </c>
      <c r="H13" s="16">
        <f>SUM(CPC!C43:D45)+SUM('CPC 24'!D23:M25)</f>
        <v>43420202.270000026</v>
      </c>
      <c r="I13" s="16">
        <f>SUM(CPC!C43:D45)+SUM('CPC 24'!C23:M25)</f>
        <v>52501739.13000004</v>
      </c>
      <c r="J13" s="16">
        <f>SUM(CPC!C43:D45)+SUM('CPC 24'!B23:M25)</f>
        <v>60865353.960000038</v>
      </c>
      <c r="K13" s="16">
        <f>SUM(CPC!C43:D45)+SUM('CPC 24'!B23:M25)+SUM('CPC 25'!M23:M26)</f>
        <v>70364352.090000033</v>
      </c>
      <c r="L13" s="16">
        <f>SUM(CPC!C43:D45)+SUM('CPC 24'!B23:M25)+SUM('CPC 25'!L23:M26)</f>
        <v>81419678.080000043</v>
      </c>
      <c r="M13" s="16">
        <f>SUM(CPC!C43:D45)+SUM('CPC 24'!B23:M25)+SUM('CPC 25'!K23:M26)</f>
        <v>93026307.830000043</v>
      </c>
      <c r="N13" s="16">
        <f>SUM(CPC!C43:D45)+SUM('CPC 24'!B23:M25)+SUM('CPC 25'!J23:M26)</f>
        <v>103497206.30000004</v>
      </c>
      <c r="O13" s="16">
        <f>SUM(CPC!C43:D45)+SUM('CPC 24'!B23:M25)+SUM('CPC 25'!I23:M26)</f>
        <v>115405257.88000005</v>
      </c>
      <c r="P13" s="16">
        <f>SUM(CPC!C43:D45)+SUM('CPC 24'!B23:M25)+SUM('CPC 25'!H23:M26)</f>
        <v>127288112.07000005</v>
      </c>
    </row>
    <row r="14" spans="1:21">
      <c r="A14" t="s">
        <v>24</v>
      </c>
      <c r="B14" s="115">
        <v>10387888</v>
      </c>
      <c r="C14" s="115">
        <v>10387888</v>
      </c>
      <c r="D14" s="17">
        <f t="shared" ref="D14:P14" si="2">C14+800000</f>
        <v>11187888</v>
      </c>
      <c r="E14" s="17">
        <f t="shared" si="2"/>
        <v>11987888</v>
      </c>
      <c r="F14" s="17">
        <f t="shared" si="2"/>
        <v>12787888</v>
      </c>
      <c r="G14" s="17">
        <f t="shared" si="2"/>
        <v>13587888</v>
      </c>
      <c r="H14" s="17">
        <f t="shared" si="2"/>
        <v>14387888</v>
      </c>
      <c r="I14" s="17">
        <f t="shared" si="2"/>
        <v>15187888</v>
      </c>
      <c r="J14" s="17">
        <f t="shared" si="2"/>
        <v>15987888</v>
      </c>
      <c r="K14" s="17">
        <f t="shared" si="2"/>
        <v>16787888</v>
      </c>
      <c r="L14" s="17">
        <f t="shared" si="2"/>
        <v>17587888</v>
      </c>
      <c r="M14" s="17">
        <f t="shared" si="2"/>
        <v>18387888</v>
      </c>
      <c r="N14" s="17">
        <f t="shared" si="2"/>
        <v>19187888</v>
      </c>
      <c r="O14" s="17">
        <f t="shared" si="2"/>
        <v>19987888</v>
      </c>
      <c r="P14" s="17">
        <f t="shared" si="2"/>
        <v>20787888</v>
      </c>
    </row>
    <row r="15" spans="1:21">
      <c r="A15" t="s">
        <v>25</v>
      </c>
      <c r="B15" s="115">
        <f>'DEVELOPERS FEES '!D28-B18-B19-B20</f>
        <v>2511205.8400000054</v>
      </c>
      <c r="C15" s="115">
        <f>'DEVELOPERS FEES '!D28-C18-C19-C20</f>
        <v>2511205.8400000054</v>
      </c>
      <c r="D15" s="17">
        <f>'DEVELOPERS FEES '!D28-D18-D19-D20</f>
        <v>2511205.8400000054</v>
      </c>
      <c r="E15" s="17">
        <f>'DEVELOPERS FEES '!D28-E18-E19-E20</f>
        <v>2511205.8400000054</v>
      </c>
      <c r="F15" s="17">
        <f>'DEVELOPERS FEES '!D28-F18-F19-F20</f>
        <v>2511205.8400000054</v>
      </c>
      <c r="G15" s="17">
        <f>'DEVELOPERS FEES '!D28-G18-G19-G20</f>
        <v>2511205.8400000054</v>
      </c>
      <c r="H15" s="17">
        <f>'DEVELOPERS FEES '!D28-H18-H19-H20</f>
        <v>2511205.8400000054</v>
      </c>
      <c r="I15" s="17">
        <f>'DEVELOPERS FEES '!D28-I18-I19-I20</f>
        <v>2511205.8400000054</v>
      </c>
      <c r="J15" s="17">
        <f>'DEVELOPERS FEES '!D28-J18-J19-J20</f>
        <v>2511205.8400000054</v>
      </c>
      <c r="K15" s="17">
        <f>'DEVELOPERS FEES '!D28-K18-K19-K20</f>
        <v>2511205.8400000054</v>
      </c>
      <c r="L15" s="17">
        <f>'DEVELOPERS FEES '!D28-L18-L19-L20</f>
        <v>2511205.8400000054</v>
      </c>
      <c r="M15" s="17">
        <f>'DEVELOPERS FEES '!D28-M18-M19-M20</f>
        <v>2511205.8400000054</v>
      </c>
      <c r="N15" s="17">
        <f>'DEVELOPERS FEES '!D28-N18-N19-N20</f>
        <v>2511205.8400000054</v>
      </c>
      <c r="O15" s="17">
        <f>'DEVELOPERS FEES '!D28-O18-O19-O20</f>
        <v>2511205.8400000054</v>
      </c>
      <c r="P15" s="17">
        <f>'DEVELOPERS FEES '!D28-P18-P19-P20</f>
        <v>2511205.8400000054</v>
      </c>
    </row>
    <row r="16" spans="1:21">
      <c r="A16" t="s">
        <v>26</v>
      </c>
      <c r="B16" s="115">
        <f>'DEVELOPERS FEES '!D32</f>
        <v>902173.89999999991</v>
      </c>
      <c r="C16" s="115">
        <f>'DEVELOPERS FEES '!D32</f>
        <v>902173.89999999991</v>
      </c>
      <c r="D16" s="17">
        <f>C16+200000</f>
        <v>1102173.8999999999</v>
      </c>
      <c r="E16" s="17">
        <f>D16+385000</f>
        <v>1487173.9</v>
      </c>
      <c r="F16" s="17">
        <f>E16+385000</f>
        <v>1872173.9</v>
      </c>
      <c r="G16" s="17">
        <f>F16+385000</f>
        <v>2257173.9</v>
      </c>
      <c r="H16" s="17">
        <f>G16+385000</f>
        <v>2642173.9</v>
      </c>
      <c r="I16" s="17">
        <f>H16+350000</f>
        <v>2992173.9</v>
      </c>
      <c r="J16" s="17">
        <f>I16+300000</f>
        <v>3292173.9</v>
      </c>
      <c r="K16" s="17">
        <f>J16+300000</f>
        <v>3592173.9</v>
      </c>
      <c r="L16" s="17">
        <f>K16+300000</f>
        <v>3892173.9</v>
      </c>
      <c r="M16" s="17">
        <f>L16+270000</f>
        <v>4162173.9</v>
      </c>
      <c r="N16" s="17">
        <f>M16+250000</f>
        <v>4412173.9000000004</v>
      </c>
      <c r="O16" s="17">
        <f>N16+250000</f>
        <v>4662173.9000000004</v>
      </c>
      <c r="P16" s="17">
        <f>O16+249944.03</f>
        <v>4912117.9300000006</v>
      </c>
    </row>
    <row r="17" spans="1:21">
      <c r="A17" t="s">
        <v>27</v>
      </c>
      <c r="B17" s="115">
        <f>'DEVELOPERS FEES '!D31</f>
        <v>1826086.96</v>
      </c>
      <c r="C17" s="115">
        <f>'DEVELOPERS FEES '!D31</f>
        <v>1826086.96</v>
      </c>
      <c r="D17" s="17">
        <f>'DEVELOPERS FEES '!D31</f>
        <v>1826086.96</v>
      </c>
      <c r="E17" s="17">
        <f>'DEVELOPERS FEES '!D31</f>
        <v>1826086.96</v>
      </c>
      <c r="F17" s="17">
        <f>'DEVELOPERS FEES '!D31</f>
        <v>1826086.96</v>
      </c>
      <c r="G17" s="17">
        <f>'DEVELOPERS FEES '!D31</f>
        <v>1826086.96</v>
      </c>
      <c r="H17" s="17">
        <f>'DEVELOPERS FEES '!D31</f>
        <v>1826086.96</v>
      </c>
      <c r="I17" s="17">
        <f>'DEVELOPERS FEES '!D31</f>
        <v>1826086.96</v>
      </c>
      <c r="J17" s="17">
        <f>'DEVELOPERS FEES '!D31</f>
        <v>1826086.96</v>
      </c>
      <c r="K17" s="17">
        <f>'DEVELOPERS FEES '!D31</f>
        <v>1826086.96</v>
      </c>
      <c r="L17" s="17">
        <f>'DEVELOPERS FEES '!D31</f>
        <v>1826086.96</v>
      </c>
      <c r="M17" s="17">
        <f>'DEVELOPERS FEES '!D31</f>
        <v>1826086.96</v>
      </c>
      <c r="N17" s="17">
        <f>'DEVELOPERS FEES '!D31</f>
        <v>1826086.96</v>
      </c>
      <c r="O17" s="17">
        <f>'DEVELOPERS FEES '!D31</f>
        <v>1826086.96</v>
      </c>
      <c r="P17" s="17">
        <f>'DEVELOPERS FEES '!D31+3929143.02</f>
        <v>5755229.9800000004</v>
      </c>
      <c r="T17" s="4"/>
    </row>
    <row r="18" spans="1:21">
      <c r="A18" t="s">
        <v>28</v>
      </c>
      <c r="B18" s="115">
        <f>'DEVELOPERS FEES '!D3</f>
        <v>19329777.777777776</v>
      </c>
      <c r="C18" s="115">
        <f>'DEVELOPERS FEES '!D3</f>
        <v>19329777.777777776</v>
      </c>
      <c r="D18" s="17">
        <f>'DEVELOPERS FEES '!D3</f>
        <v>19329777.777777776</v>
      </c>
      <c r="E18" s="17">
        <f>'DEVELOPERS FEES '!D3</f>
        <v>19329777.777777776</v>
      </c>
      <c r="F18" s="17">
        <f>'DEVELOPERS FEES '!D3</f>
        <v>19329777.777777776</v>
      </c>
      <c r="G18" s="17">
        <f>'DEVELOPERS FEES '!D3</f>
        <v>19329777.777777776</v>
      </c>
      <c r="H18" s="17">
        <f>'DEVELOPERS FEES '!D3</f>
        <v>19329777.777777776</v>
      </c>
      <c r="I18" s="17">
        <f>'DEVELOPERS FEES '!D3</f>
        <v>19329777.777777776</v>
      </c>
      <c r="J18" s="17">
        <f>'DEVELOPERS FEES '!D3</f>
        <v>19329777.777777776</v>
      </c>
      <c r="K18" s="17">
        <f>'DEVELOPERS FEES '!D3</f>
        <v>19329777.777777776</v>
      </c>
      <c r="L18" s="17">
        <f>'DEVELOPERS FEES '!D3</f>
        <v>19329777.777777776</v>
      </c>
      <c r="M18" s="17">
        <f>'DEVELOPERS FEES '!D3</f>
        <v>19329777.777777776</v>
      </c>
      <c r="N18" s="17">
        <f>'DEVELOPERS FEES '!D3</f>
        <v>19329777.777777776</v>
      </c>
      <c r="O18" s="17">
        <f>'DEVELOPERS FEES '!D3</f>
        <v>19329777.777777776</v>
      </c>
      <c r="P18" s="17">
        <f>'DEVELOPERS FEES '!D3</f>
        <v>19329777.777777776</v>
      </c>
    </row>
    <row r="19" spans="1:21">
      <c r="A19" t="s">
        <v>29</v>
      </c>
      <c r="B19" s="115">
        <f>'DEVELOPERS FEES '!D8+'DEVELOPERS FEES '!D25</f>
        <v>7443737.8902222216</v>
      </c>
      <c r="C19" s="115">
        <f>'DEVELOPERS FEES '!D8+'DEVELOPERS FEES '!D25</f>
        <v>7443737.8902222216</v>
      </c>
      <c r="D19" s="17">
        <f>'DEVELOPERS FEES '!D8+'DEVELOPERS FEES '!D25</f>
        <v>7443737.8902222216</v>
      </c>
      <c r="E19" s="17">
        <f>'DEVELOPERS FEES '!D8+'DEVELOPERS FEES '!D25</f>
        <v>7443737.8902222216</v>
      </c>
      <c r="F19" s="17">
        <f>'DEVELOPERS FEES '!D8+'DEVELOPERS FEES '!D25</f>
        <v>7443737.8902222216</v>
      </c>
      <c r="G19" s="17">
        <f>'DEVELOPERS FEES '!D8+'DEVELOPERS FEES '!D25</f>
        <v>7443737.8902222216</v>
      </c>
      <c r="H19" s="17">
        <f>'DEVELOPERS FEES '!D8+'DEVELOPERS FEES '!D25</f>
        <v>7443737.8902222216</v>
      </c>
      <c r="I19" s="17">
        <f>'DEVELOPERS FEES '!D8+'DEVELOPERS FEES '!D25</f>
        <v>7443737.8902222216</v>
      </c>
      <c r="J19" s="17">
        <f>'DEVELOPERS FEES '!D8+'DEVELOPERS FEES '!D25</f>
        <v>7443737.8902222216</v>
      </c>
      <c r="K19" s="17">
        <f>'DEVELOPERS FEES '!D8+'DEVELOPERS FEES '!D25</f>
        <v>7443737.8902222216</v>
      </c>
      <c r="L19" s="17">
        <f>'DEVELOPERS FEES '!D8+'DEVELOPERS FEES '!D25</f>
        <v>7443737.8902222216</v>
      </c>
      <c r="M19" s="17">
        <f>'DEVELOPERS FEES '!D8+'DEVELOPERS FEES '!D25</f>
        <v>7443737.8902222216</v>
      </c>
      <c r="N19" s="17">
        <f>'DEVELOPERS FEES '!D8+'DEVELOPERS FEES '!D25</f>
        <v>7443737.8902222216</v>
      </c>
      <c r="O19" s="17">
        <f>'DEVELOPERS FEES '!D8+'DEVELOPERS FEES '!D25</f>
        <v>7443737.8902222216</v>
      </c>
      <c r="P19" s="17">
        <f>'DEVELOPERS FEES '!D8+'DEVELOPERS FEES '!D25</f>
        <v>7443737.8902222216</v>
      </c>
    </row>
    <row r="20" spans="1:21">
      <c r="A20" t="s">
        <v>30</v>
      </c>
      <c r="B20" s="115">
        <f>'DEVELOPERS FEES '!D23</f>
        <v>1524185.76</v>
      </c>
      <c r="C20" s="115">
        <f>'DEVELOPERS FEES '!D23</f>
        <v>1524185.76</v>
      </c>
      <c r="D20" s="17">
        <f>'DEVELOPERS FEES '!D23</f>
        <v>1524185.76</v>
      </c>
      <c r="E20" s="17">
        <f>'DEVELOPERS FEES '!D23</f>
        <v>1524185.76</v>
      </c>
      <c r="F20" s="17">
        <f>'DEVELOPERS FEES '!D23</f>
        <v>1524185.76</v>
      </c>
      <c r="G20" s="17">
        <f>'DEVELOPERS FEES '!D23</f>
        <v>1524185.76</v>
      </c>
      <c r="H20" s="17">
        <f>'DEVELOPERS FEES '!D23</f>
        <v>1524185.76</v>
      </c>
      <c r="I20" s="17">
        <f>'DEVELOPERS FEES '!D23</f>
        <v>1524185.76</v>
      </c>
      <c r="J20" s="17">
        <f>'DEVELOPERS FEES '!D23</f>
        <v>1524185.76</v>
      </c>
      <c r="K20" s="17">
        <f>'DEVELOPERS FEES '!D23</f>
        <v>1524185.76</v>
      </c>
      <c r="L20" s="17">
        <f>'DEVELOPERS FEES '!D23</f>
        <v>1524185.76</v>
      </c>
      <c r="M20" s="17">
        <f>'DEVELOPERS FEES '!D23</f>
        <v>1524185.76</v>
      </c>
      <c r="N20" s="17">
        <f>'DEVELOPERS FEES '!D23</f>
        <v>1524185.76</v>
      </c>
      <c r="O20" s="17">
        <f>'DEVELOPERS FEES '!D23</f>
        <v>1524185.76</v>
      </c>
      <c r="P20" s="17">
        <f>'DEVELOPERS FEES '!D23</f>
        <v>1524185.76</v>
      </c>
    </row>
    <row r="21" spans="1:21">
      <c r="A21" t="s">
        <v>31</v>
      </c>
      <c r="B21" s="115">
        <f>SUM('2024 Xero HV  '!L44:O52)</f>
        <v>0</v>
      </c>
      <c r="C21" s="115">
        <f>SUM('2024 Xero HV  '!K44:O52)</f>
        <v>0</v>
      </c>
      <c r="D21" s="17">
        <f>SUM('2024 Xero HV  '!J44:O52)</f>
        <v>724952.38</v>
      </c>
      <c r="E21" s="17">
        <f>SUM('2024 Xero HV  '!I44:O52)</f>
        <v>2149904.7599999998</v>
      </c>
      <c r="F21" s="17">
        <f>SUM('2024 Xero HV  '!H44:O52)</f>
        <v>3574857.14</v>
      </c>
      <c r="G21" s="17">
        <f>SUM('2024 Xero HV  '!G44:O52)</f>
        <v>4999809.5199999996</v>
      </c>
      <c r="H21" s="17">
        <f>SUM('2024 Xero HV  '!F44:O52)</f>
        <v>6424761.9000000004</v>
      </c>
      <c r="I21" s="17">
        <f>SUM('2024 Xero HV  '!E44:O52)</f>
        <v>10099714.279999999</v>
      </c>
      <c r="J21" s="17">
        <f>SUM('2024 Xero HV  '!D44:O52)</f>
        <v>13774666.66</v>
      </c>
      <c r="K21" s="17">
        <f>SUM('2024 Xero HV  '!D44:O52)+SUM('2025 Xero HV'!O43:O51)</f>
        <v>15526816.289999999</v>
      </c>
      <c r="L21" s="17">
        <f>SUM('2024 Xero HV  '!D44:O52)+SUM('2025 Xero HV'!N43:O51)</f>
        <v>20060040.439999998</v>
      </c>
      <c r="M21" s="17">
        <f>SUM('2024 Xero HV  '!D44:O52)+SUM('2025 Xero HV'!M43:O51)</f>
        <v>23517682.210000001</v>
      </c>
      <c r="N21" s="17">
        <f>SUM('2024 Xero HV  '!D44:O52)+SUM('2025 Xero HV'!L43:O51)</f>
        <v>26736394.549999997</v>
      </c>
      <c r="O21" s="17">
        <f>SUM('2024 Xero HV  '!D44:O52)+SUM('2025 Xero HV'!K43:O51)</f>
        <v>30411346.93</v>
      </c>
      <c r="P21" s="17">
        <f>SUM('2024 Xero HV  '!D44:O52)+SUM('2025 Xero HV'!J43:O51)</f>
        <v>34086299.68</v>
      </c>
      <c r="T21" s="4"/>
      <c r="U21" s="124"/>
    </row>
    <row r="22" spans="1:21">
      <c r="A22" t="s">
        <v>32</v>
      </c>
      <c r="B22" s="115">
        <f>SUM('2024 Xero HV  '!L15:O15)</f>
        <v>0</v>
      </c>
      <c r="C22" s="115">
        <f>SUM('2024 Xero HV  '!K15:O15)</f>
        <v>0</v>
      </c>
      <c r="D22" s="17">
        <f>SUM('2024 Xero HV  '!J15:O15)</f>
        <v>441743.85</v>
      </c>
      <c r="E22" s="17">
        <f>SUM('2024 Xero HV  '!I15:O15)</f>
        <v>883487.7</v>
      </c>
      <c r="F22" s="17">
        <f>SUM('2024 Xero HV  '!H15:O15)</f>
        <v>1685231.5499999998</v>
      </c>
      <c r="G22" s="17">
        <f>SUM('2024 Xero HV  '!G15:O15)</f>
        <v>2486975.4</v>
      </c>
      <c r="H22" s="17">
        <f>SUM('2024 Xero HV  '!F15:O15)</f>
        <v>2928719.25</v>
      </c>
      <c r="I22" s="17">
        <f>SUM('2024 Xero HV  '!E15:O15)</f>
        <v>3670463.1</v>
      </c>
      <c r="J22" s="17">
        <f>SUM('2024 Xero HV  '!D15:O15)</f>
        <v>4952206.95</v>
      </c>
      <c r="K22" s="17">
        <f>SUM('2024 Xero HV  '!D15:O15)+SUM('2025 Xero HV'!O15)</f>
        <v>6713950.8000000007</v>
      </c>
      <c r="L22" s="17">
        <f>SUM('2024 Xero HV  '!D15:O15)+SUM('2025 Xero HV'!N15:O15)</f>
        <v>7755694.6500000004</v>
      </c>
      <c r="M22" s="17">
        <f>SUM('2024 Xero HV  '!D15:O15)+SUM('2025 Xero HV'!M15:O15)</f>
        <v>8497438.5</v>
      </c>
      <c r="N22" s="17">
        <f>SUM('2024 Xero HV  '!D15:O15)+SUM('2025 Xero HV'!L15:O15)</f>
        <v>9719182.3500000015</v>
      </c>
      <c r="O22" s="17">
        <f>SUM('2024 Xero HV  '!D15:O15)+SUM('2025 Xero HV'!K15:O15)</f>
        <v>10157969.240000002</v>
      </c>
      <c r="P22" s="17">
        <f>SUM('2024 Xero HV  '!D15:O15)+SUM('2025 Xero HV'!J15:O15)</f>
        <v>11619713.039999999</v>
      </c>
      <c r="T22" s="4"/>
      <c r="U22" s="124"/>
    </row>
    <row r="23" spans="1:21">
      <c r="A23" t="s">
        <v>33</v>
      </c>
      <c r="B23" s="115">
        <f>SUM('2024 Xero HV  '!L24:O24)</f>
        <v>0</v>
      </c>
      <c r="C23" s="115">
        <f>SUM('2024 Xero HV  '!K24:O24)</f>
        <v>0</v>
      </c>
      <c r="D23" s="17">
        <f>SUM('2024 Xero HV  '!J24:O24)</f>
        <v>211504.97999999998</v>
      </c>
      <c r="E23" s="17">
        <f>SUM('2024 Xero HV  '!I24:O24)</f>
        <v>423009.95999999996</v>
      </c>
      <c r="F23" s="17">
        <f>SUM('2024 Xero HV  '!H24:O24)</f>
        <v>814514.94</v>
      </c>
      <c r="G23" s="17">
        <f>SUM('2024 Xero HV  '!G24:O24)</f>
        <v>1206019.92</v>
      </c>
      <c r="H23" s="17">
        <f>SUM('2024 Xero HV  '!F24:O24)</f>
        <v>1417524.9</v>
      </c>
      <c r="I23" s="17">
        <f>SUM('2024 Xero HV  '!E24:O24)</f>
        <v>1779029.88</v>
      </c>
      <c r="J23" s="17">
        <f>SUM('2024 Xero HV  '!D24:O24)</f>
        <v>2410534.86</v>
      </c>
      <c r="K23" s="17">
        <f>SUM('2024 Xero HV  '!D24:O24)+SUM('2025 Xero HV'!O23)</f>
        <v>3282039.84</v>
      </c>
      <c r="L23" s="17">
        <f>SUM('2024 Xero HV  '!D24:O24)+SUM('2025 Xero HV'!N23:O23)</f>
        <v>3793544.82</v>
      </c>
      <c r="M23" s="17">
        <f>SUM('2024 Xero HV  '!D24:O24)+SUM('2025 Xero HV'!M23:O23)</f>
        <v>4155049.8</v>
      </c>
      <c r="N23" s="17">
        <f>SUM('2024 Xero HV  '!D24:O24)+SUM('2025 Xero HV'!L23:O23)</f>
        <v>4756554.7799999993</v>
      </c>
      <c r="O23" s="17">
        <f>SUM('2024 Xero HV  '!D24:O24)+SUM('2025 Xero HV'!K23:O23)</f>
        <v>4982464.3599999994</v>
      </c>
      <c r="P23" s="17">
        <f>SUM('2024 Xero HV  '!D24:O24)+SUM('2025 Xero HV'!J23:O23)</f>
        <v>5703969.2999999998</v>
      </c>
      <c r="T23" s="4"/>
      <c r="U23" s="124"/>
    </row>
    <row r="24" spans="1:21">
      <c r="A24" t="s">
        <v>34</v>
      </c>
      <c r="B24" s="115">
        <f>SUM('2024 Xero HV  '!L23:O23)</f>
        <v>0</v>
      </c>
      <c r="C24" s="115">
        <f>SUM('2024 Xero HV  '!K23:O23)</f>
        <v>0</v>
      </c>
      <c r="D24" s="17">
        <f>SUM('2024 Xero HV  '!J23:O23)</f>
        <v>0</v>
      </c>
      <c r="E24" s="17">
        <f>SUM('2024 Xero HV  '!I23:O23)</f>
        <v>0</v>
      </c>
      <c r="F24" s="17">
        <f>SUM('2024 Xero HV  '!H23:O23)</f>
        <v>0</v>
      </c>
      <c r="G24" s="17">
        <f>SUM('2024 Xero HV  '!G23:O23)</f>
        <v>0</v>
      </c>
      <c r="H24" s="17">
        <f>SUM('2024 Xero HV  '!F23:O23)</f>
        <v>0</v>
      </c>
      <c r="I24" s="17">
        <f>SUM('2024 Xero HV  '!E23:O23)</f>
        <v>0</v>
      </c>
      <c r="J24" s="17">
        <f>SUM('2024 Xero HV  '!D23:O23)</f>
        <v>0</v>
      </c>
      <c r="K24" s="17">
        <f>SUM('2024 Xero HV  '!L23:O23)+SUM('2025 Xero HV'!O22)</f>
        <v>0</v>
      </c>
      <c r="L24" s="17">
        <f>SUM('2024 Xero HV  '!L23:O23)+SUM('2025 Xero HV'!N22:O22)</f>
        <v>0</v>
      </c>
      <c r="M24" s="17">
        <f>SUM('2024 Xero HV  '!L23:O23)+SUM('2025 Xero HV'!M22:O22)</f>
        <v>0</v>
      </c>
      <c r="N24" s="17">
        <f>SUM('2024 Xero HV  '!L23:O23)+SUM('2025 Xero HV'!L22:O22)</f>
        <v>0</v>
      </c>
      <c r="O24" s="17">
        <f>SUM('2024 Xero HV  '!D23:O23)+SUM('2025 Xero HV'!K22:O22)</f>
        <v>0</v>
      </c>
      <c r="P24" s="17">
        <f>SUM('2024 Xero HV  '!D23:O23)+SUM('2025 Xero HV'!J22:O22)</f>
        <v>0</v>
      </c>
    </row>
    <row r="25" spans="1:21">
      <c r="A25" t="s">
        <v>35</v>
      </c>
      <c r="B25" s="115">
        <f>SUM('2024 Xero HV  '!L20:O20)</f>
        <v>14689.94</v>
      </c>
      <c r="C25" s="115">
        <f>SUM('2024 Xero HV  '!K20:O20)</f>
        <v>14689.94</v>
      </c>
      <c r="D25" s="17">
        <f>SUM('2024 Xero HV  '!J20:O20)</f>
        <v>14689.94</v>
      </c>
      <c r="E25" s="17">
        <f>SUM('2024 Xero HV  '!I20:O20)</f>
        <v>14689.94</v>
      </c>
      <c r="F25" s="17">
        <f>SUM('2024 Xero HV  '!H20:O20)</f>
        <v>14689.94</v>
      </c>
      <c r="G25" s="17">
        <f>SUM('2024 Xero HV  '!G20:O20)</f>
        <v>14689.94</v>
      </c>
      <c r="H25" s="17">
        <f>SUM('2024 Xero HV  '!F20:O20)</f>
        <v>14689.94</v>
      </c>
      <c r="I25" s="17">
        <f>SUM('2024 Xero HV  '!E20:O20)</f>
        <v>14689.94</v>
      </c>
      <c r="J25" s="17">
        <f>SUM('2024 Xero HV  '!D20:O20)</f>
        <v>14689.94</v>
      </c>
      <c r="K25" s="17">
        <f>SUM('2024 Xero HV  '!D20:O20)</f>
        <v>14689.94</v>
      </c>
      <c r="L25" s="17">
        <f>SUM('2024 Xero HV  '!D20:O20)</f>
        <v>14689.94</v>
      </c>
      <c r="M25" s="17">
        <f>SUM('2024 Xero HV  '!D20:O20)</f>
        <v>14689.94</v>
      </c>
      <c r="N25" s="17">
        <f>SUM('2024 Xero HV  '!D20:O20)</f>
        <v>14689.94</v>
      </c>
      <c r="O25" s="17">
        <f>SUM('2024 Xero HV  '!D20:O20)</f>
        <v>14689.94</v>
      </c>
      <c r="P25" s="17">
        <f>SUM('2024 Xero HV  '!D20:O20)</f>
        <v>14689.94</v>
      </c>
    </row>
    <row r="26" spans="1:21">
      <c r="A26" t="s">
        <v>36</v>
      </c>
      <c r="B26" s="115"/>
      <c r="C26" s="11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21">
      <c r="A27" t="s">
        <v>37</v>
      </c>
      <c r="B27" s="115"/>
      <c r="C27" s="11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>
        <v>1159493.043478261</v>
      </c>
      <c r="T27" s="4"/>
      <c r="U27" s="124"/>
    </row>
    <row r="28" spans="1:21">
      <c r="A28" t="s">
        <v>38</v>
      </c>
      <c r="B28" s="115"/>
      <c r="C28" s="11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21">
      <c r="A29" t="s">
        <v>39</v>
      </c>
      <c r="B29" s="116"/>
      <c r="C29" s="1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1">
      <c r="C30" s="11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21">
      <c r="A31" t="s">
        <v>40</v>
      </c>
      <c r="B31" s="117">
        <f t="shared" ref="B31:P31" si="3">B4-B11</f>
        <v>-63443778.478</v>
      </c>
      <c r="C31" s="117">
        <f t="shared" si="3"/>
        <v>-66702264.038000003</v>
      </c>
      <c r="D31" s="62">
        <f t="shared" si="3"/>
        <v>-68362002.10800001</v>
      </c>
      <c r="E31" s="62">
        <f t="shared" si="3"/>
        <v>-70406740.178000003</v>
      </c>
      <c r="F31" s="62">
        <f t="shared" si="3"/>
        <v>-64891478.247999996</v>
      </c>
      <c r="G31" s="62">
        <f t="shared" si="3"/>
        <v>-61376216.318000004</v>
      </c>
      <c r="H31" s="62">
        <f t="shared" si="3"/>
        <v>-65420954.388000041</v>
      </c>
      <c r="I31" s="62">
        <f t="shared" si="3"/>
        <v>-66836431.588000029</v>
      </c>
      <c r="J31" s="62">
        <f t="shared" si="3"/>
        <v>-58438247.628000036</v>
      </c>
      <c r="K31" s="62">
        <f t="shared" si="3"/>
        <v>-39172644.218000054</v>
      </c>
      <c r="L31" s="62">
        <f t="shared" si="3"/>
        <v>-39364443.188000023</v>
      </c>
      <c r="M31" s="62">
        <f t="shared" si="3"/>
        <v>-45301963.538000047</v>
      </c>
      <c r="N31" s="62">
        <f t="shared" si="3"/>
        <v>-39764823.178000033</v>
      </c>
      <c r="O31" s="62">
        <f t="shared" si="3"/>
        <v>-13362523.60800004</v>
      </c>
      <c r="P31" s="62">
        <f t="shared" si="3"/>
        <v>-9742159.3814783096</v>
      </c>
    </row>
    <row r="32" spans="1:21">
      <c r="C32" s="11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t="s">
        <v>41</v>
      </c>
      <c r="B33" s="113">
        <f t="shared" ref="B33:P33" si="4">SUM(B35:B55)</f>
        <v>110675.78</v>
      </c>
      <c r="C33" s="113">
        <f t="shared" si="4"/>
        <v>130832.78</v>
      </c>
      <c r="D33" s="4">
        <f t="shared" si="4"/>
        <v>138682.78</v>
      </c>
      <c r="E33" s="4">
        <f t="shared" si="4"/>
        <v>146532.78</v>
      </c>
      <c r="F33" s="4">
        <f t="shared" si="4"/>
        <v>154382.78</v>
      </c>
      <c r="G33" s="4">
        <f t="shared" si="4"/>
        <v>162232.78</v>
      </c>
      <c r="H33" s="4">
        <f t="shared" si="4"/>
        <v>170082.78</v>
      </c>
      <c r="I33" s="4">
        <f t="shared" si="4"/>
        <v>177932.78</v>
      </c>
      <c r="J33" s="4">
        <f t="shared" si="4"/>
        <v>185782.78</v>
      </c>
      <c r="K33" s="4">
        <f t="shared" si="4"/>
        <v>237912.53999999998</v>
      </c>
      <c r="L33" s="4">
        <f t="shared" si="4"/>
        <v>290772.53999999998</v>
      </c>
      <c r="M33" s="4">
        <f t="shared" si="4"/>
        <v>353242.06999999995</v>
      </c>
      <c r="N33" s="4">
        <f t="shared" si="4"/>
        <v>397631.2</v>
      </c>
      <c r="O33" s="4">
        <f t="shared" si="4"/>
        <v>397631.2</v>
      </c>
      <c r="P33" s="4">
        <f t="shared" si="4"/>
        <v>397631.2</v>
      </c>
    </row>
    <row r="34" spans="1:16">
      <c r="C34" s="11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t="s">
        <v>42</v>
      </c>
      <c r="B35" s="114">
        <f>+SUM('TB HV 23'!D7:D10)+SUM('2024 Xero HV  '!L35:O37)</f>
        <v>87421.16</v>
      </c>
      <c r="C35" s="114">
        <f>+SUM('TB HV 23'!D7:D10)+SUM('2024 Xero HV  '!K35:O37)</f>
        <v>99728.16</v>
      </c>
      <c r="D35" s="16">
        <f>SUM('TB HV 23'!D7:D10)+SUM('2024 Xero HV  '!J35:O37)</f>
        <v>99728.16</v>
      </c>
      <c r="E35" s="16">
        <f>SUM('TB HV 23'!D7:D10)+SUM('2024 Xero HV  '!I35:O37)</f>
        <v>99728.16</v>
      </c>
      <c r="F35" s="16">
        <f>SUM('TB HV 23'!D7:D10)+SUM('2024 Xero HV  '!H35:O37)</f>
        <v>99728.16</v>
      </c>
      <c r="G35" s="16">
        <f>SUM('TB HV 23'!D7:D10)+SUM('2024 Xero HV  '!G35:O37)</f>
        <v>99728.16</v>
      </c>
      <c r="H35" s="16">
        <f>SUM('TB HV 23'!D7:D10)+SUM('2024 Xero HV  '!F35:O37)</f>
        <v>99728.16</v>
      </c>
      <c r="I35" s="16">
        <f>SUM('TB HV 23'!D7:D10)+SUM('2024 Xero HV  '!E35:O37)</f>
        <v>99728.16</v>
      </c>
      <c r="J35" s="16">
        <f>SUM('TB HV 23'!D7:D10)+SUM('2024 Xero HV  '!D35:O37)</f>
        <v>99728.16</v>
      </c>
      <c r="K35" s="16">
        <f>SUM('TB HV 23'!D7:D10)+SUM('2024 Xero HV  '!D35:O37)+SUM('2025 Xero HV'!O34:O36)</f>
        <v>147257.91999999998</v>
      </c>
      <c r="L35" s="16">
        <f>SUM('TB HV 23'!D7:D10)+SUM('2024 Xero HV  '!D35:O37)+SUM('2025 Xero HV'!N34:O36)</f>
        <v>195517.91999999998</v>
      </c>
      <c r="M35" s="16">
        <f>SUM('TB HV 23'!D7:D10)+SUM('2024 Xero HV  '!D35:O37)+SUM('2025 Xero HV'!M34:O36)</f>
        <v>253387.44999999998</v>
      </c>
      <c r="N35" s="16">
        <f>SUM('TB HV 23'!D7:D10)+SUM('2024 Xero HV  '!D35:O37)+SUM('2025 Xero HV'!L34:O36)</f>
        <v>292976.58</v>
      </c>
      <c r="O35" s="16">
        <f>SUM('TB HV 23'!D7:D10)+SUM('2024 Xero HV  '!D35:O37)+SUM('2025 Xero HV'!K34:O36)</f>
        <v>292976.58</v>
      </c>
      <c r="P35" s="16">
        <f>SUM('TB HV 23'!D7:D10)+SUM('2024 Xero HV  '!D35:O37)+SUM('2025 Xero HV'!J34:O36)</f>
        <v>292976.58</v>
      </c>
    </row>
    <row r="36" spans="1:16">
      <c r="A36" t="s">
        <v>43</v>
      </c>
      <c r="B36" s="115">
        <f>SUM('2024 Xero HV  '!L53:O53)</f>
        <v>0</v>
      </c>
      <c r="C36" s="115">
        <f>SUM('2024 Xero HV  '!K53:O53)</f>
        <v>0</v>
      </c>
      <c r="D36" s="17">
        <f>SUM('2024 Xero HV  '!J53:O53)</f>
        <v>0</v>
      </c>
      <c r="E36" s="17">
        <f>SUM('2024 Xero HV  '!I53:O53)</f>
        <v>0</v>
      </c>
      <c r="F36" s="17">
        <f>SUM('2024 Xero HV  '!H53:O53)</f>
        <v>0</v>
      </c>
      <c r="G36" s="17">
        <f>SUM('2024 Xero HV  '!G53:O53)</f>
        <v>0</v>
      </c>
      <c r="H36" s="17">
        <f>SUM('2024 Xero HV  '!F53:O53)</f>
        <v>0</v>
      </c>
      <c r="I36" s="17">
        <f>SUM('2024 Xero HV  '!E53:O53)</f>
        <v>0</v>
      </c>
      <c r="J36" s="17">
        <f>SUM('2024 Xero HV  '!D53:O53)</f>
        <v>0</v>
      </c>
      <c r="K36" s="17">
        <f>SUM('2024 Xero HV  '!D53:O53)</f>
        <v>0</v>
      </c>
      <c r="L36" s="17">
        <f>SUM('2024 Xero HV  '!D53:O53)</f>
        <v>0</v>
      </c>
      <c r="M36" s="17">
        <f>SUM('2024 Xero HV  '!D53:O53)</f>
        <v>0</v>
      </c>
      <c r="N36" s="17">
        <f>SUM('2024 Xero HV  '!D53:O53)</f>
        <v>0</v>
      </c>
      <c r="O36" s="17">
        <f>SUM('2024 Xero HV  '!D53:O53)</f>
        <v>0</v>
      </c>
      <c r="P36" s="17">
        <f>SUM('2024 Xero HV  '!D53:O53)</f>
        <v>0</v>
      </c>
    </row>
    <row r="37" spans="1:16">
      <c r="A37" t="s">
        <v>44</v>
      </c>
      <c r="B37" s="115"/>
      <c r="C37" s="11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>
      <c r="A38" t="s">
        <v>45</v>
      </c>
      <c r="B38" s="115"/>
      <c r="C38" s="115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>
      <c r="A39" t="s">
        <v>46</v>
      </c>
      <c r="B39" s="115">
        <f>SUM('2024 Xero HV  '!L40:O40)</f>
        <v>7250</v>
      </c>
      <c r="C39" s="115">
        <f>SUM('2024 Xero HV  '!K40:O40)</f>
        <v>14500</v>
      </c>
      <c r="D39" s="17">
        <f>SUM('2024 Xero HV  '!J40:O40)</f>
        <v>21750</v>
      </c>
      <c r="E39" s="17">
        <f>SUM('2024 Xero HV  '!I40:O40)</f>
        <v>29000</v>
      </c>
      <c r="F39" s="17">
        <f>SUM('2024 Xero HV  '!H40:O40)</f>
        <v>36250</v>
      </c>
      <c r="G39" s="17">
        <f>SUM('2024 Xero HV  '!G40:O40)</f>
        <v>43500</v>
      </c>
      <c r="H39" s="17">
        <f>SUM('2024 Xero HV  '!F40:O40)</f>
        <v>50750</v>
      </c>
      <c r="I39" s="17">
        <f>SUM('2024 Xero HV  '!E40:O40)</f>
        <v>58000</v>
      </c>
      <c r="J39" s="17">
        <f>SUM('2024 Xero HV  '!D40:O40)</f>
        <v>65250</v>
      </c>
      <c r="K39" s="17">
        <f>SUM('2024 Xero HV  '!D40:O40)+SUM('2025 Xero HV'!O39)</f>
        <v>69250</v>
      </c>
      <c r="L39" s="17">
        <f>SUM('2024 Xero HV  '!D40:O40)+SUM('2025 Xero HV'!N39:O39)</f>
        <v>73250</v>
      </c>
      <c r="M39" s="17">
        <f>SUM('2024 Xero HV  '!D40:O40)+SUM('2025 Xero HV'!M39:O39)</f>
        <v>77250</v>
      </c>
      <c r="N39" s="17">
        <f>SUM('2024 Xero HV  '!D40:O40)+SUM('2025 Xero HV'!L39:O39)</f>
        <v>81450</v>
      </c>
      <c r="O39" s="17">
        <f>SUM('2024 Xero HV  '!D40:O40)+SUM('2025 Xero HV'!K39:O39)</f>
        <v>81450</v>
      </c>
      <c r="P39" s="17">
        <f>SUM('2024 Xero HV  '!D40:O40)+SUM('2025 Xero HV'!J39:O39)</f>
        <v>81450</v>
      </c>
    </row>
    <row r="40" spans="1:16">
      <c r="A40" t="s">
        <v>47</v>
      </c>
      <c r="B40" s="115"/>
      <c r="C40" s="115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>
      <c r="A41" t="s">
        <v>48</v>
      </c>
      <c r="B41" s="115"/>
      <c r="C41" s="115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>
      <c r="A42" t="s">
        <v>49</v>
      </c>
      <c r="B42" s="115"/>
      <c r="C42" s="115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>
      <c r="A43" t="s">
        <v>50</v>
      </c>
      <c r="B43" s="115"/>
      <c r="C43" s="11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>
      <c r="A44" t="s">
        <v>51</v>
      </c>
      <c r="B44" s="115"/>
      <c r="C44" s="115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>
      <c r="A45" t="s">
        <v>34</v>
      </c>
      <c r="B45" s="115"/>
      <c r="C45" s="115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>
      <c r="A46" t="s">
        <v>52</v>
      </c>
      <c r="B46" s="115">
        <f>SUM('TB HV 23'!D11)</f>
        <v>3404.62</v>
      </c>
      <c r="C46" s="115">
        <f>SUM('TB HV 23'!D11)</f>
        <v>3404.62</v>
      </c>
      <c r="D46" s="17">
        <f>SUM('TB HV 23'!D11)</f>
        <v>3404.62</v>
      </c>
      <c r="E46" s="17">
        <f>SUM('TB HV 23'!D11)</f>
        <v>3404.62</v>
      </c>
      <c r="F46" s="17">
        <f>SUM('TB HV 23'!D11)</f>
        <v>3404.62</v>
      </c>
      <c r="G46" s="17">
        <f>SUM('TB HV 23'!D11)</f>
        <v>3404.62</v>
      </c>
      <c r="H46" s="17">
        <f>SUM('TB HV 23'!D11)</f>
        <v>3404.62</v>
      </c>
      <c r="I46" s="17">
        <f>SUM('TB HV 23'!D11)</f>
        <v>3404.62</v>
      </c>
      <c r="J46" s="17">
        <f>SUM('TB HV 23'!D11)</f>
        <v>3404.62</v>
      </c>
      <c r="K46" s="17">
        <f>SUM('TB HV 23'!D11)</f>
        <v>3404.62</v>
      </c>
      <c r="L46" s="17">
        <f>SUM('TB HV 23'!D11)</f>
        <v>3404.62</v>
      </c>
      <c r="M46" s="17">
        <f>SUM('TB HV 23'!D11)</f>
        <v>3404.62</v>
      </c>
      <c r="N46" s="17">
        <f>SUM('TB HV 23'!D11)</f>
        <v>3404.62</v>
      </c>
      <c r="O46" s="17">
        <f>SUM('TB HV 23'!D11)</f>
        <v>3404.62</v>
      </c>
      <c r="P46" s="17">
        <f>SUM('TB HV 23'!D11)</f>
        <v>3404.62</v>
      </c>
    </row>
    <row r="47" spans="1:16">
      <c r="A47" t="s">
        <v>53</v>
      </c>
      <c r="B47" s="115"/>
      <c r="C47" s="11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>
      <c r="A48" t="s">
        <v>54</v>
      </c>
      <c r="B48" s="115"/>
      <c r="C48" s="115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8">
      <c r="A49" t="s">
        <v>55</v>
      </c>
      <c r="B49" s="115"/>
      <c r="C49" s="115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8">
      <c r="A50" t="s">
        <v>56</v>
      </c>
      <c r="B50" s="115"/>
      <c r="C50" s="115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8">
      <c r="A51" t="s">
        <v>57</v>
      </c>
      <c r="B51" s="115"/>
      <c r="C51" s="11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8">
      <c r="A52" t="s">
        <v>58</v>
      </c>
      <c r="B52" s="115">
        <f>SUM('2024 Xero HV  '!L63:O63)</f>
        <v>0</v>
      </c>
      <c r="C52" s="115">
        <f>SUM('2024 Xero HV  '!K63:O63)</f>
        <v>0</v>
      </c>
      <c r="D52" s="17">
        <f>SUM('2024 Xero HV  '!J63:O63)</f>
        <v>0</v>
      </c>
      <c r="E52" s="17">
        <f>SUM('2024 Xero HV  '!I63:O63)</f>
        <v>0</v>
      </c>
      <c r="F52" s="17">
        <f>SUM('2024 Xero HV  '!H63:O63)</f>
        <v>0</v>
      </c>
      <c r="G52" s="17">
        <f>SUM('2024 Xero HV  '!G63:O63)</f>
        <v>0</v>
      </c>
      <c r="H52" s="17">
        <f>SUM('2024 Xero HV  '!F63:O63)</f>
        <v>0</v>
      </c>
      <c r="I52" s="17">
        <f>SUM('2024 Xero HV  '!E63:O63)</f>
        <v>0</v>
      </c>
      <c r="J52" s="17">
        <f>SUM('2024 Xero HV  '!D63:O63)</f>
        <v>0</v>
      </c>
      <c r="K52" s="17">
        <f>SUM('2024 Xero HV  '!D63:O63)+SUM('2025 Xero HV'!O62)</f>
        <v>0</v>
      </c>
      <c r="L52" s="17">
        <f>SUM('2024 Xero HV  '!D63:O63)+SUM('2025 Xero HV'!N62:O62)</f>
        <v>0</v>
      </c>
      <c r="M52" s="17">
        <f>SUM('2024 Xero HV  '!D63:O63)+SUM('2025 Xero HV'!M62:O62)</f>
        <v>0</v>
      </c>
      <c r="N52" s="17">
        <f>SUM('2024 Xero HV  '!D63:O63)+SUM('2025 Xero HV'!L62:O62)</f>
        <v>0</v>
      </c>
      <c r="O52" s="17">
        <f>SUM('2024 Xero HV  '!D63:O63)+SUM('2025 Xero HV'!K62:O62)</f>
        <v>0</v>
      </c>
      <c r="P52" s="17">
        <f>SUM('2024 Xero HV  '!D63:O63)+SUM('2025 Xero HV'!J62:O62)</f>
        <v>0</v>
      </c>
    </row>
    <row r="53" spans="1:18">
      <c r="A53" t="s">
        <v>59</v>
      </c>
      <c r="B53" s="115">
        <f>SUM('TB HV 23'!D12)+SUM('2024 Xero HV  '!L61:O62)</f>
        <v>12600</v>
      </c>
      <c r="C53" s="115">
        <f>SUM('TB HV 23'!D12)+SUM('2024 Xero HV  '!K61:O62)</f>
        <v>13200</v>
      </c>
      <c r="D53" s="17">
        <f>SUM('TB HV 23'!D12)+SUM('2024 Xero HV  '!J61:O62)</f>
        <v>13800</v>
      </c>
      <c r="E53" s="17">
        <f>SUM('TB HV 23'!D12)+SUM('2024 Xero HV  '!I61:O62)</f>
        <v>14400</v>
      </c>
      <c r="F53" s="17">
        <f>SUM('TB HV 23'!D12)+SUM('2024 Xero HV  '!H61:O62)</f>
        <v>15000</v>
      </c>
      <c r="G53" s="17">
        <f>SUM('TB HV 23'!D12)+SUM('2024 Xero HV  '!G61:O62)</f>
        <v>15600</v>
      </c>
      <c r="H53" s="17">
        <f>SUM('TB HV 23'!D12)+SUM('2024 Xero HV  '!F61:O62)</f>
        <v>16200</v>
      </c>
      <c r="I53" s="17">
        <f>SUM('TB HV 23'!D12)+SUM('2024 Xero HV  '!E61:O62)</f>
        <v>16800</v>
      </c>
      <c r="J53" s="17">
        <f>SUM('TB HV 23'!D12)+SUM('2024 Xero HV  '!D61:O62)</f>
        <v>17400</v>
      </c>
      <c r="K53" s="17">
        <f>SUM('TB HV 23'!D12)+SUM('2024 Xero HV  '!D61:O62)+SUM('2025 Xero HV'!O60:O61)</f>
        <v>18000</v>
      </c>
      <c r="L53" s="17">
        <f>SUM('TB HV 23'!D12)+SUM('2024 Xero HV  '!D61:O62)+SUM('2025 Xero HV'!N60:O61)</f>
        <v>18600</v>
      </c>
      <c r="M53" s="17">
        <f>SUM('TB HV 23'!D12)+SUM('2024 Xero HV  '!D61:O62)+SUM('2025 Xero HV'!M60:O61)</f>
        <v>19200</v>
      </c>
      <c r="N53" s="17">
        <f>SUM('TB HV 23'!D12)+SUM('2024 Xero HV  '!D61:O62)+SUM('2025 Xero HV'!L60:O61)</f>
        <v>19800</v>
      </c>
      <c r="O53" s="17">
        <f>SUM('TB HV 23'!D12)+SUM('2024 Xero HV  '!D61:O62)+SUM('2025 Xero HV'!K60:O61)</f>
        <v>19800</v>
      </c>
      <c r="P53" s="17">
        <f>SUM('TB HV 23'!D12)+SUM('2024 Xero HV  '!D61:O62)+SUM('2025 Xero HV'!J60:O61)</f>
        <v>19800</v>
      </c>
    </row>
    <row r="54" spans="1:18">
      <c r="A54" t="s">
        <v>60</v>
      </c>
      <c r="B54" s="116"/>
      <c r="C54" s="116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8">
      <c r="C55" s="11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8" ht="16" customHeight="1" thickBot="1">
      <c r="A56" s="12" t="s">
        <v>61</v>
      </c>
      <c r="B56" s="118">
        <f t="shared" ref="B56:P56" si="5">B31-B33</f>
        <v>-63554454.258000001</v>
      </c>
      <c r="C56" s="118">
        <f t="shared" si="5"/>
        <v>-66833096.818000004</v>
      </c>
      <c r="D56" s="65">
        <f t="shared" si="5"/>
        <v>-68500684.888000011</v>
      </c>
      <c r="E56" s="65">
        <f t="shared" si="5"/>
        <v>-70553272.958000004</v>
      </c>
      <c r="F56" s="65">
        <f t="shared" si="5"/>
        <v>-65045861.027999997</v>
      </c>
      <c r="G56" s="65">
        <f t="shared" si="5"/>
        <v>-61538449.098000005</v>
      </c>
      <c r="H56" s="65">
        <f t="shared" si="5"/>
        <v>-65591037.168000042</v>
      </c>
      <c r="I56" s="65">
        <f t="shared" si="5"/>
        <v>-67014364.368000031</v>
      </c>
      <c r="J56" s="65">
        <f t="shared" si="5"/>
        <v>-58624030.408000037</v>
      </c>
      <c r="K56" s="65">
        <f t="shared" si="5"/>
        <v>-39410556.758000053</v>
      </c>
      <c r="L56" s="65">
        <f t="shared" si="5"/>
        <v>-39655215.728000022</v>
      </c>
      <c r="M56" s="65">
        <f t="shared" si="5"/>
        <v>-45655205.608000048</v>
      </c>
      <c r="N56" s="65">
        <f t="shared" si="5"/>
        <v>-40162454.378000036</v>
      </c>
      <c r="O56" s="65">
        <f t="shared" si="5"/>
        <v>-13760154.808000039</v>
      </c>
      <c r="P56" s="65">
        <f t="shared" si="5"/>
        <v>-10139790.581478309</v>
      </c>
      <c r="R56" s="125"/>
    </row>
    <row r="57" spans="1:18" ht="16" customHeight="1" thickTop="1"/>
    <row r="58" spans="1:18">
      <c r="O58" t="s">
        <v>62</v>
      </c>
      <c r="P58" s="4">
        <f>P17-O17</f>
        <v>3929143.0200000005</v>
      </c>
    </row>
    <row r="59" spans="1:18">
      <c r="O59" t="s">
        <v>63</v>
      </c>
      <c r="P59" s="12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"/>
  <sheetViews>
    <sheetView showGridLines="0" zoomScaleNormal="100" workbookViewId="0">
      <selection activeCell="B40" sqref="B40"/>
    </sheetView>
  </sheetViews>
  <sheetFormatPr baseColWidth="10" defaultColWidth="8.83203125" defaultRowHeight="12"/>
  <cols>
    <col min="1" max="1" width="37.33203125" style="68" customWidth="1"/>
    <col min="2" max="4" width="11.83203125" style="68" customWidth="1"/>
    <col min="5" max="6" width="8.83203125" style="68" customWidth="1"/>
    <col min="7" max="16384" width="8.83203125" style="68"/>
  </cols>
  <sheetData>
    <row r="1" spans="1:4" s="66" customFormat="1" ht="18" customHeight="1">
      <c r="A1" s="128" t="s">
        <v>64</v>
      </c>
      <c r="B1" s="129"/>
      <c r="C1" s="129"/>
      <c r="D1" s="129"/>
    </row>
    <row r="2" spans="1:4" s="67" customFormat="1" ht="15.5" customHeight="1">
      <c r="A2" s="130" t="s">
        <v>65</v>
      </c>
      <c r="B2" s="131"/>
      <c r="C2" s="131"/>
      <c r="D2" s="131"/>
    </row>
    <row r="3" spans="1:4" s="67" customFormat="1" ht="15.5" customHeight="1">
      <c r="A3" s="130" t="s">
        <v>66</v>
      </c>
      <c r="B3" s="131"/>
      <c r="C3" s="131"/>
      <c r="D3" s="131"/>
    </row>
    <row r="4" spans="1:4" ht="13.25" customHeight="1"/>
    <row r="5" spans="1:4" s="71" customFormat="1" ht="13" customHeight="1">
      <c r="A5" s="69" t="s">
        <v>67</v>
      </c>
      <c r="B5" s="70" t="s">
        <v>68</v>
      </c>
      <c r="C5" s="70" t="s">
        <v>69</v>
      </c>
      <c r="D5" s="70" t="s">
        <v>70</v>
      </c>
    </row>
    <row r="6" spans="1:4" ht="13.25" customHeight="1"/>
    <row r="7" spans="1:4" s="71" customFormat="1" ht="13" customHeight="1">
      <c r="A7" s="126" t="s">
        <v>71</v>
      </c>
      <c r="B7" s="127"/>
      <c r="C7" s="127"/>
      <c r="D7" s="127"/>
    </row>
    <row r="8" spans="1:4" ht="11.75" customHeight="1">
      <c r="A8" s="72" t="s">
        <v>72</v>
      </c>
      <c r="B8" s="73">
        <v>0</v>
      </c>
      <c r="C8" s="73">
        <v>0</v>
      </c>
      <c r="D8" s="73">
        <v>-4.3600000000000003</v>
      </c>
    </row>
    <row r="9" spans="1:4" ht="11.75" customHeight="1">
      <c r="A9" s="74" t="s">
        <v>73</v>
      </c>
      <c r="B9" s="75">
        <v>0</v>
      </c>
      <c r="C9" s="75">
        <v>12046638.060000001</v>
      </c>
      <c r="D9" s="75">
        <v>17741366.120000001</v>
      </c>
    </row>
    <row r="10" spans="1:4" ht="11.75" customHeight="1">
      <c r="A10" s="74" t="s">
        <v>74</v>
      </c>
      <c r="B10" s="75">
        <v>0</v>
      </c>
      <c r="C10" s="75">
        <v>0</v>
      </c>
      <c r="D10" s="75">
        <v>2966308.21</v>
      </c>
    </row>
    <row r="11" spans="1:4" ht="11.75" customHeight="1">
      <c r="A11" s="74" t="s">
        <v>75</v>
      </c>
      <c r="B11" s="75">
        <v>22830636.539999999</v>
      </c>
      <c r="C11" s="75">
        <v>51856469.729999997</v>
      </c>
      <c r="D11" s="75">
        <v>160638.13</v>
      </c>
    </row>
    <row r="12" spans="1:4" ht="11.75" customHeight="1">
      <c r="A12" s="74" t="s">
        <v>76</v>
      </c>
      <c r="B12" s="75">
        <v>0</v>
      </c>
      <c r="C12" s="75">
        <v>1782369.8</v>
      </c>
      <c r="D12" s="75">
        <v>0</v>
      </c>
    </row>
    <row r="13" spans="1:4" ht="11.75" customHeight="1">
      <c r="A13" s="74" t="s">
        <v>77</v>
      </c>
      <c r="B13" s="75">
        <v>0</v>
      </c>
      <c r="C13" s="75">
        <v>-1616.91</v>
      </c>
      <c r="D13" s="75">
        <v>0</v>
      </c>
    </row>
    <row r="14" spans="1:4" ht="11.75" customHeight="1">
      <c r="A14" s="76" t="s">
        <v>78</v>
      </c>
      <c r="B14" s="77">
        <f>SUM(B8:B13)</f>
        <v>22830636.539999999</v>
      </c>
      <c r="C14" s="77">
        <f>SUM(C8:C13)</f>
        <v>65683860.68</v>
      </c>
      <c r="D14" s="77">
        <f>SUM(D8:D13)</f>
        <v>20868308.100000001</v>
      </c>
    </row>
    <row r="15" spans="1:4" ht="13.25" customHeight="1"/>
    <row r="16" spans="1:4" s="71" customFormat="1" ht="13" customHeight="1">
      <c r="A16" s="126" t="s">
        <v>79</v>
      </c>
      <c r="B16" s="127"/>
      <c r="C16" s="127"/>
      <c r="D16" s="127"/>
    </row>
    <row r="17" spans="1:4" ht="11.75" customHeight="1">
      <c r="A17" s="78" t="s">
        <v>80</v>
      </c>
      <c r="B17" s="73">
        <v>17292.48</v>
      </c>
      <c r="C17" s="73">
        <v>32261.99</v>
      </c>
      <c r="D17" s="73">
        <v>0</v>
      </c>
    </row>
    <row r="18" spans="1:4" ht="11.75" customHeight="1">
      <c r="A18" s="79" t="s">
        <v>81</v>
      </c>
      <c r="B18" s="75">
        <v>286.95999999999998</v>
      </c>
      <c r="C18" s="75">
        <v>0</v>
      </c>
      <c r="D18" s="75">
        <v>0</v>
      </c>
    </row>
    <row r="19" spans="1:4" ht="11.75" customHeight="1">
      <c r="A19" s="79" t="s">
        <v>82</v>
      </c>
      <c r="B19" s="75">
        <v>86.96</v>
      </c>
      <c r="C19" s="75">
        <v>0</v>
      </c>
      <c r="D19" s="75">
        <v>0</v>
      </c>
    </row>
    <row r="20" spans="1:4" ht="11.75" customHeight="1">
      <c r="A20" s="79" t="s">
        <v>83</v>
      </c>
      <c r="B20" s="75">
        <v>0</v>
      </c>
      <c r="C20" s="75">
        <v>0</v>
      </c>
      <c r="D20" s="75">
        <v>15000</v>
      </c>
    </row>
    <row r="21" spans="1:4" ht="11.75" customHeight="1">
      <c r="A21" s="79" t="s">
        <v>84</v>
      </c>
      <c r="B21" s="75">
        <v>0</v>
      </c>
      <c r="C21" s="75">
        <v>0</v>
      </c>
      <c r="D21" s="75">
        <v>691.29</v>
      </c>
    </row>
    <row r="22" spans="1:4" ht="11.75" customHeight="1">
      <c r="A22" s="79" t="s">
        <v>85</v>
      </c>
      <c r="B22" s="75">
        <v>0</v>
      </c>
      <c r="C22" s="75">
        <v>2473.65</v>
      </c>
      <c r="D22" s="75">
        <v>27618.92</v>
      </c>
    </row>
    <row r="23" spans="1:4" ht="11.75" customHeight="1">
      <c r="A23" s="79" t="s">
        <v>86</v>
      </c>
      <c r="B23" s="75">
        <v>0</v>
      </c>
      <c r="C23" s="75">
        <v>19600</v>
      </c>
      <c r="D23" s="75">
        <v>38828.36</v>
      </c>
    </row>
    <row r="24" spans="1:4" ht="11.75" customHeight="1">
      <c r="A24" s="79" t="s">
        <v>87</v>
      </c>
      <c r="B24" s="75">
        <v>0</v>
      </c>
      <c r="C24" s="75">
        <v>269.64999999999998</v>
      </c>
      <c r="D24" s="75">
        <v>1121.02</v>
      </c>
    </row>
    <row r="25" spans="1:4" ht="11.75" customHeight="1">
      <c r="A25" s="79" t="s">
        <v>88</v>
      </c>
      <c r="B25" s="75">
        <v>0</v>
      </c>
      <c r="C25" s="75">
        <v>11000</v>
      </c>
      <c r="D25" s="75">
        <v>92009.65</v>
      </c>
    </row>
    <row r="26" spans="1:4" ht="11.75" customHeight="1">
      <c r="A26" s="79" t="s">
        <v>89</v>
      </c>
      <c r="B26" s="75">
        <v>0</v>
      </c>
      <c r="C26" s="75">
        <v>0</v>
      </c>
      <c r="D26" s="75">
        <v>24820</v>
      </c>
    </row>
    <row r="27" spans="1:4" ht="11.75" customHeight="1">
      <c r="A27" s="79" t="s">
        <v>90</v>
      </c>
      <c r="B27" s="75">
        <v>0</v>
      </c>
      <c r="C27" s="75">
        <v>0</v>
      </c>
      <c r="D27" s="75">
        <v>15796.19</v>
      </c>
    </row>
    <row r="28" spans="1:4" ht="11.75" customHeight="1">
      <c r="A28" s="79" t="s">
        <v>91</v>
      </c>
      <c r="B28" s="75">
        <v>760.87</v>
      </c>
      <c r="C28" s="75">
        <v>937.39</v>
      </c>
      <c r="D28" s="75">
        <v>10101.06</v>
      </c>
    </row>
    <row r="29" spans="1:4" ht="11.75" customHeight="1">
      <c r="A29" s="79" t="s">
        <v>92</v>
      </c>
      <c r="B29" s="75">
        <v>238370.49</v>
      </c>
      <c r="C29" s="75">
        <v>17315669.25</v>
      </c>
      <c r="D29" s="75">
        <v>15328368.1</v>
      </c>
    </row>
    <row r="30" spans="1:4" ht="11.75" customHeight="1">
      <c r="A30" s="79" t="s">
        <v>93</v>
      </c>
      <c r="B30" s="75">
        <v>136790.53</v>
      </c>
      <c r="C30" s="75">
        <v>995364.35</v>
      </c>
      <c r="D30" s="75">
        <v>399319.19</v>
      </c>
    </row>
    <row r="31" spans="1:4" ht="11.75" customHeight="1">
      <c r="A31" s="79" t="s">
        <v>94</v>
      </c>
      <c r="B31" s="75">
        <v>0</v>
      </c>
      <c r="C31" s="75">
        <v>957.28</v>
      </c>
      <c r="D31" s="75">
        <v>9290</v>
      </c>
    </row>
    <row r="32" spans="1:4" ht="11.75" customHeight="1">
      <c r="A32" s="79" t="s">
        <v>95</v>
      </c>
      <c r="B32" s="75">
        <v>0</v>
      </c>
      <c r="C32" s="75">
        <v>18418</v>
      </c>
      <c r="D32" s="75">
        <v>0</v>
      </c>
    </row>
    <row r="33" spans="1:4" ht="11.75" customHeight="1">
      <c r="A33" s="80" t="s">
        <v>96</v>
      </c>
      <c r="B33" s="75">
        <v>6492.72</v>
      </c>
      <c r="C33" s="75">
        <v>7880.91</v>
      </c>
      <c r="D33" s="75">
        <v>1085.22</v>
      </c>
    </row>
    <row r="34" spans="1:4" ht="11.75" customHeight="1">
      <c r="A34" s="80" t="s">
        <v>97</v>
      </c>
      <c r="B34" s="75">
        <v>0</v>
      </c>
      <c r="C34" s="75">
        <v>0</v>
      </c>
      <c r="D34" s="75">
        <v>2233.79</v>
      </c>
    </row>
    <row r="35" spans="1:4" ht="11.75" customHeight="1">
      <c r="A35" s="80" t="s">
        <v>98</v>
      </c>
      <c r="B35" s="75">
        <v>1415622.27</v>
      </c>
      <c r="C35" s="75">
        <v>31638299.07</v>
      </c>
      <c r="D35" s="75">
        <v>154088.35</v>
      </c>
    </row>
    <row r="36" spans="1:4" ht="11.75" customHeight="1">
      <c r="A36" s="80" t="s">
        <v>99</v>
      </c>
      <c r="B36" s="75">
        <v>0</v>
      </c>
      <c r="C36" s="75">
        <v>0</v>
      </c>
      <c r="D36" s="75">
        <v>450</v>
      </c>
    </row>
    <row r="37" spans="1:4" ht="11.75" customHeight="1">
      <c r="A37" s="80" t="s">
        <v>100</v>
      </c>
      <c r="B37" s="75">
        <v>694.78</v>
      </c>
      <c r="C37" s="75">
        <v>22286.3</v>
      </c>
      <c r="D37" s="75">
        <v>8516.61</v>
      </c>
    </row>
    <row r="38" spans="1:4" ht="11.75" customHeight="1">
      <c r="A38" s="80" t="s">
        <v>101</v>
      </c>
      <c r="B38" s="75">
        <v>0</v>
      </c>
      <c r="C38" s="75">
        <v>0</v>
      </c>
      <c r="D38" s="75">
        <v>8350</v>
      </c>
    </row>
    <row r="39" spans="1:4" ht="11.75" customHeight="1">
      <c r="A39" s="80" t="s">
        <v>102</v>
      </c>
      <c r="B39" s="75">
        <v>294826.68</v>
      </c>
      <c r="C39" s="75">
        <v>2957880.44</v>
      </c>
      <c r="D39" s="75">
        <v>68008.83</v>
      </c>
    </row>
    <row r="40" spans="1:4" ht="11.75" customHeight="1">
      <c r="A40" s="80" t="s">
        <v>103</v>
      </c>
      <c r="B40" s="75">
        <v>1129.57</v>
      </c>
      <c r="C40" s="75">
        <v>3439.66</v>
      </c>
      <c r="D40" s="75">
        <v>2693.11</v>
      </c>
    </row>
    <row r="41" spans="1:4" ht="11.75" customHeight="1">
      <c r="A41" s="80" t="s">
        <v>104</v>
      </c>
      <c r="B41" s="75">
        <v>0</v>
      </c>
      <c r="C41" s="75">
        <v>20565.22</v>
      </c>
      <c r="D41" s="75">
        <v>0</v>
      </c>
    </row>
    <row r="42" spans="1:4" ht="11.75" customHeight="1">
      <c r="A42" s="80" t="s">
        <v>105</v>
      </c>
      <c r="B42" s="75">
        <v>0</v>
      </c>
      <c r="C42" s="75">
        <v>11169.12</v>
      </c>
      <c r="D42" s="75">
        <v>0</v>
      </c>
    </row>
    <row r="43" spans="1:4" ht="11.75" customHeight="1">
      <c r="A43" s="81" t="s">
        <v>106</v>
      </c>
      <c r="B43" s="75">
        <v>14250287.4</v>
      </c>
      <c r="C43" s="75">
        <v>6565647.2199999997</v>
      </c>
      <c r="D43" s="75">
        <v>0</v>
      </c>
    </row>
    <row r="44" spans="1:4" ht="11.75" customHeight="1">
      <c r="A44" s="81" t="s">
        <v>107</v>
      </c>
      <c r="B44" s="75">
        <v>483912.08</v>
      </c>
      <c r="C44" s="75">
        <v>299511.87</v>
      </c>
      <c r="D44" s="75">
        <v>0</v>
      </c>
    </row>
    <row r="45" spans="1:4" ht="11.75" customHeight="1">
      <c r="A45" s="81" t="s">
        <v>108</v>
      </c>
      <c r="B45" s="75">
        <v>11130.85</v>
      </c>
      <c r="C45" s="75">
        <v>4300.41</v>
      </c>
      <c r="D45" s="75">
        <v>0</v>
      </c>
    </row>
    <row r="46" spans="1:4" ht="11.75" customHeight="1">
      <c r="A46" s="74" t="s">
        <v>109</v>
      </c>
      <c r="B46" s="75">
        <v>2719.43</v>
      </c>
      <c r="C46" s="75">
        <v>45609.01</v>
      </c>
      <c r="D46" s="75">
        <v>20069.650000000001</v>
      </c>
    </row>
    <row r="47" spans="1:4" ht="11.75" customHeight="1">
      <c r="A47" s="74" t="s">
        <v>110</v>
      </c>
      <c r="B47" s="75">
        <v>0</v>
      </c>
      <c r="C47" s="75">
        <v>31736.5</v>
      </c>
      <c r="D47" s="75">
        <v>0</v>
      </c>
    </row>
    <row r="48" spans="1:4" ht="11.75" customHeight="1">
      <c r="A48" s="74" t="s">
        <v>111</v>
      </c>
      <c r="B48" s="75">
        <v>0</v>
      </c>
      <c r="C48" s="75">
        <v>1876.17</v>
      </c>
      <c r="D48" s="75">
        <v>0</v>
      </c>
    </row>
    <row r="49" spans="1:4" ht="11.75" customHeight="1">
      <c r="A49" s="74" t="s">
        <v>112</v>
      </c>
      <c r="B49" s="75">
        <v>0</v>
      </c>
      <c r="C49" s="75">
        <v>0</v>
      </c>
      <c r="D49" s="75">
        <v>2783.31</v>
      </c>
    </row>
    <row r="50" spans="1:4" ht="11.75" customHeight="1">
      <c r="A50" s="74" t="s">
        <v>113</v>
      </c>
      <c r="B50" s="75">
        <v>0</v>
      </c>
      <c r="C50" s="75">
        <v>0</v>
      </c>
      <c r="D50" s="75">
        <v>15997.39</v>
      </c>
    </row>
    <row r="51" spans="1:4" ht="11.75" customHeight="1">
      <c r="A51" s="74" t="s">
        <v>114</v>
      </c>
      <c r="B51" s="75">
        <v>28977.16</v>
      </c>
      <c r="C51" s="75">
        <v>4661.74</v>
      </c>
      <c r="D51" s="75">
        <v>24889.96</v>
      </c>
    </row>
    <row r="52" spans="1:4" ht="11.75" customHeight="1">
      <c r="A52" s="74" t="s">
        <v>115</v>
      </c>
      <c r="B52" s="75">
        <v>41620.910000000003</v>
      </c>
      <c r="C52" s="75">
        <v>0</v>
      </c>
      <c r="D52" s="75">
        <v>0</v>
      </c>
    </row>
    <row r="53" spans="1:4" ht="11.75" customHeight="1">
      <c r="A53" s="74" t="s">
        <v>116</v>
      </c>
      <c r="B53" s="75">
        <v>0</v>
      </c>
      <c r="C53" s="75">
        <v>0</v>
      </c>
      <c r="D53" s="75">
        <v>1207.3499999999999</v>
      </c>
    </row>
    <row r="54" spans="1:4" ht="11.75" customHeight="1">
      <c r="A54" s="74" t="s">
        <v>117</v>
      </c>
      <c r="B54" s="75">
        <v>0</v>
      </c>
      <c r="C54" s="75">
        <v>3500</v>
      </c>
      <c r="D54" s="75">
        <v>0</v>
      </c>
    </row>
    <row r="55" spans="1:4" ht="11.75" customHeight="1">
      <c r="A55" s="74" t="s">
        <v>118</v>
      </c>
      <c r="B55" s="75">
        <v>0</v>
      </c>
      <c r="C55" s="75">
        <v>0</v>
      </c>
      <c r="D55" s="75">
        <v>4850</v>
      </c>
    </row>
    <row r="56" spans="1:4" ht="11.75" customHeight="1">
      <c r="A56" s="74" t="s">
        <v>119</v>
      </c>
      <c r="B56" s="75">
        <v>0</v>
      </c>
      <c r="C56" s="75">
        <v>0</v>
      </c>
      <c r="D56" s="75">
        <v>3900</v>
      </c>
    </row>
    <row r="57" spans="1:4" ht="11.75" customHeight="1">
      <c r="A57" s="74" t="s">
        <v>120</v>
      </c>
      <c r="B57" s="75">
        <v>0</v>
      </c>
      <c r="C57" s="75">
        <v>0</v>
      </c>
      <c r="D57" s="75">
        <v>83.48</v>
      </c>
    </row>
    <row r="58" spans="1:4" ht="11.75" customHeight="1">
      <c r="A58" s="74" t="s">
        <v>121</v>
      </c>
      <c r="B58" s="75">
        <v>0</v>
      </c>
      <c r="C58" s="75">
        <v>6160.34</v>
      </c>
      <c r="D58" s="75">
        <v>0</v>
      </c>
    </row>
    <row r="59" spans="1:4" ht="11.75" customHeight="1">
      <c r="A59" s="74" t="s">
        <v>122</v>
      </c>
      <c r="B59" s="75">
        <v>0</v>
      </c>
      <c r="C59" s="75">
        <v>4440.6099999999997</v>
      </c>
      <c r="D59" s="75">
        <v>0</v>
      </c>
    </row>
    <row r="60" spans="1:4" ht="11.75" customHeight="1">
      <c r="A60" s="74" t="s">
        <v>123</v>
      </c>
      <c r="B60" s="75">
        <v>0</v>
      </c>
      <c r="C60" s="75">
        <v>250</v>
      </c>
      <c r="D60" s="75">
        <v>0</v>
      </c>
    </row>
    <row r="61" spans="1:4" ht="11.75" customHeight="1">
      <c r="A61" s="74" t="s">
        <v>79</v>
      </c>
      <c r="B61" s="75">
        <v>0</v>
      </c>
      <c r="C61" s="75">
        <v>-762078.59</v>
      </c>
      <c r="D61" s="75">
        <v>0</v>
      </c>
    </row>
    <row r="62" spans="1:4" ht="11.75" customHeight="1">
      <c r="A62" s="74" t="s">
        <v>124</v>
      </c>
      <c r="B62" s="75">
        <v>15444.95</v>
      </c>
      <c r="C62" s="75">
        <v>0</v>
      </c>
      <c r="D62" s="75">
        <v>0</v>
      </c>
    </row>
    <row r="63" spans="1:4" ht="11.75" customHeight="1">
      <c r="A63" s="76" t="s">
        <v>125</v>
      </c>
      <c r="B63" s="77">
        <f>SUM(B17:B62)</f>
        <v>16946447.09</v>
      </c>
      <c r="C63" s="77">
        <f>SUM(C17:C62)</f>
        <v>59264087.559999987</v>
      </c>
      <c r="D63" s="77">
        <f>SUM(D17:D62)</f>
        <v>16282170.83</v>
      </c>
    </row>
    <row r="64" spans="1:4" ht="13.25" customHeight="1"/>
    <row r="65" spans="1:4" ht="11.75" customHeight="1">
      <c r="A65" s="82" t="s">
        <v>126</v>
      </c>
      <c r="B65" s="83">
        <f>(B14 - B63)</f>
        <v>5884189.4499999993</v>
      </c>
      <c r="C65" s="83">
        <f>(C14 - C63)</f>
        <v>6419773.1200000122</v>
      </c>
      <c r="D65" s="83">
        <f>(D14 - D63)</f>
        <v>4586137.2700000014</v>
      </c>
    </row>
    <row r="66" spans="1:4" ht="13.25" customHeight="1"/>
    <row r="67" spans="1:4" s="71" customFormat="1" ht="13" customHeight="1">
      <c r="A67" s="126" t="s">
        <v>127</v>
      </c>
      <c r="B67" s="127"/>
      <c r="C67" s="127"/>
      <c r="D67" s="127"/>
    </row>
    <row r="68" spans="1:4" ht="11.75" customHeight="1">
      <c r="A68" s="72" t="s">
        <v>128</v>
      </c>
      <c r="B68" s="73">
        <v>0</v>
      </c>
      <c r="C68" s="73">
        <v>2839.7</v>
      </c>
      <c r="D68" s="73">
        <v>-387.08</v>
      </c>
    </row>
    <row r="69" spans="1:4" ht="11.75" customHeight="1">
      <c r="A69" s="74" t="s">
        <v>129</v>
      </c>
      <c r="B69" s="75">
        <v>504.91</v>
      </c>
      <c r="C69" s="75">
        <v>3216.44</v>
      </c>
      <c r="D69" s="75">
        <v>0</v>
      </c>
    </row>
    <row r="70" spans="1:4" ht="11.75" customHeight="1">
      <c r="A70" s="74" t="s">
        <v>130</v>
      </c>
      <c r="B70" s="75">
        <v>18.03</v>
      </c>
      <c r="C70" s="75">
        <v>27.68</v>
      </c>
      <c r="D70" s="75">
        <v>9.64</v>
      </c>
    </row>
    <row r="71" spans="1:4" ht="11.75" customHeight="1">
      <c r="A71" s="74" t="s">
        <v>131</v>
      </c>
      <c r="B71" s="75">
        <v>-3490.94</v>
      </c>
      <c r="C71" s="75">
        <v>31418.46</v>
      </c>
      <c r="D71" s="75">
        <v>10472.82</v>
      </c>
    </row>
    <row r="72" spans="1:4" ht="11.75" customHeight="1">
      <c r="A72" s="76" t="s">
        <v>132</v>
      </c>
      <c r="B72" s="77">
        <f>SUM(B68:B71)</f>
        <v>-2968</v>
      </c>
      <c r="C72" s="77">
        <f>SUM(C68:C71)</f>
        <v>37502.28</v>
      </c>
      <c r="D72" s="77">
        <f>SUM(D68:D71)</f>
        <v>10095.379999999999</v>
      </c>
    </row>
    <row r="73" spans="1:4" ht="13.25" customHeight="1"/>
    <row r="74" spans="1:4" s="71" customFormat="1" ht="13" customHeight="1">
      <c r="A74" s="126" t="s">
        <v>133</v>
      </c>
      <c r="B74" s="127"/>
      <c r="C74" s="127"/>
      <c r="D74" s="127"/>
    </row>
    <row r="75" spans="1:4" ht="11.75" customHeight="1">
      <c r="A75" s="72" t="s">
        <v>134</v>
      </c>
      <c r="B75" s="73">
        <v>0</v>
      </c>
      <c r="C75" s="73">
        <v>0</v>
      </c>
      <c r="D75" s="73">
        <v>190600</v>
      </c>
    </row>
    <row r="76" spans="1:4" ht="11.75" customHeight="1">
      <c r="A76" s="74" t="s">
        <v>135</v>
      </c>
      <c r="B76" s="75">
        <v>0</v>
      </c>
      <c r="C76" s="75">
        <v>0</v>
      </c>
      <c r="D76" s="75">
        <v>51000</v>
      </c>
    </row>
    <row r="77" spans="1:4" ht="11.75" customHeight="1">
      <c r="A77" s="74" t="s">
        <v>136</v>
      </c>
      <c r="B77" s="75">
        <v>0</v>
      </c>
      <c r="C77" s="75">
        <v>0</v>
      </c>
      <c r="D77" s="75">
        <v>107300</v>
      </c>
    </row>
    <row r="78" spans="1:4" ht="11.75" customHeight="1">
      <c r="A78" s="74" t="s">
        <v>137</v>
      </c>
      <c r="B78" s="75">
        <v>0</v>
      </c>
      <c r="C78" s="75">
        <v>0</v>
      </c>
      <c r="D78" s="75">
        <v>5575</v>
      </c>
    </row>
    <row r="79" spans="1:4" ht="11.75" customHeight="1">
      <c r="A79" s="74" t="s">
        <v>138</v>
      </c>
      <c r="B79" s="75">
        <v>11170</v>
      </c>
      <c r="C79" s="75">
        <v>10600</v>
      </c>
      <c r="D79" s="75">
        <v>17995</v>
      </c>
    </row>
    <row r="80" spans="1:4" ht="11.75" customHeight="1">
      <c r="A80" s="74" t="s">
        <v>139</v>
      </c>
      <c r="B80" s="75">
        <v>580</v>
      </c>
      <c r="C80" s="75">
        <v>0</v>
      </c>
      <c r="D80" s="75">
        <v>2215</v>
      </c>
    </row>
    <row r="81" spans="1:4" ht="11.75" customHeight="1">
      <c r="A81" s="74" t="s">
        <v>140</v>
      </c>
      <c r="B81" s="75">
        <v>0</v>
      </c>
      <c r="C81" s="75">
        <v>0</v>
      </c>
      <c r="D81" s="75">
        <v>1847.5</v>
      </c>
    </row>
    <row r="82" spans="1:4" ht="11.75" customHeight="1">
      <c r="A82" s="74" t="s">
        <v>141</v>
      </c>
      <c r="B82" s="75">
        <v>0</v>
      </c>
      <c r="C82" s="75">
        <v>14139.13</v>
      </c>
      <c r="D82" s="75">
        <v>9065.5400000000009</v>
      </c>
    </row>
    <row r="83" spans="1:4" ht="11.75" customHeight="1">
      <c r="A83" s="74" t="s">
        <v>142</v>
      </c>
      <c r="B83" s="75">
        <v>295</v>
      </c>
      <c r="C83" s="75">
        <v>7275</v>
      </c>
      <c r="D83" s="75">
        <v>0</v>
      </c>
    </row>
    <row r="84" spans="1:4" ht="11.75" customHeight="1">
      <c r="A84" s="74" t="s">
        <v>143</v>
      </c>
      <c r="B84" s="75">
        <v>1597</v>
      </c>
      <c r="C84" s="75">
        <v>137.5</v>
      </c>
      <c r="D84" s="75">
        <v>4597</v>
      </c>
    </row>
    <row r="85" spans="1:4" ht="11.75" customHeight="1">
      <c r="A85" s="74" t="s">
        <v>144</v>
      </c>
      <c r="B85" s="75">
        <v>4650</v>
      </c>
      <c r="C85" s="75">
        <v>24268.79</v>
      </c>
      <c r="D85" s="75">
        <v>13699</v>
      </c>
    </row>
    <row r="86" spans="1:4" ht="11.75" customHeight="1">
      <c r="A86" s="74" t="s">
        <v>145</v>
      </c>
      <c r="B86" s="75">
        <v>8972.74</v>
      </c>
      <c r="C86" s="75">
        <v>30880.41</v>
      </c>
      <c r="D86" s="75">
        <v>14247.61</v>
      </c>
    </row>
    <row r="87" spans="1:4" ht="11.75" customHeight="1">
      <c r="A87" s="74" t="s">
        <v>146</v>
      </c>
      <c r="B87" s="75">
        <v>15075.35</v>
      </c>
      <c r="C87" s="75">
        <v>81099.64</v>
      </c>
      <c r="D87" s="75">
        <v>293.56</v>
      </c>
    </row>
    <row r="88" spans="1:4" ht="11.75" customHeight="1">
      <c r="A88" s="74" t="s">
        <v>147</v>
      </c>
      <c r="B88" s="75">
        <v>4562.1000000000004</v>
      </c>
      <c r="C88" s="75">
        <v>27399.55</v>
      </c>
      <c r="D88" s="75">
        <v>115.56</v>
      </c>
    </row>
    <row r="89" spans="1:4" ht="11.75" customHeight="1">
      <c r="A89" s="74" t="s">
        <v>148</v>
      </c>
      <c r="B89" s="75">
        <v>0</v>
      </c>
      <c r="C89" s="75">
        <v>7949.43</v>
      </c>
      <c r="D89" s="75">
        <v>6888.14</v>
      </c>
    </row>
    <row r="90" spans="1:4" ht="11.75" customHeight="1">
      <c r="A90" s="74" t="s">
        <v>149</v>
      </c>
      <c r="B90" s="75">
        <v>433.65</v>
      </c>
      <c r="C90" s="75">
        <v>2353.79</v>
      </c>
      <c r="D90" s="75">
        <v>9905.65</v>
      </c>
    </row>
    <row r="91" spans="1:4" ht="11.75" customHeight="1">
      <c r="A91" s="74" t="s">
        <v>150</v>
      </c>
      <c r="B91" s="75">
        <v>18199</v>
      </c>
      <c r="C91" s="75">
        <v>48329</v>
      </c>
      <c r="D91" s="75">
        <v>0</v>
      </c>
    </row>
    <row r="92" spans="1:4" ht="11.75" customHeight="1">
      <c r="A92" s="74" t="s">
        <v>151</v>
      </c>
      <c r="B92" s="75">
        <v>3603.65</v>
      </c>
      <c r="C92" s="75">
        <v>5948.56</v>
      </c>
      <c r="D92" s="75">
        <v>11533.14</v>
      </c>
    </row>
    <row r="93" spans="1:4" ht="11.75" customHeight="1">
      <c r="A93" s="74" t="s">
        <v>152</v>
      </c>
      <c r="B93" s="75">
        <v>0</v>
      </c>
      <c r="C93" s="75">
        <v>0</v>
      </c>
      <c r="D93" s="75">
        <v>2250</v>
      </c>
    </row>
    <row r="94" spans="1:4" ht="11.75" customHeight="1">
      <c r="A94" s="74" t="s">
        <v>153</v>
      </c>
      <c r="B94" s="75">
        <v>613049.69999999995</v>
      </c>
      <c r="C94" s="75">
        <v>1539997.79</v>
      </c>
      <c r="D94" s="75">
        <v>533569.54</v>
      </c>
    </row>
    <row r="95" spans="1:4" ht="11.75" customHeight="1">
      <c r="A95" s="74" t="s">
        <v>154</v>
      </c>
      <c r="B95" s="75">
        <v>0</v>
      </c>
      <c r="C95" s="75">
        <v>318572.45</v>
      </c>
      <c r="D95" s="75">
        <v>392000</v>
      </c>
    </row>
    <row r="96" spans="1:4" ht="11.75" customHeight="1">
      <c r="A96" s="74" t="s">
        <v>155</v>
      </c>
      <c r="B96" s="75">
        <v>0</v>
      </c>
      <c r="C96" s="75">
        <v>0</v>
      </c>
      <c r="D96" s="75">
        <v>42899.25</v>
      </c>
    </row>
    <row r="97" spans="1:4" ht="11.75" customHeight="1">
      <c r="A97" s="74" t="s">
        <v>156</v>
      </c>
      <c r="B97" s="75">
        <v>86.09</v>
      </c>
      <c r="C97" s="75">
        <v>1539.13</v>
      </c>
      <c r="D97" s="75">
        <v>165.83</v>
      </c>
    </row>
    <row r="98" spans="1:4" ht="11.75" customHeight="1">
      <c r="A98" s="74" t="s">
        <v>157</v>
      </c>
      <c r="B98" s="75">
        <v>13295.58</v>
      </c>
      <c r="C98" s="75">
        <v>23781.9</v>
      </c>
      <c r="D98" s="75">
        <v>5012.09</v>
      </c>
    </row>
    <row r="99" spans="1:4" ht="11.75" customHeight="1">
      <c r="A99" s="74" t="s">
        <v>158</v>
      </c>
      <c r="B99" s="75">
        <v>2190.6999999999998</v>
      </c>
      <c r="C99" s="75">
        <v>5487.86</v>
      </c>
      <c r="D99" s="75">
        <v>406.69</v>
      </c>
    </row>
    <row r="100" spans="1:4" ht="11.75" customHeight="1">
      <c r="A100" s="74" t="s">
        <v>159</v>
      </c>
      <c r="B100" s="75">
        <v>2764.06</v>
      </c>
      <c r="C100" s="75">
        <v>2320</v>
      </c>
      <c r="D100" s="75">
        <v>805.56</v>
      </c>
    </row>
    <row r="101" spans="1:4" ht="11.75" customHeight="1">
      <c r="A101" s="74" t="s">
        <v>160</v>
      </c>
      <c r="B101" s="75">
        <v>0</v>
      </c>
      <c r="C101" s="75">
        <v>39610.1</v>
      </c>
      <c r="D101" s="75">
        <v>43213</v>
      </c>
    </row>
    <row r="102" spans="1:4" ht="11.75" customHeight="1">
      <c r="A102" s="74" t="s">
        <v>161</v>
      </c>
      <c r="B102" s="75">
        <v>32459.66</v>
      </c>
      <c r="C102" s="75">
        <v>62866.2</v>
      </c>
      <c r="D102" s="75">
        <v>39730.769999999997</v>
      </c>
    </row>
    <row r="103" spans="1:4" ht="11.75" customHeight="1">
      <c r="A103" s="74" t="s">
        <v>162</v>
      </c>
      <c r="B103" s="75">
        <v>0</v>
      </c>
      <c r="C103" s="75">
        <v>7651.52</v>
      </c>
      <c r="D103" s="75">
        <v>11183.99</v>
      </c>
    </row>
    <row r="104" spans="1:4" ht="11.75" customHeight="1">
      <c r="A104" s="74" t="s">
        <v>163</v>
      </c>
      <c r="B104" s="75">
        <v>0</v>
      </c>
      <c r="C104" s="75">
        <v>0</v>
      </c>
      <c r="D104" s="75">
        <v>4742.88</v>
      </c>
    </row>
    <row r="105" spans="1:4" ht="11.75" customHeight="1">
      <c r="A105" s="74" t="s">
        <v>50</v>
      </c>
      <c r="B105" s="75">
        <v>0</v>
      </c>
      <c r="C105" s="75">
        <v>819.63</v>
      </c>
      <c r="D105" s="75">
        <v>0</v>
      </c>
    </row>
    <row r="106" spans="1:4" ht="11.75" customHeight="1">
      <c r="A106" s="74" t="s">
        <v>164</v>
      </c>
      <c r="B106" s="75">
        <v>0</v>
      </c>
      <c r="C106" s="75">
        <v>1425.42</v>
      </c>
      <c r="D106" s="75">
        <v>3161.15</v>
      </c>
    </row>
    <row r="107" spans="1:4" ht="11.75" customHeight="1">
      <c r="A107" s="74" t="s">
        <v>165</v>
      </c>
      <c r="B107" s="75">
        <v>9887.42</v>
      </c>
      <c r="C107" s="75">
        <v>15085.07</v>
      </c>
      <c r="D107" s="75">
        <v>12209.23</v>
      </c>
    </row>
    <row r="108" spans="1:4" ht="11.75" customHeight="1">
      <c r="A108" s="74" t="s">
        <v>166</v>
      </c>
      <c r="B108" s="75">
        <v>0</v>
      </c>
      <c r="C108" s="75">
        <v>1209.8699999999999</v>
      </c>
      <c r="D108" s="75">
        <v>0</v>
      </c>
    </row>
    <row r="109" spans="1:4" ht="11.75" customHeight="1">
      <c r="A109" s="74" t="s">
        <v>167</v>
      </c>
      <c r="B109" s="75">
        <v>0</v>
      </c>
      <c r="C109" s="75">
        <v>0</v>
      </c>
      <c r="D109" s="75">
        <v>2234.7800000000002</v>
      </c>
    </row>
    <row r="110" spans="1:4" ht="11.75" customHeight="1">
      <c r="A110" s="74" t="s">
        <v>168</v>
      </c>
      <c r="B110" s="75">
        <v>0</v>
      </c>
      <c r="C110" s="75">
        <v>0</v>
      </c>
      <c r="D110" s="75">
        <v>500</v>
      </c>
    </row>
    <row r="111" spans="1:4" ht="11.75" customHeight="1">
      <c r="A111" s="74" t="s">
        <v>169</v>
      </c>
      <c r="B111" s="75">
        <v>0</v>
      </c>
      <c r="C111" s="75">
        <v>165.33</v>
      </c>
      <c r="D111" s="75">
        <v>0</v>
      </c>
    </row>
    <row r="112" spans="1:4" ht="11.75" customHeight="1">
      <c r="A112" s="74" t="s">
        <v>170</v>
      </c>
      <c r="B112" s="75">
        <v>0</v>
      </c>
      <c r="C112" s="75">
        <v>-1376.11</v>
      </c>
      <c r="D112" s="75">
        <v>6393.06</v>
      </c>
    </row>
    <row r="113" spans="1:4" ht="11.75" customHeight="1">
      <c r="A113" s="74" t="s">
        <v>171</v>
      </c>
      <c r="B113" s="75">
        <v>5202.88</v>
      </c>
      <c r="C113" s="75">
        <v>0</v>
      </c>
      <c r="D113" s="75">
        <v>0</v>
      </c>
    </row>
    <row r="114" spans="1:4" ht="11.75" customHeight="1">
      <c r="A114" s="74" t="s">
        <v>172</v>
      </c>
      <c r="B114" s="75">
        <v>1069</v>
      </c>
      <c r="C114" s="75">
        <v>1200</v>
      </c>
      <c r="D114" s="75">
        <v>2277</v>
      </c>
    </row>
    <row r="115" spans="1:4" ht="11.75" customHeight="1">
      <c r="A115" s="74" t="s">
        <v>173</v>
      </c>
      <c r="B115" s="75">
        <v>20981.53</v>
      </c>
      <c r="C115" s="75">
        <v>3830.55</v>
      </c>
      <c r="D115" s="75">
        <v>500</v>
      </c>
    </row>
    <row r="116" spans="1:4" ht="11.75" customHeight="1">
      <c r="A116" s="74" t="s">
        <v>174</v>
      </c>
      <c r="B116" s="75">
        <v>0</v>
      </c>
      <c r="C116" s="75">
        <v>11070.86</v>
      </c>
      <c r="D116" s="75">
        <v>1000</v>
      </c>
    </row>
    <row r="117" spans="1:4" ht="11.75" customHeight="1">
      <c r="A117" s="74" t="s">
        <v>175</v>
      </c>
      <c r="B117" s="75">
        <v>362</v>
      </c>
      <c r="C117" s="75">
        <v>0</v>
      </c>
      <c r="D117" s="75">
        <v>0</v>
      </c>
    </row>
    <row r="118" spans="1:4" ht="11.75" customHeight="1">
      <c r="A118" s="74" t="s">
        <v>176</v>
      </c>
      <c r="B118" s="75">
        <v>312788.23</v>
      </c>
      <c r="C118" s="75">
        <v>442349.97</v>
      </c>
      <c r="D118" s="75">
        <v>429767.12</v>
      </c>
    </row>
    <row r="119" spans="1:4" ht="11.75" customHeight="1">
      <c r="A119" s="74" t="s">
        <v>177</v>
      </c>
      <c r="B119" s="75">
        <v>8967.85</v>
      </c>
      <c r="C119" s="75">
        <v>7599.09</v>
      </c>
      <c r="D119" s="75">
        <v>1243.42</v>
      </c>
    </row>
    <row r="120" spans="1:4" ht="11.75" customHeight="1">
      <c r="A120" s="74" t="s">
        <v>178</v>
      </c>
      <c r="B120" s="75">
        <v>14467.02</v>
      </c>
      <c r="C120" s="75">
        <v>13979.16</v>
      </c>
      <c r="D120" s="75">
        <v>17017.21</v>
      </c>
    </row>
    <row r="121" spans="1:4" ht="11.75" customHeight="1">
      <c r="A121" s="74" t="s">
        <v>53</v>
      </c>
      <c r="B121" s="75">
        <v>7089.04</v>
      </c>
      <c r="C121" s="75">
        <v>10123.200000000001</v>
      </c>
      <c r="D121" s="75">
        <v>5216.4799999999996</v>
      </c>
    </row>
    <row r="122" spans="1:4" ht="11.75" customHeight="1">
      <c r="A122" s="74" t="s">
        <v>179</v>
      </c>
      <c r="B122" s="75">
        <v>177600</v>
      </c>
      <c r="C122" s="75">
        <v>320879.62</v>
      </c>
      <c r="D122" s="75">
        <v>167539.67000000001</v>
      </c>
    </row>
    <row r="123" spans="1:4" ht="11.75" customHeight="1">
      <c r="A123" s="74" t="s">
        <v>180</v>
      </c>
      <c r="B123" s="75">
        <v>14779.4</v>
      </c>
      <c r="C123" s="75">
        <v>33383.839999999997</v>
      </c>
      <c r="D123" s="75">
        <v>89553.61</v>
      </c>
    </row>
    <row r="124" spans="1:4" ht="11.75" customHeight="1">
      <c r="A124" s="74" t="s">
        <v>181</v>
      </c>
      <c r="B124" s="75">
        <v>5192.13</v>
      </c>
      <c r="C124" s="75">
        <v>3746.27</v>
      </c>
      <c r="D124" s="75">
        <v>1063.2</v>
      </c>
    </row>
    <row r="125" spans="1:4" ht="11.75" customHeight="1">
      <c r="A125" s="74" t="s">
        <v>182</v>
      </c>
      <c r="B125" s="75">
        <v>1345068.58</v>
      </c>
      <c r="C125" s="75">
        <v>2682374.7999999998</v>
      </c>
      <c r="D125" s="75">
        <v>1701130.08</v>
      </c>
    </row>
    <row r="126" spans="1:4" ht="11.75" customHeight="1">
      <c r="A126" s="74" t="s">
        <v>183</v>
      </c>
      <c r="B126" s="75">
        <v>0</v>
      </c>
      <c r="C126" s="75">
        <v>0</v>
      </c>
      <c r="D126" s="75">
        <v>35500</v>
      </c>
    </row>
    <row r="127" spans="1:4" ht="11.75" customHeight="1">
      <c r="A127" s="74" t="s">
        <v>184</v>
      </c>
      <c r="B127" s="75">
        <v>16077.76</v>
      </c>
      <c r="C127" s="75">
        <v>29745.7</v>
      </c>
      <c r="D127" s="75">
        <v>20692.98</v>
      </c>
    </row>
    <row r="128" spans="1:4" ht="11.75" customHeight="1">
      <c r="A128" s="74" t="s">
        <v>185</v>
      </c>
      <c r="B128" s="75">
        <v>4000</v>
      </c>
      <c r="C128" s="75">
        <v>2500</v>
      </c>
      <c r="D128" s="75">
        <v>450</v>
      </c>
    </row>
    <row r="129" spans="1:4" ht="11.75" customHeight="1">
      <c r="A129" s="74" t="s">
        <v>60</v>
      </c>
      <c r="B129" s="75">
        <v>886.65</v>
      </c>
      <c r="C129" s="75">
        <v>1872.75</v>
      </c>
      <c r="D129" s="75">
        <v>0</v>
      </c>
    </row>
    <row r="130" spans="1:4" ht="11.75" customHeight="1">
      <c r="A130" s="74" t="s">
        <v>186</v>
      </c>
      <c r="B130" s="75">
        <v>7213.91</v>
      </c>
      <c r="C130" s="75">
        <v>13955.28</v>
      </c>
      <c r="D130" s="75">
        <v>24786.43</v>
      </c>
    </row>
    <row r="131" spans="1:4" ht="11.75" customHeight="1">
      <c r="A131" s="74" t="s">
        <v>187</v>
      </c>
      <c r="B131" s="75">
        <v>0</v>
      </c>
      <c r="C131" s="75">
        <v>6800</v>
      </c>
      <c r="D131" s="75">
        <v>2000</v>
      </c>
    </row>
    <row r="132" spans="1:4" ht="11.75" customHeight="1">
      <c r="A132" s="74" t="s">
        <v>188</v>
      </c>
      <c r="B132" s="75">
        <v>7889.58</v>
      </c>
      <c r="C132" s="75">
        <v>4899.1400000000003</v>
      </c>
      <c r="D132" s="75">
        <v>34301.160000000003</v>
      </c>
    </row>
    <row r="133" spans="1:4" ht="11.75" customHeight="1">
      <c r="A133" s="74" t="s">
        <v>189</v>
      </c>
      <c r="B133" s="75">
        <v>0</v>
      </c>
      <c r="C133" s="75">
        <v>13765</v>
      </c>
      <c r="D133" s="75">
        <v>0</v>
      </c>
    </row>
    <row r="134" spans="1:4" ht="11.75" customHeight="1">
      <c r="A134" s="74" t="s">
        <v>190</v>
      </c>
      <c r="B134" s="75">
        <v>0</v>
      </c>
      <c r="C134" s="75">
        <v>0</v>
      </c>
      <c r="D134" s="75">
        <v>6661.9</v>
      </c>
    </row>
    <row r="135" spans="1:4" ht="11.75" customHeight="1">
      <c r="A135" s="74" t="s">
        <v>191</v>
      </c>
      <c r="B135" s="75">
        <v>3192.73</v>
      </c>
      <c r="C135" s="75">
        <v>5512.76</v>
      </c>
      <c r="D135" s="75">
        <v>2439.41</v>
      </c>
    </row>
    <row r="136" spans="1:4" ht="11.75" customHeight="1">
      <c r="A136" s="74" t="s">
        <v>192</v>
      </c>
      <c r="B136" s="75">
        <v>10825.49</v>
      </c>
      <c r="C136" s="75">
        <v>0</v>
      </c>
      <c r="D136" s="75">
        <v>9463.01</v>
      </c>
    </row>
    <row r="137" spans="1:4" ht="11.75" customHeight="1">
      <c r="A137" s="74" t="s">
        <v>193</v>
      </c>
      <c r="B137" s="75">
        <v>2988</v>
      </c>
      <c r="C137" s="75">
        <v>7574</v>
      </c>
      <c r="D137" s="75">
        <v>3704</v>
      </c>
    </row>
    <row r="138" spans="1:4" ht="11.75" customHeight="1">
      <c r="A138" s="74" t="s">
        <v>194</v>
      </c>
      <c r="B138" s="75">
        <v>3000</v>
      </c>
      <c r="C138" s="75">
        <v>7200</v>
      </c>
      <c r="D138" s="75">
        <v>8700</v>
      </c>
    </row>
    <row r="139" spans="1:4" ht="11.75" customHeight="1">
      <c r="A139" s="74" t="s">
        <v>195</v>
      </c>
      <c r="B139" s="75">
        <v>8875.9699999999993</v>
      </c>
      <c r="C139" s="75">
        <v>526.32000000000005</v>
      </c>
      <c r="D139" s="75">
        <v>988.14</v>
      </c>
    </row>
    <row r="140" spans="1:4" ht="11.75" customHeight="1">
      <c r="A140" s="74" t="s">
        <v>196</v>
      </c>
      <c r="B140" s="75">
        <v>0</v>
      </c>
      <c r="C140" s="75">
        <v>0</v>
      </c>
      <c r="D140" s="75">
        <v>10625.73</v>
      </c>
    </row>
    <row r="141" spans="1:4" ht="11.75" customHeight="1">
      <c r="A141" s="74" t="s">
        <v>197</v>
      </c>
      <c r="B141" s="75">
        <v>0</v>
      </c>
      <c r="C141" s="75">
        <v>13.04</v>
      </c>
      <c r="D141" s="75">
        <v>1275</v>
      </c>
    </row>
    <row r="142" spans="1:4" ht="11.75" customHeight="1">
      <c r="A142" s="74" t="s">
        <v>198</v>
      </c>
      <c r="B142" s="75">
        <v>8425.6200000000008</v>
      </c>
      <c r="C142" s="75">
        <v>20100.580000000002</v>
      </c>
      <c r="D142" s="75">
        <v>11467.74</v>
      </c>
    </row>
    <row r="143" spans="1:4" ht="11.75" customHeight="1">
      <c r="A143" s="74" t="s">
        <v>199</v>
      </c>
      <c r="B143" s="75">
        <v>8425.6200000000008</v>
      </c>
      <c r="C143" s="75">
        <v>20100.580000000002</v>
      </c>
      <c r="D143" s="75">
        <v>8195.9</v>
      </c>
    </row>
    <row r="144" spans="1:4" ht="11.75" customHeight="1">
      <c r="A144" s="76" t="s">
        <v>200</v>
      </c>
      <c r="B144" s="77">
        <f>SUM(B75:B143)</f>
        <v>2738240.6900000004</v>
      </c>
      <c r="C144" s="77">
        <f>SUM(C75:C143)</f>
        <v>5944639.4700000007</v>
      </c>
      <c r="D144" s="77">
        <f>SUM(D75:D143)</f>
        <v>4144914.7100000004</v>
      </c>
    </row>
    <row r="145" spans="1:4" ht="13.25" customHeight="1"/>
    <row r="146" spans="1:4" ht="11.75" customHeight="1">
      <c r="A146" s="82" t="s">
        <v>201</v>
      </c>
      <c r="B146" s="83">
        <f>((B65 + B72) - B144)</f>
        <v>3142980.7599999988</v>
      </c>
      <c r="C146" s="83">
        <f>((C65 + C72) - C144)</f>
        <v>512635.93000001181</v>
      </c>
      <c r="D146" s="83">
        <f>((D65 + D72) - D144)</f>
        <v>451317.94000000088</v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6"/>
  <sheetViews>
    <sheetView showGridLines="0" zoomScale="120" zoomScaleNormal="120"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F23" sqref="F23"/>
    </sheetView>
  </sheetViews>
  <sheetFormatPr baseColWidth="10" defaultColWidth="8.83203125" defaultRowHeight="12"/>
  <cols>
    <col min="1" max="1" width="33" style="87" customWidth="1"/>
    <col min="2" max="8" width="12.1640625" style="87" bestFit="1" customWidth="1"/>
    <col min="9" max="13" width="10.83203125" style="87" customWidth="1"/>
    <col min="14" max="15" width="8.83203125" style="87" customWidth="1"/>
    <col min="16" max="16384" width="8.83203125" style="87"/>
  </cols>
  <sheetData>
    <row r="1" spans="1:13" s="85" customFormat="1" ht="18" customHeight="1">
      <c r="A1" s="133" t="s">
        <v>64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s="86" customFormat="1" ht="15.5" customHeight="1">
      <c r="A2" s="135" t="s">
        <v>65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s="86" customFormat="1" ht="15.5" customHeight="1">
      <c r="A3" s="135" t="s">
        <v>202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 ht="13.25" customHeight="1"/>
    <row r="5" spans="1:13" s="90" customFormat="1" ht="13" customHeight="1">
      <c r="A5" s="88" t="s">
        <v>67</v>
      </c>
      <c r="B5" s="89" t="s">
        <v>203</v>
      </c>
      <c r="C5" s="89" t="s">
        <v>204</v>
      </c>
      <c r="D5" s="89" t="s">
        <v>205</v>
      </c>
      <c r="E5" s="89" t="s">
        <v>206</v>
      </c>
      <c r="F5" s="89" t="s">
        <v>207</v>
      </c>
      <c r="G5" s="89" t="s">
        <v>208</v>
      </c>
      <c r="H5" s="89" t="s">
        <v>209</v>
      </c>
      <c r="I5" s="89" t="s">
        <v>210</v>
      </c>
      <c r="J5" s="89" t="s">
        <v>211</v>
      </c>
      <c r="K5" s="89" t="s">
        <v>212</v>
      </c>
      <c r="L5" s="89" t="s">
        <v>213</v>
      </c>
      <c r="M5" s="89" t="s">
        <v>214</v>
      </c>
    </row>
    <row r="6" spans="1:13" ht="13.25" customHeight="1"/>
    <row r="7" spans="1:13" s="90" customFormat="1" ht="13" customHeight="1">
      <c r="A7" s="132" t="s">
        <v>71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ht="11.75" customHeight="1">
      <c r="A8" s="91" t="s">
        <v>75</v>
      </c>
      <c r="B8" s="92">
        <v>0</v>
      </c>
      <c r="C8" s="92">
        <v>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4178067.3</v>
      </c>
      <c r="J8" s="92">
        <v>3889214.05</v>
      </c>
      <c r="K8" s="92">
        <v>4774233.25</v>
      </c>
      <c r="L8" s="92">
        <v>4336497.82</v>
      </c>
      <c r="M8" s="92">
        <v>4252624.12</v>
      </c>
    </row>
    <row r="9" spans="1:13" ht="11.75" customHeight="1">
      <c r="A9" s="93" t="s">
        <v>78</v>
      </c>
      <c r="B9" s="94">
        <f t="shared" ref="B9:M9" si="0">B8</f>
        <v>0</v>
      </c>
      <c r="C9" s="94">
        <f t="shared" si="0"/>
        <v>0</v>
      </c>
      <c r="D9" s="94">
        <f t="shared" si="0"/>
        <v>0</v>
      </c>
      <c r="E9" s="94">
        <f t="shared" si="0"/>
        <v>0</v>
      </c>
      <c r="F9" s="94">
        <f t="shared" si="0"/>
        <v>0</v>
      </c>
      <c r="G9" s="94">
        <f t="shared" si="0"/>
        <v>0</v>
      </c>
      <c r="H9" s="94">
        <f t="shared" si="0"/>
        <v>0</v>
      </c>
      <c r="I9" s="94">
        <f t="shared" si="0"/>
        <v>4178067.3</v>
      </c>
      <c r="J9" s="94">
        <f t="shared" si="0"/>
        <v>3889214.05</v>
      </c>
      <c r="K9" s="94">
        <f t="shared" si="0"/>
        <v>4774233.25</v>
      </c>
      <c r="L9" s="94">
        <f t="shared" si="0"/>
        <v>4336497.82</v>
      </c>
      <c r="M9" s="94">
        <f t="shared" si="0"/>
        <v>4252624.12</v>
      </c>
    </row>
    <row r="10" spans="1:13" ht="13.25" customHeight="1"/>
    <row r="11" spans="1:13" s="90" customFormat="1" ht="13" customHeight="1">
      <c r="A11" s="132" t="s">
        <v>79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13" ht="11.75" customHeight="1">
      <c r="A12" s="91" t="s">
        <v>80</v>
      </c>
      <c r="B12" s="92">
        <v>0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17292.48</v>
      </c>
    </row>
    <row r="13" spans="1:13" ht="11.75" customHeight="1">
      <c r="A13" s="95" t="s">
        <v>81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86.96</v>
      </c>
      <c r="K13" s="96">
        <v>0</v>
      </c>
      <c r="L13" s="96">
        <v>0</v>
      </c>
      <c r="M13" s="96">
        <v>200</v>
      </c>
    </row>
    <row r="14" spans="1:13" ht="11.75" customHeight="1">
      <c r="A14" s="95" t="s">
        <v>82</v>
      </c>
      <c r="B14" s="96">
        <v>0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86.96</v>
      </c>
      <c r="K14" s="96">
        <v>0</v>
      </c>
      <c r="L14" s="96">
        <v>0</v>
      </c>
      <c r="M14" s="96">
        <v>0</v>
      </c>
    </row>
    <row r="15" spans="1:13" ht="11.75" customHeight="1">
      <c r="A15" s="95" t="s">
        <v>91</v>
      </c>
      <c r="B15" s="96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760.87</v>
      </c>
    </row>
    <row r="16" spans="1:13" ht="11.75" customHeight="1">
      <c r="A16" s="95" t="s">
        <v>92</v>
      </c>
      <c r="B16" s="96">
        <v>0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12386.25</v>
      </c>
      <c r="J16" s="96">
        <v>16372.1</v>
      </c>
      <c r="K16" s="96">
        <v>28166.51</v>
      </c>
      <c r="L16" s="96">
        <v>1344.32</v>
      </c>
      <c r="M16" s="96">
        <v>191661.47</v>
      </c>
    </row>
    <row r="17" spans="1:13" ht="11.75" customHeight="1">
      <c r="A17" s="95" t="s">
        <v>93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115757.06</v>
      </c>
      <c r="J17" s="96">
        <v>2570.42</v>
      </c>
      <c r="K17" s="96">
        <v>2880.57</v>
      </c>
      <c r="L17" s="96">
        <v>1250.3900000000001</v>
      </c>
      <c r="M17" s="96">
        <v>24545.15</v>
      </c>
    </row>
    <row r="18" spans="1:13" s="99" customFormat="1" ht="11.75" customHeight="1">
      <c r="A18" s="97" t="s">
        <v>96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1483.14</v>
      </c>
      <c r="J18" s="98">
        <v>1440.87</v>
      </c>
      <c r="K18" s="98">
        <v>1189.57</v>
      </c>
      <c r="L18" s="98">
        <v>1189.57</v>
      </c>
      <c r="M18" s="98">
        <v>1189.57</v>
      </c>
    </row>
    <row r="19" spans="1:13" s="99" customFormat="1" ht="11.75" customHeight="1">
      <c r="A19" s="97" t="s">
        <v>98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75191</v>
      </c>
      <c r="J19" s="98">
        <v>328611.84000000003</v>
      </c>
      <c r="K19" s="98">
        <v>149683.76999999999</v>
      </c>
      <c r="L19" s="98">
        <v>84649.57</v>
      </c>
      <c r="M19" s="98">
        <v>776649.41</v>
      </c>
    </row>
    <row r="20" spans="1:13" s="99" customFormat="1" ht="11.75" customHeight="1">
      <c r="A20" s="97" t="s">
        <v>100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694.78</v>
      </c>
      <c r="M20" s="98">
        <v>0</v>
      </c>
    </row>
    <row r="21" spans="1:13" s="99" customFormat="1" ht="11.75" customHeight="1">
      <c r="A21" s="97" t="s">
        <v>102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79865.240000000005</v>
      </c>
      <c r="J21" s="98">
        <v>40224.74</v>
      </c>
      <c r="K21" s="98">
        <v>50267.62</v>
      </c>
      <c r="L21" s="98">
        <v>53004.4</v>
      </c>
      <c r="M21" s="98">
        <v>59157.63</v>
      </c>
    </row>
    <row r="22" spans="1:13" s="99" customFormat="1" ht="11.75" customHeight="1">
      <c r="A22" s="97" t="s">
        <v>103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1129.57</v>
      </c>
      <c r="L22" s="98">
        <v>0</v>
      </c>
      <c r="M22" s="98">
        <v>0</v>
      </c>
    </row>
    <row r="23" spans="1:13" s="111" customFormat="1" ht="11.75" customHeight="1">
      <c r="A23" s="109" t="s">
        <v>106</v>
      </c>
      <c r="B23" s="110">
        <v>8338713.5599999996</v>
      </c>
      <c r="C23" s="110">
        <v>9056635.5899999999</v>
      </c>
      <c r="D23" s="110">
        <v>5306635.59</v>
      </c>
      <c r="E23" s="110">
        <v>5306635.59</v>
      </c>
      <c r="F23" s="110">
        <v>3306635.59</v>
      </c>
      <c r="G23" s="110">
        <v>3306635.59</v>
      </c>
      <c r="H23" s="110">
        <v>3306635.59</v>
      </c>
      <c r="I23" s="110">
        <v>3233584.29</v>
      </c>
      <c r="J23" s="110">
        <v>2688761.77</v>
      </c>
      <c r="K23" s="110">
        <v>3793437.38</v>
      </c>
      <c r="L23" s="110">
        <v>3193925.31</v>
      </c>
      <c r="M23" s="110">
        <v>2483055.52</v>
      </c>
    </row>
    <row r="24" spans="1:13" s="111" customFormat="1" ht="11.75" customHeight="1">
      <c r="A24" s="109" t="s">
        <v>107</v>
      </c>
      <c r="B24" s="110">
        <v>24793.88</v>
      </c>
      <c r="C24" s="110">
        <v>24793.88</v>
      </c>
      <c r="D24" s="110">
        <v>24793.88</v>
      </c>
      <c r="E24" s="110">
        <v>24793.88</v>
      </c>
      <c r="F24" s="110">
        <v>24793.88</v>
      </c>
      <c r="G24" s="110">
        <v>24793.88</v>
      </c>
      <c r="H24" s="110">
        <v>24793.88</v>
      </c>
      <c r="I24" s="110">
        <v>24793.88</v>
      </c>
      <c r="J24" s="110">
        <v>28694.560000000001</v>
      </c>
      <c r="K24" s="110">
        <v>61021.919999999998</v>
      </c>
      <c r="L24" s="110">
        <v>111322.42</v>
      </c>
      <c r="M24" s="110">
        <v>263223.18</v>
      </c>
    </row>
    <row r="25" spans="1:13" s="111" customFormat="1" ht="11.75" customHeight="1">
      <c r="A25" s="109" t="s">
        <v>108</v>
      </c>
      <c r="B25" s="110">
        <v>107.39</v>
      </c>
      <c r="C25" s="110">
        <v>107.39</v>
      </c>
      <c r="D25" s="110">
        <v>107.39</v>
      </c>
      <c r="E25" s="110">
        <v>107.39</v>
      </c>
      <c r="F25" s="110">
        <v>107.39</v>
      </c>
      <c r="G25" s="110">
        <v>107.39</v>
      </c>
      <c r="H25" s="110">
        <v>107.39</v>
      </c>
      <c r="I25" s="110">
        <v>107.39</v>
      </c>
      <c r="J25" s="110">
        <v>8882.14</v>
      </c>
      <c r="K25" s="110">
        <v>2170.4499999999998</v>
      </c>
      <c r="L25" s="110">
        <v>78.260000000000005</v>
      </c>
      <c r="M25" s="110">
        <v>0</v>
      </c>
    </row>
    <row r="26" spans="1:13" ht="11.75" customHeight="1">
      <c r="A26" s="95" t="s">
        <v>109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2719.43</v>
      </c>
    </row>
    <row r="27" spans="1:13" ht="11.75" customHeight="1">
      <c r="A27" s="95" t="s">
        <v>215</v>
      </c>
      <c r="B27" s="96">
        <v>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468.7</v>
      </c>
      <c r="J27" s="96">
        <v>0</v>
      </c>
      <c r="K27" s="96">
        <v>0</v>
      </c>
      <c r="L27" s="96">
        <v>0</v>
      </c>
      <c r="M27" s="96">
        <v>0</v>
      </c>
    </row>
    <row r="28" spans="1:13" ht="11.75" customHeight="1">
      <c r="A28" s="95" t="s">
        <v>114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25461.52</v>
      </c>
      <c r="J28" s="96">
        <v>0</v>
      </c>
      <c r="K28" s="96">
        <v>0</v>
      </c>
      <c r="L28" s="96">
        <v>0</v>
      </c>
      <c r="M28" s="96">
        <v>0</v>
      </c>
    </row>
    <row r="29" spans="1:13" ht="11.75" customHeight="1">
      <c r="A29" s="95" t="s">
        <v>115</v>
      </c>
      <c r="B29" s="96">
        <v>0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11607.87</v>
      </c>
      <c r="J29" s="96">
        <v>30013.040000000001</v>
      </c>
      <c r="K29" s="96">
        <v>0</v>
      </c>
      <c r="L29" s="96">
        <v>0</v>
      </c>
      <c r="M29" s="96">
        <v>0</v>
      </c>
    </row>
    <row r="30" spans="1:13" ht="11.75" customHeight="1">
      <c r="A30" s="95" t="s">
        <v>124</v>
      </c>
      <c r="B30" s="96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-19.48</v>
      </c>
      <c r="J30" s="96">
        <v>2500</v>
      </c>
      <c r="K30" s="96">
        <v>20456.5</v>
      </c>
      <c r="L30" s="96">
        <v>486.95</v>
      </c>
      <c r="M30" s="96">
        <v>0</v>
      </c>
    </row>
    <row r="31" spans="1:13" ht="11.75" customHeight="1">
      <c r="A31" s="93" t="s">
        <v>125</v>
      </c>
      <c r="B31" s="94">
        <f t="shared" ref="B31:M31" si="1">SUM(B12:B30)</f>
        <v>8363614.8299999991</v>
      </c>
      <c r="C31" s="94">
        <f t="shared" si="1"/>
        <v>9081536.8600000013</v>
      </c>
      <c r="D31" s="94">
        <f t="shared" si="1"/>
        <v>5331536.8599999994</v>
      </c>
      <c r="E31" s="94">
        <f t="shared" si="1"/>
        <v>5331536.8599999994</v>
      </c>
      <c r="F31" s="94">
        <f t="shared" si="1"/>
        <v>3331536.86</v>
      </c>
      <c r="G31" s="94">
        <f t="shared" si="1"/>
        <v>3331536.86</v>
      </c>
      <c r="H31" s="94">
        <f t="shared" si="1"/>
        <v>3331536.86</v>
      </c>
      <c r="I31" s="94">
        <f t="shared" si="1"/>
        <v>3580686.8600000003</v>
      </c>
      <c r="J31" s="94">
        <f t="shared" si="1"/>
        <v>3148245.4000000004</v>
      </c>
      <c r="K31" s="94">
        <f t="shared" si="1"/>
        <v>4110403.86</v>
      </c>
      <c r="L31" s="94">
        <f t="shared" si="1"/>
        <v>3447945.9699999997</v>
      </c>
      <c r="M31" s="94">
        <f t="shared" si="1"/>
        <v>3820454.7100000004</v>
      </c>
    </row>
    <row r="32" spans="1:13" ht="13.25" customHeight="1"/>
    <row r="33" spans="1:13" ht="11.75" customHeight="1">
      <c r="A33" s="100" t="s">
        <v>126</v>
      </c>
      <c r="B33" s="101">
        <f t="shared" ref="B33:M33" si="2">(B9 - B31)</f>
        <v>-8363614.8299999991</v>
      </c>
      <c r="C33" s="101">
        <f t="shared" si="2"/>
        <v>-9081536.8600000013</v>
      </c>
      <c r="D33" s="101">
        <f t="shared" si="2"/>
        <v>-5331536.8599999994</v>
      </c>
      <c r="E33" s="101">
        <f t="shared" si="2"/>
        <v>-5331536.8599999994</v>
      </c>
      <c r="F33" s="101">
        <f t="shared" si="2"/>
        <v>-3331536.86</v>
      </c>
      <c r="G33" s="101">
        <f t="shared" si="2"/>
        <v>-3331536.86</v>
      </c>
      <c r="H33" s="101">
        <f t="shared" si="2"/>
        <v>-3331536.86</v>
      </c>
      <c r="I33" s="101">
        <f t="shared" si="2"/>
        <v>597380.43999999948</v>
      </c>
      <c r="J33" s="101">
        <f t="shared" si="2"/>
        <v>740968.64999999944</v>
      </c>
      <c r="K33" s="101">
        <f t="shared" si="2"/>
        <v>663829.39000000013</v>
      </c>
      <c r="L33" s="101">
        <f t="shared" si="2"/>
        <v>888551.85000000056</v>
      </c>
      <c r="M33" s="101">
        <f t="shared" si="2"/>
        <v>432169.40999999968</v>
      </c>
    </row>
    <row r="34" spans="1:13" ht="13.25" customHeight="1"/>
    <row r="35" spans="1:13" s="90" customFormat="1" ht="13" customHeight="1">
      <c r="A35" s="132" t="s">
        <v>127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3" ht="11.75" customHeight="1">
      <c r="A36" s="91" t="s">
        <v>129</v>
      </c>
      <c r="B36" s="92">
        <v>0</v>
      </c>
      <c r="C36" s="92">
        <v>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99.6</v>
      </c>
      <c r="J36" s="92">
        <v>67.930000000000007</v>
      </c>
      <c r="K36" s="92">
        <v>17.190000000000001</v>
      </c>
      <c r="L36" s="92">
        <v>175.49</v>
      </c>
      <c r="M36" s="92">
        <v>144.69999999999999</v>
      </c>
    </row>
    <row r="37" spans="1:13" ht="11.75" customHeight="1">
      <c r="A37" s="95" t="s">
        <v>130</v>
      </c>
      <c r="B37" s="96">
        <v>0</v>
      </c>
      <c r="C37" s="96">
        <v>0</v>
      </c>
      <c r="D37" s="96">
        <v>0</v>
      </c>
      <c r="E37" s="96">
        <v>0</v>
      </c>
      <c r="F37" s="96">
        <v>0</v>
      </c>
      <c r="G37" s="96">
        <v>0</v>
      </c>
      <c r="H37" s="96">
        <v>0</v>
      </c>
      <c r="I37" s="96">
        <v>4.0199999999999996</v>
      </c>
      <c r="J37" s="96">
        <v>7.64</v>
      </c>
      <c r="K37" s="96">
        <v>0</v>
      </c>
      <c r="L37" s="96">
        <v>3.58</v>
      </c>
      <c r="M37" s="96">
        <v>6.81</v>
      </c>
    </row>
    <row r="38" spans="1:13" ht="11.75" customHeight="1">
      <c r="A38" s="95" t="s">
        <v>131</v>
      </c>
      <c r="B38" s="96">
        <v>0</v>
      </c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-3490.94</v>
      </c>
      <c r="L38" s="96">
        <v>0</v>
      </c>
      <c r="M38" s="96">
        <v>0</v>
      </c>
    </row>
    <row r="39" spans="1:13" ht="11.75" customHeight="1">
      <c r="A39" s="93" t="s">
        <v>132</v>
      </c>
      <c r="B39" s="94">
        <f t="shared" ref="B39:M39" si="3">SUM(B36:B38)</f>
        <v>0</v>
      </c>
      <c r="C39" s="94">
        <f t="shared" si="3"/>
        <v>0</v>
      </c>
      <c r="D39" s="94">
        <f t="shared" si="3"/>
        <v>0</v>
      </c>
      <c r="E39" s="94">
        <f t="shared" si="3"/>
        <v>0</v>
      </c>
      <c r="F39" s="94">
        <f t="shared" si="3"/>
        <v>0</v>
      </c>
      <c r="G39" s="94">
        <f t="shared" si="3"/>
        <v>0</v>
      </c>
      <c r="H39" s="94">
        <f t="shared" si="3"/>
        <v>0</v>
      </c>
      <c r="I39" s="94">
        <f t="shared" si="3"/>
        <v>103.61999999999999</v>
      </c>
      <c r="J39" s="94">
        <f t="shared" si="3"/>
        <v>75.570000000000007</v>
      </c>
      <c r="K39" s="94">
        <f t="shared" si="3"/>
        <v>-3473.75</v>
      </c>
      <c r="L39" s="94">
        <f t="shared" si="3"/>
        <v>179.07000000000002</v>
      </c>
      <c r="M39" s="94">
        <f t="shared" si="3"/>
        <v>151.51</v>
      </c>
    </row>
    <row r="40" spans="1:13" ht="13.25" customHeight="1"/>
    <row r="41" spans="1:13" s="90" customFormat="1" ht="13" customHeight="1">
      <c r="A41" s="132" t="s">
        <v>133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</row>
    <row r="42" spans="1:13" s="104" customFormat="1" ht="11.75" customHeight="1">
      <c r="A42" s="102" t="s">
        <v>138</v>
      </c>
      <c r="B42" s="103">
        <v>0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11170</v>
      </c>
      <c r="K42" s="103">
        <v>0</v>
      </c>
      <c r="L42" s="103">
        <v>0</v>
      </c>
      <c r="M42" s="103">
        <v>0</v>
      </c>
    </row>
    <row r="43" spans="1:13" s="104" customFormat="1" ht="11.75" customHeight="1">
      <c r="A43" s="105" t="s">
        <v>139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700</v>
      </c>
      <c r="J43" s="106">
        <v>580</v>
      </c>
      <c r="K43" s="106">
        <v>0</v>
      </c>
      <c r="L43" s="106">
        <v>0</v>
      </c>
      <c r="M43" s="106">
        <v>0</v>
      </c>
    </row>
    <row r="44" spans="1:13" s="104" customFormat="1" ht="11.75" customHeight="1">
      <c r="A44" s="105" t="s">
        <v>142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295</v>
      </c>
    </row>
    <row r="45" spans="1:13" s="104" customFormat="1" ht="11.75" customHeight="1">
      <c r="A45" s="105" t="s">
        <v>143</v>
      </c>
      <c r="B45" s="106">
        <v>0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0</v>
      </c>
      <c r="I45" s="106">
        <v>0</v>
      </c>
      <c r="J45" s="106">
        <v>885</v>
      </c>
      <c r="K45" s="106">
        <v>0</v>
      </c>
      <c r="L45" s="106">
        <v>0</v>
      </c>
      <c r="M45" s="106">
        <v>712</v>
      </c>
    </row>
    <row r="46" spans="1:13" s="104" customFormat="1" ht="11.75" customHeight="1">
      <c r="A46" s="105" t="s">
        <v>144</v>
      </c>
      <c r="B46" s="106">
        <v>0</v>
      </c>
      <c r="C46" s="106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3450</v>
      </c>
      <c r="J46" s="106">
        <v>1200</v>
      </c>
      <c r="K46" s="106">
        <v>0</v>
      </c>
      <c r="L46" s="106">
        <v>0</v>
      </c>
      <c r="M46" s="106">
        <v>0</v>
      </c>
    </row>
    <row r="47" spans="1:13" s="104" customFormat="1" ht="11.75" customHeight="1">
      <c r="A47" s="105" t="s">
        <v>145</v>
      </c>
      <c r="B47" s="106">
        <v>0</v>
      </c>
      <c r="C47" s="106">
        <v>0</v>
      </c>
      <c r="D47" s="106">
        <v>0</v>
      </c>
      <c r="E47" s="106">
        <v>0</v>
      </c>
      <c r="F47" s="106">
        <v>0</v>
      </c>
      <c r="G47" s="106">
        <v>0</v>
      </c>
      <c r="H47" s="106">
        <v>0</v>
      </c>
      <c r="I47" s="106">
        <v>1918.65</v>
      </c>
      <c r="J47" s="106">
        <v>1821.46</v>
      </c>
      <c r="K47" s="106">
        <v>1869.9</v>
      </c>
      <c r="L47" s="106">
        <v>1777.27</v>
      </c>
      <c r="M47" s="106">
        <v>1931.46</v>
      </c>
    </row>
    <row r="48" spans="1:13" ht="11.75" customHeight="1">
      <c r="A48" s="95" t="s">
        <v>146</v>
      </c>
      <c r="B48" s="96">
        <v>0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3007.35</v>
      </c>
      <c r="L48" s="96">
        <v>7034</v>
      </c>
      <c r="M48" s="96">
        <v>5034</v>
      </c>
    </row>
    <row r="49" spans="1:13" ht="11.75" customHeight="1">
      <c r="A49" s="95" t="s">
        <v>147</v>
      </c>
      <c r="B49" s="96">
        <v>0</v>
      </c>
      <c r="C49" s="96">
        <v>0</v>
      </c>
      <c r="D49" s="96">
        <v>0</v>
      </c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1011.6</v>
      </c>
      <c r="L49" s="96">
        <v>1775.25</v>
      </c>
      <c r="M49" s="96">
        <v>1775.25</v>
      </c>
    </row>
    <row r="50" spans="1:13" s="104" customFormat="1" ht="11.75" customHeight="1">
      <c r="A50" s="105" t="s">
        <v>149</v>
      </c>
      <c r="B50" s="106">
        <v>0</v>
      </c>
      <c r="C50" s="106">
        <v>0</v>
      </c>
      <c r="D50" s="106">
        <v>0</v>
      </c>
      <c r="E50" s="106">
        <v>0</v>
      </c>
      <c r="F50" s="106">
        <v>0</v>
      </c>
      <c r="G50" s="106">
        <v>0</v>
      </c>
      <c r="H50" s="106">
        <v>0</v>
      </c>
      <c r="I50" s="106">
        <v>78.239999999999995</v>
      </c>
      <c r="J50" s="106">
        <v>0</v>
      </c>
      <c r="K50" s="106">
        <v>78.25</v>
      </c>
      <c r="L50" s="106">
        <v>0</v>
      </c>
      <c r="M50" s="106">
        <v>355.4</v>
      </c>
    </row>
    <row r="51" spans="1:13" s="104" customFormat="1" ht="11.75" customHeight="1">
      <c r="A51" s="105" t="s">
        <v>150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3130</v>
      </c>
      <c r="J51" s="106">
        <v>4230</v>
      </c>
      <c r="K51" s="106">
        <v>3130</v>
      </c>
      <c r="L51" s="106">
        <v>2532</v>
      </c>
      <c r="M51" s="106">
        <v>5177</v>
      </c>
    </row>
    <row r="52" spans="1:13" s="104" customFormat="1" ht="11.75" customHeight="1">
      <c r="A52" s="105" t="s">
        <v>151</v>
      </c>
      <c r="B52" s="106">
        <v>0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0</v>
      </c>
      <c r="I52" s="106">
        <v>749</v>
      </c>
      <c r="J52" s="106">
        <v>0</v>
      </c>
      <c r="K52" s="106">
        <v>1999.13</v>
      </c>
      <c r="L52" s="106">
        <v>0</v>
      </c>
      <c r="M52" s="106">
        <v>1604.52</v>
      </c>
    </row>
    <row r="53" spans="1:13" ht="11.75" customHeight="1">
      <c r="A53" s="95" t="s">
        <v>153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119527</v>
      </c>
      <c r="J53" s="96">
        <v>119527</v>
      </c>
      <c r="K53" s="96">
        <v>119527</v>
      </c>
      <c r="L53" s="96">
        <v>110452</v>
      </c>
      <c r="M53" s="96">
        <v>144016.70000000001</v>
      </c>
    </row>
    <row r="54" spans="1:13" s="104" customFormat="1" ht="11.75" customHeight="1">
      <c r="A54" s="105" t="s">
        <v>156</v>
      </c>
      <c r="B54" s="106">
        <v>0</v>
      </c>
      <c r="C54" s="106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86.09</v>
      </c>
      <c r="L54" s="106">
        <v>0</v>
      </c>
      <c r="M54" s="106">
        <v>0</v>
      </c>
    </row>
    <row r="55" spans="1:13" ht="11.75" customHeight="1">
      <c r="A55" s="95" t="s">
        <v>157</v>
      </c>
      <c r="B55" s="96">
        <v>0</v>
      </c>
      <c r="C55" s="96">
        <v>0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3323.92</v>
      </c>
      <c r="J55" s="96">
        <v>3323.88</v>
      </c>
      <c r="K55" s="96">
        <v>3323.91</v>
      </c>
      <c r="L55" s="96">
        <v>3323.88</v>
      </c>
      <c r="M55" s="96">
        <v>3323.91</v>
      </c>
    </row>
    <row r="56" spans="1:13" ht="11.75" customHeight="1">
      <c r="A56" s="95" t="s">
        <v>158</v>
      </c>
      <c r="B56" s="96">
        <v>0</v>
      </c>
      <c r="C56" s="96">
        <v>0</v>
      </c>
      <c r="D56" s="96">
        <v>0</v>
      </c>
      <c r="E56" s="96">
        <v>0</v>
      </c>
      <c r="F56" s="96">
        <v>0</v>
      </c>
      <c r="G56" s="96">
        <v>0</v>
      </c>
      <c r="H56" s="96">
        <v>0</v>
      </c>
      <c r="I56" s="96">
        <v>547.69000000000005</v>
      </c>
      <c r="J56" s="96">
        <v>547.66999999999996</v>
      </c>
      <c r="K56" s="96">
        <v>547.67999999999995</v>
      </c>
      <c r="L56" s="96">
        <v>547.66999999999996</v>
      </c>
      <c r="M56" s="96">
        <v>547.67999999999995</v>
      </c>
    </row>
    <row r="57" spans="1:13" ht="11.75" customHeight="1">
      <c r="A57" s="95" t="s">
        <v>159</v>
      </c>
      <c r="B57" s="96">
        <v>0</v>
      </c>
      <c r="C57" s="96">
        <v>0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1188.71</v>
      </c>
      <c r="J57" s="96">
        <v>1188.69</v>
      </c>
      <c r="K57" s="96">
        <v>1188.7</v>
      </c>
      <c r="L57" s="96">
        <v>193.34</v>
      </c>
      <c r="M57" s="96">
        <v>193.33</v>
      </c>
    </row>
    <row r="58" spans="1:13" ht="11.75" customHeight="1">
      <c r="A58" s="95" t="s">
        <v>161</v>
      </c>
      <c r="B58" s="96">
        <v>0</v>
      </c>
      <c r="C58" s="96">
        <v>0</v>
      </c>
      <c r="D58" s="96">
        <v>0</v>
      </c>
      <c r="E58" s="96">
        <v>0</v>
      </c>
      <c r="F58" s="96">
        <v>0</v>
      </c>
      <c r="G58" s="96">
        <v>0</v>
      </c>
      <c r="H58" s="96">
        <v>0</v>
      </c>
      <c r="I58" s="96">
        <v>7214.2</v>
      </c>
      <c r="J58" s="96">
        <v>6082.97</v>
      </c>
      <c r="K58" s="96">
        <v>5058.34</v>
      </c>
      <c r="L58" s="96">
        <v>6676.08</v>
      </c>
      <c r="M58" s="96">
        <v>7428.07</v>
      </c>
    </row>
    <row r="59" spans="1:13" s="104" customFormat="1" ht="11.75" customHeight="1">
      <c r="A59" s="105" t="s">
        <v>165</v>
      </c>
      <c r="B59" s="106">
        <v>0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0</v>
      </c>
      <c r="I59" s="106">
        <v>2063.15</v>
      </c>
      <c r="J59" s="106">
        <v>2089.86</v>
      </c>
      <c r="K59" s="106">
        <v>0</v>
      </c>
      <c r="L59" s="106">
        <v>4275.67</v>
      </c>
      <c r="M59" s="106">
        <v>1458.74</v>
      </c>
    </row>
    <row r="60" spans="1:13" s="104" customFormat="1" ht="11.75" customHeight="1">
      <c r="A60" s="105" t="s">
        <v>171</v>
      </c>
      <c r="B60" s="106">
        <v>0</v>
      </c>
      <c r="C60" s="106">
        <v>0</v>
      </c>
      <c r="D60" s="106">
        <v>0</v>
      </c>
      <c r="E60" s="106">
        <v>0</v>
      </c>
      <c r="F60" s="106">
        <v>0</v>
      </c>
      <c r="G60" s="106">
        <v>0</v>
      </c>
      <c r="H60" s="106">
        <v>0</v>
      </c>
      <c r="I60" s="106">
        <v>0</v>
      </c>
      <c r="J60" s="106">
        <v>0</v>
      </c>
      <c r="K60" s="106">
        <v>0</v>
      </c>
      <c r="L60" s="106">
        <v>5202.88</v>
      </c>
      <c r="M60" s="106">
        <v>0</v>
      </c>
    </row>
    <row r="61" spans="1:13" s="104" customFormat="1" ht="11.75" customHeight="1">
      <c r="A61" s="105" t="s">
        <v>172</v>
      </c>
      <c r="B61" s="106">
        <v>0</v>
      </c>
      <c r="C61" s="106">
        <v>0</v>
      </c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1069</v>
      </c>
      <c r="K61" s="106">
        <v>0</v>
      </c>
      <c r="L61" s="106">
        <v>0</v>
      </c>
      <c r="M61" s="106">
        <v>0</v>
      </c>
    </row>
    <row r="62" spans="1:13" s="104" customFormat="1" ht="11.75" customHeight="1">
      <c r="A62" s="105" t="s">
        <v>173</v>
      </c>
      <c r="B62" s="106">
        <v>0</v>
      </c>
      <c r="C62" s="106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6">
        <v>4022.51</v>
      </c>
      <c r="J62" s="106">
        <v>3175.51</v>
      </c>
      <c r="K62" s="106">
        <v>4892.22</v>
      </c>
      <c r="L62" s="106">
        <v>7124.28</v>
      </c>
      <c r="M62" s="106">
        <v>5589.51</v>
      </c>
    </row>
    <row r="63" spans="1:13" s="104" customFormat="1" ht="11.75" customHeight="1">
      <c r="A63" s="105" t="s">
        <v>175</v>
      </c>
      <c r="B63" s="106">
        <v>0</v>
      </c>
      <c r="C63" s="106">
        <v>0</v>
      </c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362</v>
      </c>
      <c r="M63" s="106">
        <v>0</v>
      </c>
    </row>
    <row r="64" spans="1:13" ht="11.75" customHeight="1">
      <c r="A64" s="95" t="s">
        <v>176</v>
      </c>
      <c r="B64" s="96">
        <v>0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82564.37</v>
      </c>
      <c r="J64" s="96">
        <v>82763.78</v>
      </c>
      <c r="K64" s="96">
        <v>77215.960000000006</v>
      </c>
      <c r="L64" s="96">
        <v>76990.11</v>
      </c>
      <c r="M64" s="96">
        <v>75818.38</v>
      </c>
    </row>
    <row r="65" spans="1:13" s="104" customFormat="1" ht="11.75" customHeight="1">
      <c r="A65" s="105" t="s">
        <v>177</v>
      </c>
      <c r="B65" s="106">
        <v>0</v>
      </c>
      <c r="C65" s="106">
        <v>0</v>
      </c>
      <c r="D65" s="106">
        <v>0</v>
      </c>
      <c r="E65" s="106">
        <v>0</v>
      </c>
      <c r="F65" s="106">
        <v>0</v>
      </c>
      <c r="G65" s="106">
        <v>0</v>
      </c>
      <c r="H65" s="106">
        <v>0</v>
      </c>
      <c r="I65" s="106">
        <v>1459.35</v>
      </c>
      <c r="J65" s="106">
        <v>704.96</v>
      </c>
      <c r="K65" s="106">
        <v>2190.96</v>
      </c>
      <c r="L65" s="106">
        <v>1777.93</v>
      </c>
      <c r="M65" s="106">
        <v>1375.3</v>
      </c>
    </row>
    <row r="66" spans="1:13" s="104" customFormat="1" ht="11.75" customHeight="1">
      <c r="A66" s="105" t="s">
        <v>178</v>
      </c>
      <c r="B66" s="106">
        <v>0</v>
      </c>
      <c r="C66" s="106">
        <v>0</v>
      </c>
      <c r="D66" s="106">
        <v>0</v>
      </c>
      <c r="E66" s="106">
        <v>0</v>
      </c>
      <c r="F66" s="106">
        <v>0</v>
      </c>
      <c r="G66" s="106">
        <v>0</v>
      </c>
      <c r="H66" s="106">
        <v>0</v>
      </c>
      <c r="I66" s="106">
        <v>5699.68</v>
      </c>
      <c r="J66" s="106">
        <v>4327.12</v>
      </c>
      <c r="K66" s="106">
        <v>2190.86</v>
      </c>
      <c r="L66" s="106">
        <v>1173.9100000000001</v>
      </c>
      <c r="M66" s="106">
        <v>2299.13</v>
      </c>
    </row>
    <row r="67" spans="1:13" ht="11.75" customHeight="1">
      <c r="A67" s="95" t="s">
        <v>53</v>
      </c>
      <c r="B67" s="96">
        <v>0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843.6</v>
      </c>
      <c r="J67" s="96">
        <v>843.6</v>
      </c>
      <c r="K67" s="96">
        <v>843.6</v>
      </c>
      <c r="L67" s="96">
        <v>843.6</v>
      </c>
      <c r="M67" s="96">
        <v>843.6</v>
      </c>
    </row>
    <row r="68" spans="1:13" ht="11.75" customHeight="1">
      <c r="A68" s="95" t="s">
        <v>179</v>
      </c>
      <c r="B68" s="96">
        <v>0</v>
      </c>
      <c r="C68" s="96">
        <v>0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29600</v>
      </c>
      <c r="J68" s="96">
        <v>29600</v>
      </c>
      <c r="K68" s="96">
        <v>29600</v>
      </c>
      <c r="L68" s="96">
        <v>29600</v>
      </c>
      <c r="M68" s="96">
        <v>29600</v>
      </c>
    </row>
    <row r="69" spans="1:13" s="104" customFormat="1" ht="11.75" customHeight="1">
      <c r="A69" s="105" t="s">
        <v>180</v>
      </c>
      <c r="B69" s="106">
        <v>0</v>
      </c>
      <c r="C69" s="106">
        <v>0</v>
      </c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5400</v>
      </c>
      <c r="J69" s="106">
        <v>155</v>
      </c>
      <c r="K69" s="106">
        <v>2121.6</v>
      </c>
      <c r="L69" s="106">
        <v>750</v>
      </c>
      <c r="M69" s="106">
        <v>6352.8</v>
      </c>
    </row>
    <row r="70" spans="1:13" ht="11.75" customHeight="1">
      <c r="A70" s="95" t="s">
        <v>181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5192.13</v>
      </c>
      <c r="L70" s="96">
        <v>0</v>
      </c>
      <c r="M70" s="96">
        <v>0</v>
      </c>
    </row>
    <row r="71" spans="1:13" ht="11.75" customHeight="1">
      <c r="A71" s="95" t="s">
        <v>182</v>
      </c>
      <c r="B71" s="96">
        <v>0</v>
      </c>
      <c r="C71" s="96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377867.45</v>
      </c>
      <c r="J71" s="96">
        <v>373109.3</v>
      </c>
      <c r="K71" s="96">
        <v>333418.53999999998</v>
      </c>
      <c r="L71" s="96">
        <v>327361.08</v>
      </c>
      <c r="M71" s="96">
        <v>311179.65999999997</v>
      </c>
    </row>
    <row r="72" spans="1:13" ht="11.75" customHeight="1">
      <c r="A72" s="95" t="s">
        <v>184</v>
      </c>
      <c r="B72" s="96">
        <v>0</v>
      </c>
      <c r="C72" s="96">
        <v>0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4480.7700000000004</v>
      </c>
      <c r="J72" s="96">
        <v>4434.6400000000003</v>
      </c>
      <c r="K72" s="96">
        <v>3980.49</v>
      </c>
      <c r="L72" s="96">
        <v>3918.5</v>
      </c>
      <c r="M72" s="96">
        <v>3744.13</v>
      </c>
    </row>
    <row r="73" spans="1:13" s="104" customFormat="1" ht="11.75" customHeight="1">
      <c r="A73" s="105" t="s">
        <v>185</v>
      </c>
      <c r="B73" s="106">
        <v>0</v>
      </c>
      <c r="C73" s="106">
        <v>0</v>
      </c>
      <c r="D73" s="106">
        <v>0</v>
      </c>
      <c r="E73" s="106">
        <v>0</v>
      </c>
      <c r="F73" s="106">
        <v>0</v>
      </c>
      <c r="G73" s="106">
        <v>0</v>
      </c>
      <c r="H73" s="106">
        <v>0</v>
      </c>
      <c r="I73" s="106">
        <v>4000</v>
      </c>
      <c r="J73" s="106">
        <v>0</v>
      </c>
      <c r="K73" s="106">
        <v>0</v>
      </c>
      <c r="L73" s="106">
        <v>0</v>
      </c>
      <c r="M73" s="106">
        <v>0</v>
      </c>
    </row>
    <row r="74" spans="1:13" s="104" customFormat="1" ht="11.75" customHeight="1">
      <c r="A74" s="105" t="s">
        <v>60</v>
      </c>
      <c r="B74" s="106">
        <v>0</v>
      </c>
      <c r="C74" s="106">
        <v>0</v>
      </c>
      <c r="D74" s="106">
        <v>0</v>
      </c>
      <c r="E74" s="106">
        <v>0</v>
      </c>
      <c r="F74" s="106">
        <v>0</v>
      </c>
      <c r="G74" s="106">
        <v>0</v>
      </c>
      <c r="H74" s="106">
        <v>0</v>
      </c>
      <c r="I74" s="106">
        <v>177.33</v>
      </c>
      <c r="J74" s="106">
        <v>177.33</v>
      </c>
      <c r="K74" s="106">
        <v>177.33</v>
      </c>
      <c r="L74" s="106">
        <v>177.33</v>
      </c>
      <c r="M74" s="106">
        <v>177.33</v>
      </c>
    </row>
    <row r="75" spans="1:13" s="104" customFormat="1" ht="11.75" customHeight="1">
      <c r="A75" s="105" t="s">
        <v>186</v>
      </c>
      <c r="B75" s="106">
        <v>0</v>
      </c>
      <c r="C75" s="106">
        <v>0</v>
      </c>
      <c r="D75" s="106">
        <v>0</v>
      </c>
      <c r="E75" s="106">
        <v>0</v>
      </c>
      <c r="F75" s="106">
        <v>0</v>
      </c>
      <c r="G75" s="106">
        <v>0</v>
      </c>
      <c r="H75" s="106">
        <v>0</v>
      </c>
      <c r="I75" s="106">
        <v>2165.59</v>
      </c>
      <c r="J75" s="106">
        <v>4172.17</v>
      </c>
      <c r="K75" s="106">
        <v>607.83000000000004</v>
      </c>
      <c r="L75" s="106">
        <v>1600</v>
      </c>
      <c r="M75" s="106">
        <v>833.91</v>
      </c>
    </row>
    <row r="76" spans="1:13" s="104" customFormat="1" ht="11.75" customHeight="1">
      <c r="A76" s="105" t="s">
        <v>188</v>
      </c>
      <c r="B76" s="106">
        <v>0</v>
      </c>
      <c r="C76" s="106">
        <v>0</v>
      </c>
      <c r="D76" s="106">
        <v>0</v>
      </c>
      <c r="E76" s="106">
        <v>0</v>
      </c>
      <c r="F76" s="106">
        <v>0</v>
      </c>
      <c r="G76" s="106">
        <v>0</v>
      </c>
      <c r="H76" s="106">
        <v>0</v>
      </c>
      <c r="I76" s="106">
        <v>4892.5600000000004</v>
      </c>
      <c r="J76" s="106">
        <v>2814.73</v>
      </c>
      <c r="K76" s="106">
        <v>2227.4</v>
      </c>
      <c r="L76" s="106">
        <v>244.98</v>
      </c>
      <c r="M76" s="106">
        <v>0</v>
      </c>
    </row>
    <row r="77" spans="1:13" s="104" customFormat="1" ht="11.75" customHeight="1">
      <c r="A77" s="105" t="s">
        <v>191</v>
      </c>
      <c r="B77" s="106">
        <v>0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847</v>
      </c>
      <c r="J77" s="106">
        <v>847</v>
      </c>
      <c r="K77" s="106">
        <v>937.23</v>
      </c>
      <c r="L77" s="106">
        <v>803.5</v>
      </c>
      <c r="M77" s="106">
        <v>605</v>
      </c>
    </row>
    <row r="78" spans="1:13" s="104" customFormat="1" ht="11.75" customHeight="1">
      <c r="A78" s="105" t="s">
        <v>192</v>
      </c>
      <c r="B78" s="106">
        <v>0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106">
        <v>0</v>
      </c>
      <c r="M78" s="106">
        <v>10825.49</v>
      </c>
    </row>
    <row r="79" spans="1:13" s="104" customFormat="1" ht="11.75" customHeight="1">
      <c r="A79" s="105" t="s">
        <v>193</v>
      </c>
      <c r="B79" s="106">
        <v>0</v>
      </c>
      <c r="C79" s="106">
        <v>0</v>
      </c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747</v>
      </c>
      <c r="J79" s="106">
        <v>747</v>
      </c>
      <c r="K79" s="106">
        <v>747</v>
      </c>
      <c r="L79" s="106">
        <v>747</v>
      </c>
      <c r="M79" s="106">
        <v>747</v>
      </c>
    </row>
    <row r="80" spans="1:13" s="104" customFormat="1" ht="11.75" customHeight="1">
      <c r="A80" s="105" t="s">
        <v>194</v>
      </c>
      <c r="B80" s="106">
        <v>0</v>
      </c>
      <c r="C80" s="106">
        <v>0</v>
      </c>
      <c r="D80" s="106">
        <v>0</v>
      </c>
      <c r="E80" s="106">
        <v>0</v>
      </c>
      <c r="F80" s="106">
        <v>0</v>
      </c>
      <c r="G80" s="106">
        <v>0</v>
      </c>
      <c r="H80" s="106">
        <v>0</v>
      </c>
      <c r="I80" s="106">
        <v>600</v>
      </c>
      <c r="J80" s="106">
        <v>600</v>
      </c>
      <c r="K80" s="106">
        <v>600</v>
      </c>
      <c r="L80" s="106">
        <v>600</v>
      </c>
      <c r="M80" s="106">
        <v>600</v>
      </c>
    </row>
    <row r="81" spans="1:13" s="104" customFormat="1" ht="11.75" customHeight="1">
      <c r="A81" s="105" t="s">
        <v>195</v>
      </c>
      <c r="B81" s="106">
        <v>0</v>
      </c>
      <c r="C81" s="106">
        <v>0</v>
      </c>
      <c r="D81" s="106">
        <v>0</v>
      </c>
      <c r="E81" s="106">
        <v>0</v>
      </c>
      <c r="F81" s="106">
        <v>0</v>
      </c>
      <c r="G81" s="106">
        <v>0</v>
      </c>
      <c r="H81" s="106">
        <v>0</v>
      </c>
      <c r="I81" s="106">
        <v>2162.3200000000002</v>
      </c>
      <c r="J81" s="106">
        <v>8349.65</v>
      </c>
      <c r="K81" s="106">
        <v>0</v>
      </c>
      <c r="L81" s="106">
        <v>0</v>
      </c>
      <c r="M81" s="106">
        <v>0</v>
      </c>
    </row>
    <row r="82" spans="1:13" ht="11.75" customHeight="1">
      <c r="A82" s="95" t="s">
        <v>198</v>
      </c>
      <c r="B82" s="96">
        <v>0</v>
      </c>
      <c r="C82" s="96">
        <v>0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2495.21</v>
      </c>
      <c r="J82" s="96">
        <v>2442.38</v>
      </c>
      <c r="K82" s="96">
        <v>2059.1799999999998</v>
      </c>
      <c r="L82" s="96">
        <v>2003.44</v>
      </c>
      <c r="M82" s="96">
        <v>1920.62</v>
      </c>
    </row>
    <row r="83" spans="1:13" ht="11.75" customHeight="1">
      <c r="A83" s="95" t="s">
        <v>199</v>
      </c>
      <c r="B83" s="96">
        <v>0</v>
      </c>
      <c r="C83" s="96">
        <v>0</v>
      </c>
      <c r="D83" s="96">
        <v>0</v>
      </c>
      <c r="E83" s="96">
        <v>0</v>
      </c>
      <c r="F83" s="96">
        <v>0</v>
      </c>
      <c r="G83" s="96">
        <v>0</v>
      </c>
      <c r="H83" s="96">
        <v>0</v>
      </c>
      <c r="I83" s="96">
        <v>2495.21</v>
      </c>
      <c r="J83" s="96">
        <v>2442.38</v>
      </c>
      <c r="K83" s="96">
        <v>2059.1799999999998</v>
      </c>
      <c r="L83" s="96">
        <v>2003.44</v>
      </c>
      <c r="M83" s="96">
        <v>1920.62</v>
      </c>
    </row>
    <row r="84" spans="1:13" ht="11.75" customHeight="1">
      <c r="A84" s="93" t="s">
        <v>200</v>
      </c>
      <c r="B84" s="94">
        <f t="shared" ref="B84:M84" si="4">SUM(B42:B83)</f>
        <v>0</v>
      </c>
      <c r="C84" s="94">
        <f t="shared" si="4"/>
        <v>0</v>
      </c>
      <c r="D84" s="94">
        <f t="shared" si="4"/>
        <v>0</v>
      </c>
      <c r="E84" s="94">
        <f t="shared" si="4"/>
        <v>0</v>
      </c>
      <c r="F84" s="94">
        <f t="shared" si="4"/>
        <v>0</v>
      </c>
      <c r="G84" s="94">
        <f t="shared" si="4"/>
        <v>0</v>
      </c>
      <c r="H84" s="94">
        <f t="shared" si="4"/>
        <v>0</v>
      </c>
      <c r="I84" s="94">
        <f t="shared" si="4"/>
        <v>676410.50999999989</v>
      </c>
      <c r="J84" s="94">
        <f t="shared" si="4"/>
        <v>675422.08000000007</v>
      </c>
      <c r="K84" s="94">
        <f t="shared" si="4"/>
        <v>611889.46</v>
      </c>
      <c r="L84" s="94">
        <f t="shared" si="4"/>
        <v>601871.13999999978</v>
      </c>
      <c r="M84" s="94">
        <f t="shared" si="4"/>
        <v>628285.53999999992</v>
      </c>
    </row>
    <row r="85" spans="1:13" ht="13.25" customHeight="1"/>
    <row r="86" spans="1:13" ht="11.75" customHeight="1">
      <c r="A86" s="100" t="s">
        <v>201</v>
      </c>
      <c r="B86" s="101">
        <f t="shared" ref="B86:M86" si="5">((B33 + B39) - B84)</f>
        <v>-8363614.8299999991</v>
      </c>
      <c r="C86" s="101">
        <f t="shared" si="5"/>
        <v>-9081536.8600000013</v>
      </c>
      <c r="D86" s="101">
        <f t="shared" si="5"/>
        <v>-5331536.8599999994</v>
      </c>
      <c r="E86" s="101">
        <f t="shared" si="5"/>
        <v>-5331536.8599999994</v>
      </c>
      <c r="F86" s="101">
        <f t="shared" si="5"/>
        <v>-3331536.86</v>
      </c>
      <c r="G86" s="101">
        <f t="shared" si="5"/>
        <v>-3331536.86</v>
      </c>
      <c r="H86" s="101">
        <f t="shared" si="5"/>
        <v>-3331536.86</v>
      </c>
      <c r="I86" s="101">
        <f t="shared" si="5"/>
        <v>-78926.450000000419</v>
      </c>
      <c r="J86" s="101">
        <f t="shared" si="5"/>
        <v>65622.139999999315</v>
      </c>
      <c r="K86" s="101">
        <f t="shared" si="5"/>
        <v>48466.180000000168</v>
      </c>
      <c r="L86" s="101">
        <f t="shared" si="5"/>
        <v>286859.78000000073</v>
      </c>
      <c r="M86" s="101">
        <f t="shared" si="5"/>
        <v>-195964.62000000023</v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6"/>
  <sheetViews>
    <sheetView showGridLines="0" zoomScaleNormal="100" workbookViewId="0">
      <selection activeCell="M23" sqref="M23"/>
    </sheetView>
  </sheetViews>
  <sheetFormatPr baseColWidth="10" defaultColWidth="8.83203125" defaultRowHeight="12"/>
  <cols>
    <col min="1" max="1" width="33" style="87" customWidth="1"/>
    <col min="2" max="2" width="9.83203125" style="87" customWidth="1"/>
    <col min="3" max="3" width="9.5" style="87" customWidth="1"/>
    <col min="4" max="5" width="9.83203125" style="87" customWidth="1"/>
    <col min="6" max="6" width="9.5" style="87" customWidth="1"/>
    <col min="7" max="7" width="9.83203125" style="87" customWidth="1"/>
    <col min="8" max="8" width="12.1640625" style="87" bestFit="1" customWidth="1"/>
    <col min="9" max="9" width="10.83203125" style="87" customWidth="1"/>
    <col min="10" max="12" width="12.1640625" style="87" bestFit="1" customWidth="1"/>
    <col min="13" max="13" width="10.83203125" style="87" customWidth="1"/>
    <col min="14" max="15" width="8.83203125" style="87" customWidth="1"/>
    <col min="16" max="16384" width="8.83203125" style="87"/>
  </cols>
  <sheetData>
    <row r="1" spans="1:13" s="85" customFormat="1" ht="18" customHeight="1">
      <c r="A1" s="133" t="s">
        <v>64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s="86" customFormat="1" ht="15.5" customHeight="1">
      <c r="A2" s="135" t="s">
        <v>65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3" s="86" customFormat="1" ht="15.5" customHeight="1">
      <c r="A3" s="135" t="s">
        <v>216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</row>
    <row r="4" spans="1:13" ht="13.25" customHeight="1"/>
    <row r="5" spans="1:13" s="90" customFormat="1" ht="13" customHeight="1">
      <c r="A5" s="88" t="s">
        <v>67</v>
      </c>
      <c r="B5" s="107">
        <v>45689</v>
      </c>
      <c r="C5" s="107">
        <v>45658</v>
      </c>
      <c r="D5" s="107">
        <v>45627</v>
      </c>
      <c r="E5" s="107">
        <v>45597</v>
      </c>
      <c r="F5" s="107">
        <v>45566</v>
      </c>
      <c r="G5" s="107">
        <v>45536</v>
      </c>
      <c r="H5" s="107">
        <v>45505</v>
      </c>
      <c r="I5" s="107">
        <v>45474</v>
      </c>
      <c r="J5" s="107">
        <v>45444</v>
      </c>
      <c r="K5" s="107">
        <v>45413</v>
      </c>
      <c r="L5" s="107">
        <v>45383</v>
      </c>
      <c r="M5" s="107">
        <v>45352</v>
      </c>
    </row>
    <row r="6" spans="1:13" ht="13.25" customHeight="1"/>
    <row r="7" spans="1:13" s="90" customFormat="1" ht="13" customHeight="1">
      <c r="A7" s="132" t="s">
        <v>71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ht="11.75" customHeight="1">
      <c r="A8" s="91" t="s">
        <v>75</v>
      </c>
      <c r="B8" s="92">
        <v>0</v>
      </c>
      <c r="C8" s="92">
        <v>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5578067.2999999998</v>
      </c>
      <c r="J8" s="92">
        <v>3889214.05</v>
      </c>
      <c r="K8" s="92">
        <v>4774233.25</v>
      </c>
      <c r="L8" s="92">
        <v>4336497.82</v>
      </c>
      <c r="M8" s="92">
        <v>4252624.12</v>
      </c>
    </row>
    <row r="9" spans="1:13" ht="11.75" customHeight="1">
      <c r="A9" s="93" t="s">
        <v>78</v>
      </c>
      <c r="B9" s="94">
        <f t="shared" ref="B9:M9" si="0">B8</f>
        <v>0</v>
      </c>
      <c r="C9" s="94">
        <f t="shared" si="0"/>
        <v>0</v>
      </c>
      <c r="D9" s="94">
        <f t="shared" si="0"/>
        <v>0</v>
      </c>
      <c r="E9" s="94">
        <f t="shared" si="0"/>
        <v>0</v>
      </c>
      <c r="F9" s="94">
        <f t="shared" si="0"/>
        <v>0</v>
      </c>
      <c r="G9" s="94">
        <f t="shared" si="0"/>
        <v>0</v>
      </c>
      <c r="H9" s="94">
        <f t="shared" si="0"/>
        <v>0</v>
      </c>
      <c r="I9" s="94">
        <f t="shared" si="0"/>
        <v>5578067.2999999998</v>
      </c>
      <c r="J9" s="94">
        <f t="shared" si="0"/>
        <v>3889214.05</v>
      </c>
      <c r="K9" s="94">
        <f t="shared" si="0"/>
        <v>4774233.25</v>
      </c>
      <c r="L9" s="94">
        <f t="shared" si="0"/>
        <v>4336497.82</v>
      </c>
      <c r="M9" s="94">
        <f t="shared" si="0"/>
        <v>4252624.12</v>
      </c>
    </row>
    <row r="10" spans="1:13" ht="13.25" customHeight="1"/>
    <row r="11" spans="1:13" s="90" customFormat="1" ht="13" customHeight="1">
      <c r="A11" s="132" t="s">
        <v>79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</row>
    <row r="12" spans="1:13" ht="11.75" customHeight="1">
      <c r="A12" s="91" t="s">
        <v>80</v>
      </c>
      <c r="B12" s="92">
        <v>0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17292.48</v>
      </c>
    </row>
    <row r="13" spans="1:13" ht="11.75" customHeight="1">
      <c r="A13" s="95" t="s">
        <v>81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86.96</v>
      </c>
      <c r="K13" s="96">
        <v>0</v>
      </c>
      <c r="L13" s="96">
        <v>0</v>
      </c>
      <c r="M13" s="96">
        <v>200</v>
      </c>
    </row>
    <row r="14" spans="1:13" ht="11.75" customHeight="1">
      <c r="A14" s="95" t="s">
        <v>82</v>
      </c>
      <c r="B14" s="96">
        <v>0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86.96</v>
      </c>
      <c r="K14" s="96">
        <v>0</v>
      </c>
      <c r="L14" s="96">
        <v>0</v>
      </c>
      <c r="M14" s="96">
        <v>0</v>
      </c>
    </row>
    <row r="15" spans="1:13" ht="11.75" customHeight="1">
      <c r="A15" s="95" t="s">
        <v>91</v>
      </c>
      <c r="B15" s="96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760.87</v>
      </c>
    </row>
    <row r="16" spans="1:13" ht="11.75" customHeight="1">
      <c r="A16" s="95" t="s">
        <v>92</v>
      </c>
      <c r="B16" s="96">
        <v>0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12386.25</v>
      </c>
      <c r="J16" s="96">
        <v>16372.1</v>
      </c>
      <c r="K16" s="96">
        <v>28166.51</v>
      </c>
      <c r="L16" s="96">
        <v>1344.32</v>
      </c>
      <c r="M16" s="96">
        <v>191661.47</v>
      </c>
    </row>
    <row r="17" spans="1:13" ht="11.75" customHeight="1">
      <c r="A17" s="95" t="s">
        <v>93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105639.65</v>
      </c>
      <c r="J17" s="96">
        <v>2570.42</v>
      </c>
      <c r="K17" s="96">
        <v>2880.57</v>
      </c>
      <c r="L17" s="96">
        <v>1250.3900000000001</v>
      </c>
      <c r="M17" s="96">
        <v>24545.15</v>
      </c>
    </row>
    <row r="18" spans="1:13" s="99" customFormat="1" ht="11.75" customHeight="1">
      <c r="A18" s="97" t="s">
        <v>96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</row>
    <row r="19" spans="1:13" s="99" customFormat="1" ht="11.75" customHeight="1">
      <c r="A19" s="97" t="s">
        <v>98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</row>
    <row r="20" spans="1:13" s="99" customFormat="1" ht="11.75" customHeight="1">
      <c r="A20" s="97" t="s">
        <v>100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</row>
    <row r="21" spans="1:13" s="99" customFormat="1" ht="11.75" customHeight="1">
      <c r="A21" s="97" t="s">
        <v>102</v>
      </c>
      <c r="B21" s="98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</row>
    <row r="22" spans="1:13" s="99" customFormat="1" ht="11.75" customHeight="1">
      <c r="A22" s="97" t="s">
        <v>103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</row>
    <row r="23" spans="1:13" ht="11.75" customHeight="1">
      <c r="A23" s="95" t="s">
        <v>106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f>6132854.19+2750000+3000000</f>
        <v>11882854.190000001</v>
      </c>
      <c r="I23" s="96">
        <f>6132854.19+2750000+3000000</f>
        <v>11882854.190000001</v>
      </c>
      <c r="J23" s="96">
        <f>5688761.77+2750000+2000000</f>
        <v>10438761.77</v>
      </c>
      <c r="K23" s="96">
        <f>6793437.38+2750000+2000000</f>
        <v>11543437.379999999</v>
      </c>
      <c r="L23" s="96">
        <f>6193925.31+2750000+2000000</f>
        <v>10943925.309999999</v>
      </c>
      <c r="M23" s="96">
        <f>4483055.52+2750000+2000000</f>
        <v>9233055.5199999996</v>
      </c>
    </row>
    <row r="24" spans="1:13" ht="11.75" customHeight="1">
      <c r="A24" s="95" t="s">
        <v>107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25090</v>
      </c>
      <c r="J24" s="96">
        <v>23254.560000000001</v>
      </c>
      <c r="K24" s="96">
        <v>61021.919999999998</v>
      </c>
      <c r="L24" s="96">
        <v>111322.42</v>
      </c>
      <c r="M24" s="96">
        <v>263223.18</v>
      </c>
    </row>
    <row r="25" spans="1:13" ht="11.75" customHeight="1">
      <c r="A25" s="95" t="s">
        <v>108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107.39</v>
      </c>
      <c r="J25" s="96">
        <v>8882.14</v>
      </c>
      <c r="K25" s="96">
        <v>2170.4499999999998</v>
      </c>
      <c r="L25" s="96">
        <v>78.260000000000005</v>
      </c>
      <c r="M25" s="96">
        <v>0</v>
      </c>
    </row>
    <row r="26" spans="1:13" ht="11.75" customHeight="1">
      <c r="A26" s="95" t="s">
        <v>109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2719.43</v>
      </c>
    </row>
    <row r="27" spans="1:13" ht="11.75" customHeight="1">
      <c r="A27" s="95" t="s">
        <v>215</v>
      </c>
      <c r="B27" s="96">
        <v>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468.7</v>
      </c>
      <c r="J27" s="96">
        <v>0</v>
      </c>
      <c r="K27" s="96">
        <v>0</v>
      </c>
      <c r="L27" s="96">
        <v>0</v>
      </c>
      <c r="M27" s="96">
        <v>0</v>
      </c>
    </row>
    <row r="28" spans="1:13" ht="11.75" customHeight="1">
      <c r="A28" s="95" t="s">
        <v>114</v>
      </c>
      <c r="B28" s="96">
        <v>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22086.6</v>
      </c>
      <c r="J28" s="96">
        <v>0</v>
      </c>
      <c r="K28" s="96">
        <v>0</v>
      </c>
      <c r="L28" s="96">
        <v>0</v>
      </c>
      <c r="M28" s="96">
        <v>0</v>
      </c>
    </row>
    <row r="29" spans="1:13" ht="11.75" customHeight="1">
      <c r="A29" s="95" t="s">
        <v>115</v>
      </c>
      <c r="B29" s="96">
        <v>0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11607.87</v>
      </c>
      <c r="J29" s="96">
        <v>30013.040000000001</v>
      </c>
      <c r="K29" s="96">
        <v>0</v>
      </c>
      <c r="L29" s="96">
        <v>0</v>
      </c>
      <c r="M29" s="96">
        <v>0</v>
      </c>
    </row>
    <row r="30" spans="1:13" ht="11.75" customHeight="1">
      <c r="A30" s="95" t="s">
        <v>124</v>
      </c>
      <c r="B30" s="96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2500</v>
      </c>
      <c r="K30" s="96">
        <v>20456.5</v>
      </c>
      <c r="L30" s="96">
        <v>486.95</v>
      </c>
      <c r="M30" s="96">
        <v>0</v>
      </c>
    </row>
    <row r="31" spans="1:13" ht="11.75" customHeight="1">
      <c r="A31" s="93" t="s">
        <v>125</v>
      </c>
      <c r="B31" s="94">
        <f t="shared" ref="B31:M31" si="1">SUM(B12:B30)</f>
        <v>0</v>
      </c>
      <c r="C31" s="94">
        <f t="shared" si="1"/>
        <v>0</v>
      </c>
      <c r="D31" s="94">
        <f t="shared" si="1"/>
        <v>0</v>
      </c>
      <c r="E31" s="94">
        <f t="shared" si="1"/>
        <v>0</v>
      </c>
      <c r="F31" s="94">
        <f t="shared" si="1"/>
        <v>0</v>
      </c>
      <c r="G31" s="94">
        <f t="shared" si="1"/>
        <v>0</v>
      </c>
      <c r="H31" s="94">
        <f t="shared" si="1"/>
        <v>11882854.190000001</v>
      </c>
      <c r="I31" s="94">
        <f t="shared" si="1"/>
        <v>12060240.65</v>
      </c>
      <c r="J31" s="94">
        <f t="shared" si="1"/>
        <v>10522527.949999999</v>
      </c>
      <c r="K31" s="94">
        <f t="shared" si="1"/>
        <v>11658133.329999998</v>
      </c>
      <c r="L31" s="94">
        <f t="shared" si="1"/>
        <v>11058407.649999999</v>
      </c>
      <c r="M31" s="94">
        <f t="shared" si="1"/>
        <v>9733458.0999999996</v>
      </c>
    </row>
    <row r="32" spans="1:13" ht="13.25" customHeight="1"/>
    <row r="33" spans="1:13" ht="11.75" customHeight="1">
      <c r="A33" s="100" t="s">
        <v>126</v>
      </c>
      <c r="B33" s="101">
        <f t="shared" ref="B33:M33" si="2">(B9 - B31)</f>
        <v>0</v>
      </c>
      <c r="C33" s="101">
        <f t="shared" si="2"/>
        <v>0</v>
      </c>
      <c r="D33" s="101">
        <f t="shared" si="2"/>
        <v>0</v>
      </c>
      <c r="E33" s="101">
        <f t="shared" si="2"/>
        <v>0</v>
      </c>
      <c r="F33" s="101">
        <f t="shared" si="2"/>
        <v>0</v>
      </c>
      <c r="G33" s="101">
        <f t="shared" si="2"/>
        <v>0</v>
      </c>
      <c r="H33" s="101">
        <f t="shared" si="2"/>
        <v>-11882854.190000001</v>
      </c>
      <c r="I33" s="101">
        <f t="shared" si="2"/>
        <v>-6482173.3500000006</v>
      </c>
      <c r="J33" s="101">
        <f t="shared" si="2"/>
        <v>-6633313.8999999994</v>
      </c>
      <c r="K33" s="101">
        <f t="shared" si="2"/>
        <v>-6883900.0799999982</v>
      </c>
      <c r="L33" s="101">
        <f t="shared" si="2"/>
        <v>-6721909.8299999982</v>
      </c>
      <c r="M33" s="101">
        <f t="shared" si="2"/>
        <v>-5480833.9799999995</v>
      </c>
    </row>
    <row r="34" spans="1:13" ht="13.25" customHeight="1"/>
    <row r="35" spans="1:13" s="90" customFormat="1" ht="13" customHeight="1">
      <c r="A35" s="132" t="s">
        <v>127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3" ht="11.75" customHeight="1">
      <c r="A36" s="91" t="s">
        <v>129</v>
      </c>
      <c r="B36" s="92">
        <v>0</v>
      </c>
      <c r="C36" s="92">
        <v>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99.6</v>
      </c>
      <c r="J36" s="92">
        <v>67.930000000000007</v>
      </c>
      <c r="K36" s="92">
        <v>17.190000000000001</v>
      </c>
      <c r="L36" s="92">
        <v>175.49</v>
      </c>
      <c r="M36" s="92">
        <v>144.69999999999999</v>
      </c>
    </row>
    <row r="37" spans="1:13" ht="11.75" customHeight="1">
      <c r="A37" s="95" t="s">
        <v>130</v>
      </c>
      <c r="B37" s="96">
        <v>0</v>
      </c>
      <c r="C37" s="96">
        <v>0</v>
      </c>
      <c r="D37" s="96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7.64</v>
      </c>
      <c r="K37" s="96">
        <v>0</v>
      </c>
      <c r="L37" s="96">
        <v>3.58</v>
      </c>
      <c r="M37" s="96">
        <v>6.81</v>
      </c>
    </row>
    <row r="38" spans="1:13" ht="11.75" customHeight="1">
      <c r="A38" s="95" t="s">
        <v>131</v>
      </c>
      <c r="B38" s="96">
        <v>0</v>
      </c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-3490.94</v>
      </c>
      <c r="L38" s="96">
        <v>0</v>
      </c>
      <c r="M38" s="96">
        <v>0</v>
      </c>
    </row>
    <row r="39" spans="1:13" ht="11.75" customHeight="1">
      <c r="A39" s="93" t="s">
        <v>132</v>
      </c>
      <c r="B39" s="94">
        <f t="shared" ref="B39:M39" si="3">SUM(B36:B38)</f>
        <v>0</v>
      </c>
      <c r="C39" s="94">
        <f t="shared" si="3"/>
        <v>0</v>
      </c>
      <c r="D39" s="94">
        <f t="shared" si="3"/>
        <v>0</v>
      </c>
      <c r="E39" s="94">
        <f t="shared" si="3"/>
        <v>0</v>
      </c>
      <c r="F39" s="94">
        <f t="shared" si="3"/>
        <v>0</v>
      </c>
      <c r="G39" s="94">
        <f t="shared" si="3"/>
        <v>0</v>
      </c>
      <c r="H39" s="94">
        <f t="shared" si="3"/>
        <v>0</v>
      </c>
      <c r="I39" s="94">
        <f t="shared" si="3"/>
        <v>99.6</v>
      </c>
      <c r="J39" s="94">
        <f t="shared" si="3"/>
        <v>75.570000000000007</v>
      </c>
      <c r="K39" s="94">
        <f t="shared" si="3"/>
        <v>-3473.75</v>
      </c>
      <c r="L39" s="94">
        <f t="shared" si="3"/>
        <v>179.07000000000002</v>
      </c>
      <c r="M39" s="94">
        <f t="shared" si="3"/>
        <v>151.51</v>
      </c>
    </row>
    <row r="40" spans="1:13" ht="13.25" customHeight="1"/>
    <row r="41" spans="1:13" s="90" customFormat="1" ht="13" customHeight="1">
      <c r="A41" s="132" t="s">
        <v>133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</row>
    <row r="42" spans="1:13" ht="11.75" customHeight="1">
      <c r="A42" s="91" t="s">
        <v>138</v>
      </c>
      <c r="B42" s="92">
        <v>0</v>
      </c>
      <c r="C42" s="92">
        <v>0</v>
      </c>
      <c r="D42" s="92">
        <v>0</v>
      </c>
      <c r="E42" s="92">
        <v>0</v>
      </c>
      <c r="F42" s="92">
        <v>0</v>
      </c>
      <c r="G42" s="92">
        <v>0</v>
      </c>
      <c r="H42" s="92">
        <v>0</v>
      </c>
      <c r="I42" s="92">
        <v>0</v>
      </c>
      <c r="J42" s="92">
        <v>11170</v>
      </c>
      <c r="K42" s="92">
        <v>0</v>
      </c>
      <c r="L42" s="92">
        <v>0</v>
      </c>
      <c r="M42" s="92">
        <v>0</v>
      </c>
    </row>
    <row r="43" spans="1:13" ht="11.75" customHeight="1">
      <c r="A43" s="95" t="s">
        <v>139</v>
      </c>
      <c r="B43" s="96">
        <v>0</v>
      </c>
      <c r="C43" s="96">
        <v>0</v>
      </c>
      <c r="D43" s="96">
        <v>0</v>
      </c>
      <c r="E43" s="96">
        <v>0</v>
      </c>
      <c r="F43" s="96">
        <v>0</v>
      </c>
      <c r="G43" s="96">
        <v>0</v>
      </c>
      <c r="H43" s="96">
        <v>0</v>
      </c>
      <c r="I43" s="96">
        <v>0</v>
      </c>
      <c r="J43" s="96">
        <v>580</v>
      </c>
      <c r="K43" s="96">
        <v>0</v>
      </c>
      <c r="L43" s="96">
        <v>0</v>
      </c>
      <c r="M43" s="96">
        <v>0</v>
      </c>
    </row>
    <row r="44" spans="1:13" ht="11.75" customHeight="1">
      <c r="A44" s="95" t="s">
        <v>142</v>
      </c>
      <c r="B44" s="96">
        <v>0</v>
      </c>
      <c r="C44" s="96">
        <v>0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295</v>
      </c>
    </row>
    <row r="45" spans="1:13" ht="11.75" customHeight="1">
      <c r="A45" s="95" t="s">
        <v>143</v>
      </c>
      <c r="B45" s="96">
        <v>0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v>0</v>
      </c>
      <c r="I45" s="96">
        <v>0</v>
      </c>
      <c r="J45" s="96">
        <v>885</v>
      </c>
      <c r="K45" s="96">
        <v>0</v>
      </c>
      <c r="L45" s="96">
        <v>0</v>
      </c>
      <c r="M45" s="96">
        <v>712</v>
      </c>
    </row>
    <row r="46" spans="1:13" ht="11.75" customHeight="1">
      <c r="A46" s="95" t="s">
        <v>144</v>
      </c>
      <c r="B46" s="96">
        <v>0</v>
      </c>
      <c r="C46" s="96">
        <v>0</v>
      </c>
      <c r="D46" s="96">
        <v>0</v>
      </c>
      <c r="E46" s="96">
        <v>0</v>
      </c>
      <c r="F46" s="96">
        <v>0</v>
      </c>
      <c r="G46" s="96">
        <v>0</v>
      </c>
      <c r="H46" s="96">
        <v>0</v>
      </c>
      <c r="I46" s="96">
        <v>3450</v>
      </c>
      <c r="J46" s="96">
        <v>1200</v>
      </c>
      <c r="K46" s="96">
        <v>0</v>
      </c>
      <c r="L46" s="96">
        <v>0</v>
      </c>
      <c r="M46" s="96">
        <v>0</v>
      </c>
    </row>
    <row r="47" spans="1:13" ht="11.75" customHeight="1">
      <c r="A47" s="95" t="s">
        <v>145</v>
      </c>
      <c r="B47" s="96">
        <v>0</v>
      </c>
      <c r="C47" s="96">
        <v>0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1745.65</v>
      </c>
      <c r="J47" s="96">
        <v>1648.46</v>
      </c>
      <c r="K47" s="96">
        <v>1869.9</v>
      </c>
      <c r="L47" s="96">
        <v>1777.27</v>
      </c>
      <c r="M47" s="96">
        <v>1931.46</v>
      </c>
    </row>
    <row r="48" spans="1:13" ht="11.75" customHeight="1">
      <c r="A48" s="95" t="s">
        <v>146</v>
      </c>
      <c r="B48" s="96">
        <v>0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3007.35</v>
      </c>
      <c r="L48" s="96">
        <v>7034</v>
      </c>
      <c r="M48" s="96">
        <v>5034</v>
      </c>
    </row>
    <row r="49" spans="1:13" ht="11.75" customHeight="1">
      <c r="A49" s="95" t="s">
        <v>147</v>
      </c>
      <c r="B49" s="96">
        <v>0</v>
      </c>
      <c r="C49" s="96">
        <v>0</v>
      </c>
      <c r="D49" s="96">
        <v>0</v>
      </c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1011.6</v>
      </c>
      <c r="L49" s="96">
        <v>1775.25</v>
      </c>
      <c r="M49" s="96">
        <v>1775.25</v>
      </c>
    </row>
    <row r="50" spans="1:13" ht="11.75" customHeight="1">
      <c r="A50" s="95" t="s">
        <v>149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78.25</v>
      </c>
      <c r="L50" s="96">
        <v>0</v>
      </c>
      <c r="M50" s="96">
        <v>355.4</v>
      </c>
    </row>
    <row r="51" spans="1:13" ht="11.75" customHeight="1">
      <c r="A51" s="95" t="s">
        <v>150</v>
      </c>
      <c r="B51" s="96">
        <v>0</v>
      </c>
      <c r="C51" s="96">
        <v>0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3130</v>
      </c>
      <c r="J51" s="96">
        <v>4230</v>
      </c>
      <c r="K51" s="96">
        <v>3130</v>
      </c>
      <c r="L51" s="96">
        <v>2532</v>
      </c>
      <c r="M51" s="96">
        <v>5177</v>
      </c>
    </row>
    <row r="52" spans="1:13" ht="11.75" customHeight="1">
      <c r="A52" s="95" t="s">
        <v>151</v>
      </c>
      <c r="B52" s="96">
        <v>0</v>
      </c>
      <c r="C52" s="96">
        <v>0</v>
      </c>
      <c r="D52" s="96">
        <v>0</v>
      </c>
      <c r="E52" s="96">
        <v>0</v>
      </c>
      <c r="F52" s="96">
        <v>0</v>
      </c>
      <c r="G52" s="96">
        <v>0</v>
      </c>
      <c r="H52" s="96">
        <v>0</v>
      </c>
      <c r="I52" s="96">
        <v>749</v>
      </c>
      <c r="J52" s="96">
        <v>0</v>
      </c>
      <c r="K52" s="96">
        <v>1999.13</v>
      </c>
      <c r="L52" s="96">
        <v>0</v>
      </c>
      <c r="M52" s="96">
        <v>1604.52</v>
      </c>
    </row>
    <row r="53" spans="1:13" ht="11.75" customHeight="1">
      <c r="A53" s="95" t="s">
        <v>153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119527</v>
      </c>
      <c r="J53" s="96">
        <v>119527</v>
      </c>
      <c r="K53" s="96">
        <v>119527</v>
      </c>
      <c r="L53" s="96">
        <v>110452</v>
      </c>
      <c r="M53" s="96">
        <v>144016.70000000001</v>
      </c>
    </row>
    <row r="54" spans="1:13" ht="11.75" customHeight="1">
      <c r="A54" s="95" t="s">
        <v>156</v>
      </c>
      <c r="B54" s="96">
        <v>0</v>
      </c>
      <c r="C54" s="96">
        <v>0</v>
      </c>
      <c r="D54" s="96">
        <v>0</v>
      </c>
      <c r="E54" s="96">
        <v>0</v>
      </c>
      <c r="F54" s="96">
        <v>0</v>
      </c>
      <c r="G54" s="96">
        <v>0</v>
      </c>
      <c r="H54" s="96">
        <v>0</v>
      </c>
      <c r="I54" s="96">
        <v>0</v>
      </c>
      <c r="J54" s="96">
        <v>0</v>
      </c>
      <c r="K54" s="96">
        <v>86.09</v>
      </c>
      <c r="L54" s="96">
        <v>0</v>
      </c>
      <c r="M54" s="96">
        <v>0</v>
      </c>
    </row>
    <row r="55" spans="1:13" ht="11.75" customHeight="1">
      <c r="A55" s="95" t="s">
        <v>157</v>
      </c>
      <c r="B55" s="96">
        <v>0</v>
      </c>
      <c r="C55" s="96">
        <v>0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>
        <v>3323.88</v>
      </c>
      <c r="K55" s="96">
        <v>3323.91</v>
      </c>
      <c r="L55" s="96">
        <v>3323.88</v>
      </c>
      <c r="M55" s="96">
        <v>3323.91</v>
      </c>
    </row>
    <row r="56" spans="1:13" ht="11.75" customHeight="1">
      <c r="A56" s="95" t="s">
        <v>158</v>
      </c>
      <c r="B56" s="96">
        <v>0</v>
      </c>
      <c r="C56" s="96">
        <v>0</v>
      </c>
      <c r="D56" s="96">
        <v>0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547.66999999999996</v>
      </c>
      <c r="K56" s="96">
        <v>547.67999999999995</v>
      </c>
      <c r="L56" s="96">
        <v>547.66999999999996</v>
      </c>
      <c r="M56" s="96">
        <v>547.67999999999995</v>
      </c>
    </row>
    <row r="57" spans="1:13" ht="11.75" customHeight="1">
      <c r="A57" s="95" t="s">
        <v>159</v>
      </c>
      <c r="B57" s="96">
        <v>0</v>
      </c>
      <c r="C57" s="96">
        <v>0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1188.69</v>
      </c>
      <c r="K57" s="96">
        <v>1188.7</v>
      </c>
      <c r="L57" s="96">
        <v>193.34</v>
      </c>
      <c r="M57" s="96">
        <v>193.33</v>
      </c>
    </row>
    <row r="58" spans="1:13" ht="11.75" customHeight="1">
      <c r="A58" s="95" t="s">
        <v>161</v>
      </c>
      <c r="B58" s="96">
        <v>0</v>
      </c>
      <c r="C58" s="96">
        <v>0</v>
      </c>
      <c r="D58" s="96">
        <v>0</v>
      </c>
      <c r="E58" s="96">
        <v>0</v>
      </c>
      <c r="F58" s="96">
        <v>0</v>
      </c>
      <c r="G58" s="96">
        <v>0</v>
      </c>
      <c r="H58" s="96">
        <v>0</v>
      </c>
      <c r="I58" s="96">
        <v>7214.2</v>
      </c>
      <c r="J58" s="96">
        <v>6082.97</v>
      </c>
      <c r="K58" s="96">
        <v>5058.34</v>
      </c>
      <c r="L58" s="96">
        <v>6676.08</v>
      </c>
      <c r="M58" s="96">
        <v>7428.07</v>
      </c>
    </row>
    <row r="59" spans="1:13" ht="11.75" customHeight="1">
      <c r="A59" s="95" t="s">
        <v>165</v>
      </c>
      <c r="B59" s="96">
        <v>0</v>
      </c>
      <c r="C59" s="96">
        <v>0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2063.15</v>
      </c>
      <c r="J59" s="96">
        <v>2089.86</v>
      </c>
      <c r="K59" s="96">
        <v>0</v>
      </c>
      <c r="L59" s="96">
        <v>4275.67</v>
      </c>
      <c r="M59" s="96">
        <v>1458.74</v>
      </c>
    </row>
    <row r="60" spans="1:13" ht="11.75" customHeight="1">
      <c r="A60" s="95" t="s">
        <v>171</v>
      </c>
      <c r="B60" s="96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5202.88</v>
      </c>
      <c r="M60" s="96">
        <v>0</v>
      </c>
    </row>
    <row r="61" spans="1:13" ht="11.75" customHeight="1">
      <c r="A61" s="95" t="s">
        <v>172</v>
      </c>
      <c r="B61" s="96">
        <v>0</v>
      </c>
      <c r="C61" s="96">
        <v>0</v>
      </c>
      <c r="D61" s="96">
        <v>0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1069</v>
      </c>
      <c r="K61" s="96">
        <v>0</v>
      </c>
      <c r="L61" s="96">
        <v>0</v>
      </c>
      <c r="M61" s="96">
        <v>0</v>
      </c>
    </row>
    <row r="62" spans="1:13" ht="11.75" customHeight="1">
      <c r="A62" s="95" t="s">
        <v>173</v>
      </c>
      <c r="B62" s="96">
        <v>0</v>
      </c>
      <c r="C62" s="96">
        <v>0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4022.51</v>
      </c>
      <c r="J62" s="96">
        <v>3175.51</v>
      </c>
      <c r="K62" s="96">
        <v>4892.22</v>
      </c>
      <c r="L62" s="96">
        <v>7124.28</v>
      </c>
      <c r="M62" s="96">
        <v>5589.51</v>
      </c>
    </row>
    <row r="63" spans="1:13" ht="11.75" customHeight="1">
      <c r="A63" s="95" t="s">
        <v>175</v>
      </c>
      <c r="B63" s="96">
        <v>0</v>
      </c>
      <c r="C63" s="96">
        <v>0</v>
      </c>
      <c r="D63" s="96">
        <v>0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362</v>
      </c>
      <c r="M63" s="96">
        <v>0</v>
      </c>
    </row>
    <row r="64" spans="1:13" ht="11.75" customHeight="1">
      <c r="A64" s="95" t="s">
        <v>176</v>
      </c>
      <c r="B64" s="96">
        <v>0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82763.78</v>
      </c>
      <c r="K64" s="96">
        <v>77215.960000000006</v>
      </c>
      <c r="L64" s="96">
        <v>76990.11</v>
      </c>
      <c r="M64" s="96">
        <v>75818.38</v>
      </c>
    </row>
    <row r="65" spans="1:13" ht="11.75" customHeight="1">
      <c r="A65" s="95" t="s">
        <v>177</v>
      </c>
      <c r="B65" s="96">
        <v>0</v>
      </c>
      <c r="C65" s="96">
        <v>0</v>
      </c>
      <c r="D65" s="96">
        <v>0</v>
      </c>
      <c r="E65" s="96">
        <v>0</v>
      </c>
      <c r="F65" s="96">
        <v>0</v>
      </c>
      <c r="G65" s="96">
        <v>0</v>
      </c>
      <c r="H65" s="96">
        <v>1459.35</v>
      </c>
      <c r="I65" s="96">
        <v>1459.35</v>
      </c>
      <c r="J65" s="96">
        <v>704.96</v>
      </c>
      <c r="K65" s="96">
        <v>2190.96</v>
      </c>
      <c r="L65" s="96">
        <v>1777.93</v>
      </c>
      <c r="M65" s="96">
        <v>1375.3</v>
      </c>
    </row>
    <row r="66" spans="1:13" ht="11.75" customHeight="1">
      <c r="A66" s="95" t="s">
        <v>178</v>
      </c>
      <c r="B66" s="96">
        <v>0</v>
      </c>
      <c r="C66" s="96">
        <v>0</v>
      </c>
      <c r="D66" s="96">
        <v>0</v>
      </c>
      <c r="E66" s="96">
        <v>0</v>
      </c>
      <c r="F66" s="96">
        <v>0</v>
      </c>
      <c r="G66" s="96">
        <v>0</v>
      </c>
      <c r="H66" s="96">
        <v>0</v>
      </c>
      <c r="I66" s="96">
        <v>5699.74</v>
      </c>
      <c r="J66" s="96">
        <v>4327.12</v>
      </c>
      <c r="K66" s="96">
        <v>2190.86</v>
      </c>
      <c r="L66" s="96">
        <v>1173.9100000000001</v>
      </c>
      <c r="M66" s="96">
        <v>2299.13</v>
      </c>
    </row>
    <row r="67" spans="1:13" ht="11.75" customHeight="1">
      <c r="A67" s="95" t="s">
        <v>53</v>
      </c>
      <c r="B67" s="96">
        <v>0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6">
        <v>2871.04</v>
      </c>
      <c r="I67" s="96">
        <v>843.6</v>
      </c>
      <c r="J67" s="96">
        <v>843.6</v>
      </c>
      <c r="K67" s="96">
        <v>843.6</v>
      </c>
      <c r="L67" s="96">
        <v>843.6</v>
      </c>
      <c r="M67" s="96">
        <v>843.6</v>
      </c>
    </row>
    <row r="68" spans="1:13" ht="11.75" customHeight="1">
      <c r="A68" s="95" t="s">
        <v>179</v>
      </c>
      <c r="B68" s="96">
        <v>0</v>
      </c>
      <c r="C68" s="96">
        <v>0</v>
      </c>
      <c r="D68" s="96">
        <v>0</v>
      </c>
      <c r="E68" s="96">
        <v>0</v>
      </c>
      <c r="F68" s="96">
        <v>0</v>
      </c>
      <c r="G68" s="96">
        <v>0</v>
      </c>
      <c r="H68" s="96">
        <v>29600</v>
      </c>
      <c r="I68" s="96">
        <v>29600</v>
      </c>
      <c r="J68" s="96">
        <v>29600</v>
      </c>
      <c r="K68" s="96">
        <v>29600</v>
      </c>
      <c r="L68" s="96">
        <v>29600</v>
      </c>
      <c r="M68" s="96">
        <v>29600</v>
      </c>
    </row>
    <row r="69" spans="1:13" ht="11.75" customHeight="1">
      <c r="A69" s="95" t="s">
        <v>180</v>
      </c>
      <c r="B69" s="96">
        <v>0</v>
      </c>
      <c r="C69" s="96">
        <v>0</v>
      </c>
      <c r="D69" s="96">
        <v>0</v>
      </c>
      <c r="E69" s="96">
        <v>0</v>
      </c>
      <c r="F69" s="96">
        <v>0</v>
      </c>
      <c r="G69" s="96">
        <v>0</v>
      </c>
      <c r="H69" s="96">
        <v>682.61</v>
      </c>
      <c r="I69" s="96">
        <v>5400</v>
      </c>
      <c r="J69" s="96">
        <v>155</v>
      </c>
      <c r="K69" s="96">
        <v>2121.6</v>
      </c>
      <c r="L69" s="96">
        <v>750</v>
      </c>
      <c r="M69" s="96">
        <v>6352.8</v>
      </c>
    </row>
    <row r="70" spans="1:13" ht="11.75" customHeight="1">
      <c r="A70" s="95" t="s">
        <v>181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5192.13</v>
      </c>
      <c r="L70" s="96">
        <v>0</v>
      </c>
      <c r="M70" s="96">
        <v>0</v>
      </c>
    </row>
    <row r="71" spans="1:13" ht="11.75" customHeight="1">
      <c r="A71" s="95" t="s">
        <v>182</v>
      </c>
      <c r="B71" s="96">
        <v>0</v>
      </c>
      <c r="C71" s="96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0</v>
      </c>
      <c r="J71" s="96">
        <v>373109.3</v>
      </c>
      <c r="K71" s="96">
        <v>333418.53999999998</v>
      </c>
      <c r="L71" s="96">
        <v>327361.08</v>
      </c>
      <c r="M71" s="96">
        <v>311179.65999999997</v>
      </c>
    </row>
    <row r="72" spans="1:13" ht="11.75" customHeight="1">
      <c r="A72" s="95" t="s">
        <v>184</v>
      </c>
      <c r="B72" s="96">
        <v>0</v>
      </c>
      <c r="C72" s="96">
        <v>0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4434.6400000000003</v>
      </c>
      <c r="K72" s="96">
        <v>3980.49</v>
      </c>
      <c r="L72" s="96">
        <v>3918.5</v>
      </c>
      <c r="M72" s="96">
        <v>3744.13</v>
      </c>
    </row>
    <row r="73" spans="1:13" ht="11.75" customHeight="1">
      <c r="A73" s="95" t="s">
        <v>185</v>
      </c>
      <c r="B73" s="96">
        <v>0</v>
      </c>
      <c r="C73" s="96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4000</v>
      </c>
      <c r="J73" s="96">
        <v>0</v>
      </c>
      <c r="K73" s="96">
        <v>0</v>
      </c>
      <c r="L73" s="96">
        <v>0</v>
      </c>
      <c r="M73" s="96">
        <v>0</v>
      </c>
    </row>
    <row r="74" spans="1:13" ht="11.75" customHeight="1">
      <c r="A74" s="95" t="s">
        <v>60</v>
      </c>
      <c r="B74" s="96">
        <v>0</v>
      </c>
      <c r="C74" s="96">
        <v>0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177.33</v>
      </c>
      <c r="J74" s="96">
        <v>177.33</v>
      </c>
      <c r="K74" s="96">
        <v>177.33</v>
      </c>
      <c r="L74" s="96">
        <v>177.33</v>
      </c>
      <c r="M74" s="96">
        <v>177.33</v>
      </c>
    </row>
    <row r="75" spans="1:13" ht="11.75" customHeight="1">
      <c r="A75" s="95" t="s">
        <v>186</v>
      </c>
      <c r="B75" s="96">
        <v>0</v>
      </c>
      <c r="C75" s="96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2304.35</v>
      </c>
      <c r="J75" s="96">
        <v>4172.17</v>
      </c>
      <c r="K75" s="96">
        <v>607.83000000000004</v>
      </c>
      <c r="L75" s="96">
        <v>1600</v>
      </c>
      <c r="M75" s="96">
        <v>833.91</v>
      </c>
    </row>
    <row r="76" spans="1:13" ht="11.75" customHeight="1">
      <c r="A76" s="95" t="s">
        <v>188</v>
      </c>
      <c r="B76" s="96">
        <v>0</v>
      </c>
      <c r="C76" s="96">
        <v>0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4892.5600000000004</v>
      </c>
      <c r="J76" s="96">
        <v>2814.73</v>
      </c>
      <c r="K76" s="96">
        <v>2227.4</v>
      </c>
      <c r="L76" s="96">
        <v>244.98</v>
      </c>
      <c r="M76" s="96">
        <v>0</v>
      </c>
    </row>
    <row r="77" spans="1:13" ht="11.75" customHeight="1">
      <c r="A77" s="95" t="s">
        <v>191</v>
      </c>
      <c r="B77" s="96">
        <v>0</v>
      </c>
      <c r="C77" s="96">
        <v>0</v>
      </c>
      <c r="D77" s="96">
        <v>0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847</v>
      </c>
      <c r="K77" s="96">
        <v>937.23</v>
      </c>
      <c r="L77" s="96">
        <v>803.5</v>
      </c>
      <c r="M77" s="96">
        <v>605</v>
      </c>
    </row>
    <row r="78" spans="1:13" ht="11.75" customHeight="1">
      <c r="A78" s="95" t="s">
        <v>192</v>
      </c>
      <c r="B78" s="96">
        <v>0</v>
      </c>
      <c r="C78" s="96">
        <v>0</v>
      </c>
      <c r="D78" s="96">
        <v>0</v>
      </c>
      <c r="E78" s="96">
        <v>0</v>
      </c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0</v>
      </c>
      <c r="L78" s="96">
        <v>0</v>
      </c>
      <c r="M78" s="96">
        <v>10825.49</v>
      </c>
    </row>
    <row r="79" spans="1:13" ht="11.75" customHeight="1">
      <c r="A79" s="95" t="s">
        <v>193</v>
      </c>
      <c r="B79" s="96">
        <v>0</v>
      </c>
      <c r="C79" s="96">
        <v>0</v>
      </c>
      <c r="D79" s="96">
        <v>0</v>
      </c>
      <c r="E79" s="96">
        <v>0</v>
      </c>
      <c r="F79" s="96">
        <v>0</v>
      </c>
      <c r="G79" s="96">
        <v>0</v>
      </c>
      <c r="H79" s="96">
        <v>747</v>
      </c>
      <c r="I79" s="96">
        <v>747</v>
      </c>
      <c r="J79" s="96">
        <v>747</v>
      </c>
      <c r="K79" s="96">
        <v>747</v>
      </c>
      <c r="L79" s="96">
        <v>747</v>
      </c>
      <c r="M79" s="96">
        <v>747</v>
      </c>
    </row>
    <row r="80" spans="1:13" ht="11.75" customHeight="1">
      <c r="A80" s="95" t="s">
        <v>194</v>
      </c>
      <c r="B80" s="96">
        <v>0</v>
      </c>
      <c r="C80" s="96">
        <v>0</v>
      </c>
      <c r="D80" s="96">
        <v>0</v>
      </c>
      <c r="E80" s="96">
        <v>0</v>
      </c>
      <c r="F80" s="96">
        <v>0</v>
      </c>
      <c r="G80" s="96">
        <v>0</v>
      </c>
      <c r="H80" s="96">
        <v>0</v>
      </c>
      <c r="I80" s="96">
        <v>600</v>
      </c>
      <c r="J80" s="96">
        <v>600</v>
      </c>
      <c r="K80" s="96">
        <v>600</v>
      </c>
      <c r="L80" s="96">
        <v>600</v>
      </c>
      <c r="M80" s="96">
        <v>600</v>
      </c>
    </row>
    <row r="81" spans="1:13" ht="11.75" customHeight="1">
      <c r="A81" s="95" t="s">
        <v>195</v>
      </c>
      <c r="B81" s="96">
        <v>0</v>
      </c>
      <c r="C81" s="96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526.32000000000005</v>
      </c>
      <c r="J81" s="96">
        <v>8349.65</v>
      </c>
      <c r="K81" s="96">
        <v>0</v>
      </c>
      <c r="L81" s="96">
        <v>0</v>
      </c>
      <c r="M81" s="96">
        <v>0</v>
      </c>
    </row>
    <row r="82" spans="1:13" ht="11.75" customHeight="1">
      <c r="A82" s="95" t="s">
        <v>198</v>
      </c>
      <c r="B82" s="96">
        <v>0</v>
      </c>
      <c r="C82" s="96">
        <v>0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2442.38</v>
      </c>
      <c r="K82" s="96">
        <v>2059.1799999999998</v>
      </c>
      <c r="L82" s="96">
        <v>2003.44</v>
      </c>
      <c r="M82" s="96">
        <v>1920.62</v>
      </c>
    </row>
    <row r="83" spans="1:13" ht="11.75" customHeight="1">
      <c r="A83" s="95" t="s">
        <v>199</v>
      </c>
      <c r="B83" s="96">
        <v>0</v>
      </c>
      <c r="C83" s="96">
        <v>0</v>
      </c>
      <c r="D83" s="96">
        <v>0</v>
      </c>
      <c r="E83" s="96">
        <v>0</v>
      </c>
      <c r="F83" s="96">
        <v>0</v>
      </c>
      <c r="G83" s="96">
        <v>0</v>
      </c>
      <c r="H83" s="96">
        <v>0</v>
      </c>
      <c r="I83" s="96">
        <v>0</v>
      </c>
      <c r="J83" s="96">
        <v>2442.38</v>
      </c>
      <c r="K83" s="96">
        <v>2059.1799999999998</v>
      </c>
      <c r="L83" s="96">
        <v>2003.44</v>
      </c>
      <c r="M83" s="96">
        <v>1920.62</v>
      </c>
    </row>
    <row r="84" spans="1:13" ht="11.75" customHeight="1">
      <c r="A84" s="93" t="s">
        <v>200</v>
      </c>
      <c r="B84" s="94">
        <f t="shared" ref="B84:M84" si="4">SUM(B42:B83)</f>
        <v>0</v>
      </c>
      <c r="C84" s="94">
        <f t="shared" si="4"/>
        <v>0</v>
      </c>
      <c r="D84" s="94">
        <f t="shared" si="4"/>
        <v>0</v>
      </c>
      <c r="E84" s="94">
        <f t="shared" si="4"/>
        <v>0</v>
      </c>
      <c r="F84" s="94">
        <f t="shared" si="4"/>
        <v>0</v>
      </c>
      <c r="G84" s="94">
        <f t="shared" si="4"/>
        <v>0</v>
      </c>
      <c r="H84" s="94">
        <f t="shared" si="4"/>
        <v>35360</v>
      </c>
      <c r="I84" s="94">
        <f t="shared" si="4"/>
        <v>198151.76</v>
      </c>
      <c r="J84" s="94">
        <f t="shared" si="4"/>
        <v>675249.08000000007</v>
      </c>
      <c r="K84" s="94">
        <f t="shared" si="4"/>
        <v>611889.46</v>
      </c>
      <c r="L84" s="94">
        <f t="shared" si="4"/>
        <v>601871.13999999978</v>
      </c>
      <c r="M84" s="94">
        <f t="shared" si="4"/>
        <v>628285.53999999992</v>
      </c>
    </row>
    <row r="85" spans="1:13" ht="13.25" customHeight="1"/>
    <row r="86" spans="1:13" ht="11.75" customHeight="1">
      <c r="A86" s="100" t="s">
        <v>201</v>
      </c>
      <c r="B86" s="101">
        <f t="shared" ref="B86:M86" si="5">((B33 + B39) - B84)</f>
        <v>0</v>
      </c>
      <c r="C86" s="101">
        <f t="shared" si="5"/>
        <v>0</v>
      </c>
      <c r="D86" s="101">
        <f t="shared" si="5"/>
        <v>0</v>
      </c>
      <c r="E86" s="101">
        <f t="shared" si="5"/>
        <v>0</v>
      </c>
      <c r="F86" s="101">
        <f t="shared" si="5"/>
        <v>0</v>
      </c>
      <c r="G86" s="101">
        <f t="shared" si="5"/>
        <v>0</v>
      </c>
      <c r="H86" s="101">
        <f t="shared" si="5"/>
        <v>-11918214.190000001</v>
      </c>
      <c r="I86" s="101">
        <f t="shared" si="5"/>
        <v>-6680225.5100000007</v>
      </c>
      <c r="J86" s="101">
        <f t="shared" si="5"/>
        <v>-7308487.4099999992</v>
      </c>
      <c r="K86" s="101">
        <f t="shared" si="5"/>
        <v>-7499263.2899999982</v>
      </c>
      <c r="L86" s="101">
        <f t="shared" si="5"/>
        <v>-7323601.8999999976</v>
      </c>
      <c r="M86" s="101">
        <f t="shared" si="5"/>
        <v>-6108968.0099999998</v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showGridLines="0" topLeftCell="A5" zoomScale="164" zoomScaleNormal="110" workbookViewId="0">
      <selection activeCell="C31" sqref="C31:C32"/>
    </sheetView>
  </sheetViews>
  <sheetFormatPr baseColWidth="10" defaultColWidth="9.1640625" defaultRowHeight="13"/>
  <cols>
    <col min="1" max="1" width="12" style="5" customWidth="1"/>
    <col min="2" max="2" width="31.5" style="5" customWidth="1"/>
    <col min="3" max="3" width="15.6640625" style="5" customWidth="1"/>
    <col min="4" max="4" width="14.33203125" style="5" bestFit="1" customWidth="1"/>
    <col min="5" max="5" width="12.6640625" style="5" bestFit="1" customWidth="1"/>
    <col min="6" max="7" width="9.1640625" style="5" customWidth="1"/>
    <col min="8" max="16384" width="9.1640625" style="5"/>
  </cols>
  <sheetData>
    <row r="1" spans="1:7">
      <c r="C1" s="5" t="s">
        <v>217</v>
      </c>
      <c r="D1" s="5" t="s">
        <v>218</v>
      </c>
      <c r="F1" s="5" t="s">
        <v>219</v>
      </c>
    </row>
    <row r="2" spans="1:7" ht="10.5" customHeight="1">
      <c r="A2" s="6" t="s">
        <v>220</v>
      </c>
      <c r="B2" s="6" t="s">
        <v>221</v>
      </c>
      <c r="C2" s="63">
        <v>874505.75</v>
      </c>
      <c r="D2" s="7">
        <f>'TB HV 24'!D15</f>
        <v>1045976.86</v>
      </c>
    </row>
    <row r="3" spans="1:7" ht="10.5" customHeight="1">
      <c r="A3" s="6" t="s">
        <v>222</v>
      </c>
      <c r="B3" s="6" t="s">
        <v>223</v>
      </c>
      <c r="C3" s="63">
        <v>6870222.222222222</v>
      </c>
      <c r="D3" s="63">
        <f>26200000/F5*F3</f>
        <v>19329777.777777776</v>
      </c>
      <c r="F3" s="5">
        <v>166</v>
      </c>
      <c r="G3" s="5" t="s">
        <v>218</v>
      </c>
    </row>
    <row r="4" spans="1:7" ht="10.5" customHeight="1">
      <c r="A4" s="6" t="s">
        <v>224</v>
      </c>
      <c r="B4" s="6" t="s">
        <v>225</v>
      </c>
      <c r="C4" s="63">
        <v>68427</v>
      </c>
      <c r="F4" s="5">
        <v>59</v>
      </c>
      <c r="G4" s="5" t="s">
        <v>217</v>
      </c>
    </row>
    <row r="5" spans="1:7" ht="10.5" customHeight="1">
      <c r="A5" s="6" t="s">
        <v>226</v>
      </c>
      <c r="B5" s="6" t="s">
        <v>227</v>
      </c>
      <c r="C5" s="63">
        <v>103812</v>
      </c>
      <c r="F5" s="5">
        <f>F3+F4</f>
        <v>225</v>
      </c>
      <c r="G5" s="5" t="s">
        <v>228</v>
      </c>
    </row>
    <row r="6" spans="1:7" ht="10.5" customHeight="1">
      <c r="A6" s="6" t="s">
        <v>229</v>
      </c>
      <c r="B6" s="6" t="s">
        <v>230</v>
      </c>
      <c r="C6" s="63">
        <v>314087</v>
      </c>
      <c r="D6" s="7">
        <f>'TB HV 24'!D16</f>
        <v>737478.5</v>
      </c>
    </row>
    <row r="7" spans="1:7" ht="10.5" customHeight="1">
      <c r="A7" s="6" t="s">
        <v>231</v>
      </c>
      <c r="B7" s="6" t="s">
        <v>232</v>
      </c>
      <c r="C7" s="63">
        <v>139500</v>
      </c>
      <c r="D7" s="7">
        <f>'TB HV 24'!D25</f>
        <v>76530</v>
      </c>
    </row>
    <row r="8" spans="1:7" ht="10.5" customHeight="1">
      <c r="A8" s="6" t="s">
        <v>233</v>
      </c>
      <c r="B8" s="6" t="s">
        <v>234</v>
      </c>
      <c r="C8" s="63">
        <v>2244003.8497777791</v>
      </c>
      <c r="D8" s="63">
        <v>6313637.9502222221</v>
      </c>
    </row>
    <row r="9" spans="1:7" ht="10.5" customHeight="1">
      <c r="A9" s="6" t="s">
        <v>235</v>
      </c>
      <c r="B9" s="6" t="s">
        <v>236</v>
      </c>
      <c r="C9" s="63">
        <v>13807.78</v>
      </c>
    </row>
    <row r="10" spans="1:7" ht="10.5" customHeight="1">
      <c r="A10" s="6" t="s">
        <v>237</v>
      </c>
      <c r="B10" s="6" t="s">
        <v>238</v>
      </c>
      <c r="C10" s="63">
        <v>197060.09</v>
      </c>
      <c r="D10" s="7">
        <f>'TB HV 24'!D17</f>
        <v>153472.03</v>
      </c>
    </row>
    <row r="11" spans="1:7" ht="10.5" customHeight="1">
      <c r="A11" s="6" t="s">
        <v>239</v>
      </c>
      <c r="B11" s="6" t="s">
        <v>240</v>
      </c>
      <c r="C11" s="63">
        <v>7500</v>
      </c>
      <c r="D11" s="7">
        <f>'TB HV 24'!D18</f>
        <v>114370.5</v>
      </c>
    </row>
    <row r="12" spans="1:7" ht="10.5" customHeight="1">
      <c r="A12" s="6" t="s">
        <v>241</v>
      </c>
      <c r="B12" s="6" t="s">
        <v>242</v>
      </c>
      <c r="C12" s="63">
        <v>67400</v>
      </c>
    </row>
    <row r="13" spans="1:7" ht="10.5" customHeight="1">
      <c r="A13" s="6" t="s">
        <v>243</v>
      </c>
      <c r="B13" s="6" t="s">
        <v>244</v>
      </c>
      <c r="C13" s="63"/>
      <c r="D13" s="7">
        <f>'TB HV 24'!D22</f>
        <v>292753.14</v>
      </c>
    </row>
    <row r="14" spans="1:7" ht="10.5" customHeight="1">
      <c r="A14" s="6" t="s">
        <v>245</v>
      </c>
      <c r="B14" s="6" t="s">
        <v>246</v>
      </c>
      <c r="C14" s="63">
        <v>20600</v>
      </c>
      <c r="D14" s="7">
        <f>'TB HV 24'!D26</f>
        <v>21600</v>
      </c>
    </row>
    <row r="15" spans="1:7" ht="10.5" customHeight="1">
      <c r="A15" s="6" t="s">
        <v>247</v>
      </c>
      <c r="B15" s="6" t="s">
        <v>248</v>
      </c>
      <c r="C15" s="63">
        <v>15175</v>
      </c>
    </row>
    <row r="16" spans="1:7" ht="10.5" customHeight="1">
      <c r="A16" s="6" t="s">
        <v>249</v>
      </c>
      <c r="B16" s="6" t="s">
        <v>250</v>
      </c>
      <c r="C16" s="63">
        <v>570856.07999999996</v>
      </c>
      <c r="D16" s="7">
        <f>'TB HV 24'!D23</f>
        <v>66190.11</v>
      </c>
    </row>
    <row r="17" spans="1:4">
      <c r="A17" s="6" t="s">
        <v>229</v>
      </c>
      <c r="B17" s="11" t="s">
        <v>251</v>
      </c>
      <c r="C17" s="1"/>
      <c r="D17" s="1"/>
    </row>
    <row r="18" spans="1:4">
      <c r="A18" s="11" t="s">
        <v>252</v>
      </c>
      <c r="B18" s="11" t="s">
        <v>253</v>
      </c>
      <c r="D18" s="1"/>
    </row>
    <row r="19" spans="1:4">
      <c r="D19" s="1"/>
    </row>
    <row r="20" spans="1:4" ht="10.5" customHeight="1">
      <c r="A20" s="6" t="s">
        <v>254</v>
      </c>
      <c r="B20" s="6" t="s">
        <v>255</v>
      </c>
      <c r="C20" s="63">
        <v>166550</v>
      </c>
      <c r="D20" s="1">
        <f>'TB HV 24'!D21</f>
        <v>2834.7</v>
      </c>
    </row>
    <row r="21" spans="1:4" ht="10.5" customHeight="1">
      <c r="A21" s="6" t="s">
        <v>256</v>
      </c>
      <c r="B21" s="6" t="s">
        <v>257</v>
      </c>
      <c r="C21" s="63">
        <v>45000</v>
      </c>
    </row>
    <row r="22" spans="1:4" ht="10.5" customHeight="1">
      <c r="A22" s="6" t="s">
        <v>258</v>
      </c>
      <c r="B22" s="6" t="s">
        <v>259</v>
      </c>
      <c r="C22" s="63">
        <v>161000</v>
      </c>
    </row>
    <row r="23" spans="1:4" ht="10.5" customHeight="1">
      <c r="A23" s="6" t="s">
        <v>252</v>
      </c>
      <c r="B23" s="6" t="s">
        <v>260</v>
      </c>
      <c r="C23" s="63">
        <v>3252759.95</v>
      </c>
      <c r="D23" s="7">
        <f>'TB HV 24'!D24</f>
        <v>1524185.76</v>
      </c>
    </row>
    <row r="24" spans="1:4" ht="10.5" customHeight="1">
      <c r="A24" s="6" t="s">
        <v>261</v>
      </c>
      <c r="B24" s="6" t="s">
        <v>262</v>
      </c>
      <c r="C24" s="7"/>
    </row>
    <row r="25" spans="1:4" ht="10.5" customHeight="1">
      <c r="A25" s="8" t="s">
        <v>263</v>
      </c>
      <c r="B25" s="8" t="s">
        <v>264</v>
      </c>
      <c r="C25" s="64">
        <v>985049.68</v>
      </c>
      <c r="D25" s="7">
        <f>'TB HV 24'!D28</f>
        <v>1130099.94</v>
      </c>
    </row>
    <row r="26" spans="1:4" ht="10.5" customHeight="1">
      <c r="A26" s="120" t="s">
        <v>265</v>
      </c>
      <c r="B26" s="120" t="s">
        <v>266</v>
      </c>
      <c r="C26" s="64">
        <v>1068455</v>
      </c>
    </row>
    <row r="28" spans="1:4" ht="14" customHeight="1" thickBot="1">
      <c r="C28" s="121">
        <f>SUM(C2:C27)</f>
        <v>17185771.401999999</v>
      </c>
      <c r="D28" s="121">
        <f>SUM(D2:D27)</f>
        <v>30808907.268000003</v>
      </c>
    </row>
    <row r="29" spans="1:4" ht="14" customHeight="1" thickTop="1"/>
    <row r="30" spans="1:4" ht="10.5" customHeight="1">
      <c r="A30" s="6" t="s">
        <v>267</v>
      </c>
      <c r="B30" s="6" t="s">
        <v>268</v>
      </c>
      <c r="C30" s="7"/>
      <c r="D30" s="7"/>
    </row>
    <row r="31" spans="1:4" ht="10.5" customHeight="1">
      <c r="A31" s="6" t="s">
        <v>269</v>
      </c>
      <c r="B31" s="6" t="s">
        <v>270</v>
      </c>
      <c r="C31" s="63">
        <v>3850818.04</v>
      </c>
      <c r="D31" s="7">
        <f>'TB HV 24'!D20</f>
        <v>1826086.96</v>
      </c>
    </row>
    <row r="32" spans="1:4" ht="10.5" customHeight="1">
      <c r="A32" s="6" t="s">
        <v>271</v>
      </c>
      <c r="B32" s="6" t="s">
        <v>272</v>
      </c>
      <c r="C32" s="63">
        <v>3553765.73</v>
      </c>
      <c r="D32" s="7">
        <f>'TB HV 24'!D27</f>
        <v>902173.89999999991</v>
      </c>
    </row>
    <row r="35" spans="1:5" ht="14" customHeight="1" thickBot="1">
      <c r="C35" s="121">
        <f>C28+C30+C31+C32</f>
        <v>24590355.171999998</v>
      </c>
      <c r="D35" s="121">
        <f>D28+D31+D32</f>
        <v>33537168.128000002</v>
      </c>
      <c r="E35" s="121">
        <f>C35+D35</f>
        <v>58127523.299999997</v>
      </c>
    </row>
    <row r="36" spans="1:5" ht="14" customHeight="1" thickTop="1"/>
    <row r="37" spans="1:5">
      <c r="A37" s="9" t="s">
        <v>273</v>
      </c>
      <c r="B37" s="3">
        <f>SUM(B38:B44)</f>
        <v>0</v>
      </c>
    </row>
    <row r="38" spans="1:5">
      <c r="A38" s="10" t="s">
        <v>274</v>
      </c>
      <c r="B38" s="2"/>
    </row>
    <row r="39" spans="1:5">
      <c r="A39" s="10" t="s">
        <v>275</v>
      </c>
      <c r="B39" s="2"/>
    </row>
    <row r="40" spans="1:5">
      <c r="A40" s="10" t="s">
        <v>32</v>
      </c>
      <c r="B40" s="2"/>
    </row>
    <row r="41" spans="1:5">
      <c r="A41" s="10" t="s">
        <v>276</v>
      </c>
      <c r="B41" s="2"/>
    </row>
    <row r="42" spans="1:5">
      <c r="A42" s="10" t="s">
        <v>277</v>
      </c>
      <c r="B42" s="2"/>
    </row>
    <row r="43" spans="1:5">
      <c r="A43" s="10" t="s">
        <v>278</v>
      </c>
      <c r="B43" s="2"/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showGridLines="0" zoomScaleNormal="100" workbookViewId="0">
      <pane ySplit="5" topLeftCell="A10" activePane="bottomLeft" state="frozen"/>
      <selection pane="bottomLeft" activeCell="D15" sqref="D15"/>
    </sheetView>
  </sheetViews>
  <sheetFormatPr baseColWidth="10" defaultColWidth="9.1640625" defaultRowHeight="13"/>
  <cols>
    <col min="1" max="1" width="27.1640625" style="19" bestFit="1" customWidth="1"/>
    <col min="2" max="2" width="4.83203125" style="19" bestFit="1" customWidth="1"/>
    <col min="3" max="3" width="12.33203125" style="19" bestFit="1" customWidth="1"/>
    <col min="4" max="5" width="10.5" style="19" bestFit="1" customWidth="1"/>
    <col min="6" max="6" width="9.83203125" style="19" bestFit="1" customWidth="1"/>
    <col min="7" max="8" width="10.5" style="19" bestFit="1" customWidth="1"/>
    <col min="9" max="9" width="9.83203125" style="19" bestFit="1" customWidth="1"/>
    <col min="10" max="10" width="9.6640625" style="19" bestFit="1" customWidth="1"/>
    <col min="11" max="11" width="9.83203125" style="19" bestFit="1" customWidth="1"/>
    <col min="12" max="12" width="11.5" style="19" bestFit="1" customWidth="1"/>
    <col min="13" max="13" width="11.6640625" style="19" bestFit="1" customWidth="1"/>
    <col min="14" max="14" width="12.33203125" style="19" bestFit="1" customWidth="1"/>
    <col min="15" max="15" width="11.6640625" style="19" bestFit="1" customWidth="1"/>
    <col min="16" max="17" width="9.1640625" style="19" customWidth="1"/>
    <col min="18" max="16384" width="9.1640625" style="19"/>
  </cols>
  <sheetData>
    <row r="1" spans="1:15" ht="25.25" customHeight="1">
      <c r="A1" s="139" t="s">
        <v>64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8" customHeight="1">
      <c r="A2" s="141" t="s">
        <v>279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36.25" customHeight="1">
      <c r="A3" s="141" t="s">
        <v>280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ht="13.25" customHeight="1"/>
    <row r="5" spans="1:15" ht="10.5" customHeight="1">
      <c r="A5" s="20" t="s">
        <v>67</v>
      </c>
      <c r="B5" s="20"/>
      <c r="C5" s="20" t="s">
        <v>228</v>
      </c>
      <c r="D5" s="21">
        <v>45323</v>
      </c>
      <c r="E5" s="21">
        <v>45292</v>
      </c>
      <c r="F5" s="21">
        <v>45261</v>
      </c>
      <c r="G5" s="21">
        <v>45231</v>
      </c>
      <c r="H5" s="21">
        <v>45200</v>
      </c>
      <c r="I5" s="21">
        <v>45170</v>
      </c>
      <c r="J5" s="21">
        <v>45139</v>
      </c>
      <c r="K5" s="21">
        <v>45108</v>
      </c>
      <c r="L5" s="21">
        <v>45078</v>
      </c>
      <c r="M5" s="21">
        <v>45047</v>
      </c>
      <c r="N5" s="21">
        <v>45017</v>
      </c>
      <c r="O5" s="21">
        <v>44986</v>
      </c>
    </row>
    <row r="6" spans="1:15" ht="10.5" customHeight="1">
      <c r="A6" s="22"/>
      <c r="B6" s="22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0.5" customHeight="1">
      <c r="A7" s="137" t="s">
        <v>281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</row>
    <row r="8" spans="1:15" ht="10.5" customHeight="1">
      <c r="A8" s="24" t="s">
        <v>19</v>
      </c>
      <c r="B8" s="24"/>
      <c r="C8" s="25">
        <f>SUM(D8:O8)</f>
        <v>75494260.870000005</v>
      </c>
      <c r="D8" s="26">
        <f>(4*1350000)+(4*1350000)+(5*1350000)+(4*1350000)+500000</f>
        <v>23450000</v>
      </c>
      <c r="E8" s="26">
        <f>(4*1350000)+(4*1350000)+500000+2294260.87</f>
        <v>13594260.870000001</v>
      </c>
      <c r="F8" s="26">
        <f>(3*1350000)+500000</f>
        <v>4550000</v>
      </c>
      <c r="G8" s="26">
        <f>(6*1350000)+(3*1350000)+500000</f>
        <v>12650000</v>
      </c>
      <c r="H8" s="26">
        <f>(6*1350000)+(3*1350000)+500000</f>
        <v>12650000</v>
      </c>
      <c r="I8" s="26">
        <f>3*1350000+500000</f>
        <v>4550000</v>
      </c>
      <c r="J8" s="26">
        <f>3*1350000</f>
        <v>4050000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</row>
    <row r="9" spans="1:15" ht="10.5" customHeight="1">
      <c r="A9" s="24" t="s">
        <v>20</v>
      </c>
      <c r="B9" s="24"/>
      <c r="C9" s="25">
        <f>SUM(D9:O9)</f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ht="10.5" customHeight="1">
      <c r="A10" s="24" t="s">
        <v>21</v>
      </c>
      <c r="B10" s="24"/>
      <c r="C10" s="25">
        <f>SUM(D10:O10)</f>
        <v>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ht="10.5" customHeight="1">
      <c r="A11" s="27" t="s">
        <v>282</v>
      </c>
      <c r="B11" s="27"/>
      <c r="C11" s="28">
        <f t="shared" ref="C11:O11" si="0">C8+C9+C10</f>
        <v>75494260.870000005</v>
      </c>
      <c r="D11" s="28">
        <f t="shared" si="0"/>
        <v>23450000</v>
      </c>
      <c r="E11" s="28">
        <f t="shared" si="0"/>
        <v>13594260.870000001</v>
      </c>
      <c r="F11" s="28">
        <f t="shared" si="0"/>
        <v>4550000</v>
      </c>
      <c r="G11" s="28">
        <f t="shared" si="0"/>
        <v>12650000</v>
      </c>
      <c r="H11" s="28">
        <f t="shared" si="0"/>
        <v>12650000</v>
      </c>
      <c r="I11" s="28">
        <f t="shared" si="0"/>
        <v>4550000</v>
      </c>
      <c r="J11" s="28">
        <f t="shared" si="0"/>
        <v>4050000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N11" s="28">
        <f t="shared" si="0"/>
        <v>0</v>
      </c>
      <c r="O11" s="28">
        <f t="shared" si="0"/>
        <v>0</v>
      </c>
    </row>
    <row r="12" spans="1:15" ht="10.5" customHeight="1">
      <c r="A12" s="22"/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0.5" customHeight="1">
      <c r="A13" s="137" t="s">
        <v>79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</row>
    <row r="14" spans="1:15" ht="10.5" customHeight="1">
      <c r="A14" s="24" t="s">
        <v>283</v>
      </c>
      <c r="B14" s="24"/>
      <c r="C14" s="29">
        <f t="shared" ref="C14:C24" si="1">SUM(D14:O14)</f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</row>
    <row r="15" spans="1:15" ht="10.5" customHeight="1">
      <c r="A15" s="24" t="s">
        <v>284</v>
      </c>
      <c r="B15" s="24"/>
      <c r="C15" s="29">
        <f t="shared" si="1"/>
        <v>4952206.95</v>
      </c>
      <c r="D15" s="26">
        <f>1020000+261743.85</f>
        <v>1281743.8500000001</v>
      </c>
      <c r="E15" s="26">
        <f>480000+261743.85</f>
        <v>741743.85</v>
      </c>
      <c r="F15" s="26">
        <f>180000+261743.85</f>
        <v>441743.85</v>
      </c>
      <c r="G15" s="26">
        <f>540000+261743.85</f>
        <v>801743.85</v>
      </c>
      <c r="H15" s="26">
        <f>540000+261743.85</f>
        <v>801743.85</v>
      </c>
      <c r="I15" s="26">
        <f>180000+261743.85</f>
        <v>441743.85</v>
      </c>
      <c r="J15" s="26">
        <f>180000+261743.85</f>
        <v>441743.85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</row>
    <row r="16" spans="1:15" ht="10.5" customHeight="1">
      <c r="A16" s="24" t="s">
        <v>285</v>
      </c>
      <c r="B16" s="24"/>
      <c r="C16" s="30">
        <f t="shared" si="1"/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</row>
    <row r="17" spans="1:15" ht="10.5" customHeight="1">
      <c r="A17" s="31" t="s">
        <v>286</v>
      </c>
      <c r="B17" s="24"/>
      <c r="C17" s="25">
        <f t="shared" si="1"/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</row>
    <row r="18" spans="1:15" ht="10.5" customHeight="1">
      <c r="A18" s="24" t="s">
        <v>287</v>
      </c>
      <c r="B18" s="24"/>
      <c r="C18" s="32">
        <f t="shared" si="1"/>
        <v>44968.24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f>44968.24</f>
        <v>44968.24</v>
      </c>
      <c r="L18" s="26">
        <v>0</v>
      </c>
      <c r="M18" s="26">
        <v>0</v>
      </c>
      <c r="N18" s="26">
        <v>0</v>
      </c>
      <c r="O18" s="26">
        <v>0</v>
      </c>
    </row>
    <row r="19" spans="1:15" ht="10.5" customHeight="1">
      <c r="A19" s="24" t="s">
        <v>288</v>
      </c>
      <c r="B19" s="24"/>
      <c r="C19" s="25">
        <f t="shared" si="1"/>
        <v>0</v>
      </c>
      <c r="D19" s="26"/>
      <c r="E19" s="26"/>
      <c r="F19" s="26"/>
      <c r="G19" s="26"/>
      <c r="H19" s="26"/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</row>
    <row r="20" spans="1:15" ht="10.5" customHeight="1">
      <c r="A20" s="24" t="s">
        <v>289</v>
      </c>
      <c r="B20" s="24"/>
      <c r="C20" s="25">
        <f t="shared" si="1"/>
        <v>14689.94</v>
      </c>
      <c r="D20" s="26"/>
      <c r="E20" s="26"/>
      <c r="F20" s="26"/>
      <c r="G20" s="26"/>
      <c r="H20" s="26"/>
      <c r="I20" s="26"/>
      <c r="J20" s="26"/>
      <c r="K20" s="26"/>
      <c r="L20" s="26">
        <v>14689.94</v>
      </c>
      <c r="M20" s="26"/>
      <c r="N20" s="26"/>
      <c r="O20" s="26"/>
    </row>
    <row r="21" spans="1:15" ht="10.5" customHeight="1">
      <c r="A21" s="24" t="s">
        <v>290</v>
      </c>
      <c r="B21" s="24"/>
      <c r="C21" s="25">
        <f t="shared" si="1"/>
        <v>0</v>
      </c>
      <c r="D21" s="26"/>
      <c r="E21" s="26"/>
      <c r="F21" s="26"/>
      <c r="G21" s="26"/>
      <c r="H21" s="26"/>
      <c r="I21" s="26"/>
      <c r="J21" s="26"/>
      <c r="K21" s="26"/>
      <c r="L21" s="26">
        <v>0</v>
      </c>
      <c r="M21" s="26"/>
      <c r="N21" s="26"/>
      <c r="O21" s="26"/>
    </row>
    <row r="22" spans="1:15" ht="10.5" customHeight="1">
      <c r="A22" s="24" t="s">
        <v>291</v>
      </c>
      <c r="B22" s="24"/>
      <c r="C22" s="25">
        <f t="shared" si="1"/>
        <v>51533.279999999999</v>
      </c>
      <c r="D22" s="26"/>
      <c r="E22" s="26"/>
      <c r="F22" s="26"/>
      <c r="G22" s="26"/>
      <c r="H22" s="26"/>
      <c r="I22" s="26"/>
      <c r="J22" s="26"/>
      <c r="K22" s="26">
        <f>45300.43+20+6212.85</f>
        <v>51533.279999999999</v>
      </c>
      <c r="L22" s="26"/>
      <c r="M22" s="26"/>
      <c r="N22" s="26"/>
      <c r="O22" s="26"/>
    </row>
    <row r="23" spans="1:15" ht="10.5" customHeight="1">
      <c r="A23" s="24" t="s">
        <v>292</v>
      </c>
      <c r="B23" s="24"/>
      <c r="C23" s="33">
        <f t="shared" si="1"/>
        <v>0</v>
      </c>
      <c r="D23" s="26"/>
      <c r="E23" s="26"/>
      <c r="F23" s="26"/>
      <c r="G23" s="26"/>
      <c r="H23" s="26"/>
      <c r="I23" s="26"/>
      <c r="J23" s="26"/>
      <c r="K23" s="26"/>
      <c r="L23" s="26"/>
      <c r="M23" s="26">
        <v>0</v>
      </c>
      <c r="N23" s="26"/>
      <c r="O23" s="26"/>
    </row>
    <row r="24" spans="1:15" ht="10.5" customHeight="1">
      <c r="A24" s="24" t="s">
        <v>39</v>
      </c>
      <c r="B24" s="24"/>
      <c r="C24" s="34">
        <f t="shared" si="1"/>
        <v>2410534.86</v>
      </c>
      <c r="D24" s="26">
        <f>510000+121504.98</f>
        <v>631504.98</v>
      </c>
      <c r="E24" s="26">
        <f>240000+121504.98</f>
        <v>361504.98</v>
      </c>
      <c r="F24" s="26">
        <f>90000+121504.98</f>
        <v>211504.97999999998</v>
      </c>
      <c r="G24" s="26">
        <f>270000+121504.98</f>
        <v>391504.98</v>
      </c>
      <c r="H24" s="26">
        <f>270000+121504.98</f>
        <v>391504.98</v>
      </c>
      <c r="I24" s="26">
        <f>90000+121504.98</f>
        <v>211504.97999999998</v>
      </c>
      <c r="J24" s="26">
        <f>90000+121504.98</f>
        <v>211504.97999999998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ht="10.5" customHeight="1">
      <c r="A25" s="27" t="s">
        <v>125</v>
      </c>
      <c r="B25" s="27"/>
      <c r="C25" s="28">
        <f t="shared" ref="C25:O25" si="2">SUM(C14:C24)</f>
        <v>7473933.2700000014</v>
      </c>
      <c r="D25" s="28">
        <f t="shared" si="2"/>
        <v>1913248.83</v>
      </c>
      <c r="E25" s="28">
        <f t="shared" si="2"/>
        <v>1103248.83</v>
      </c>
      <c r="F25" s="28">
        <f t="shared" si="2"/>
        <v>653248.82999999996</v>
      </c>
      <c r="G25" s="28">
        <f t="shared" si="2"/>
        <v>1193248.83</v>
      </c>
      <c r="H25" s="28">
        <f t="shared" si="2"/>
        <v>1193248.83</v>
      </c>
      <c r="I25" s="28">
        <f t="shared" si="2"/>
        <v>653248.82999999996</v>
      </c>
      <c r="J25" s="28">
        <f t="shared" si="2"/>
        <v>653248.82999999996</v>
      </c>
      <c r="K25" s="28">
        <f t="shared" si="2"/>
        <v>96501.51999999999</v>
      </c>
      <c r="L25" s="28">
        <f t="shared" si="2"/>
        <v>14689.94</v>
      </c>
      <c r="M25" s="28">
        <f t="shared" si="2"/>
        <v>0</v>
      </c>
      <c r="N25" s="28">
        <f t="shared" si="2"/>
        <v>0</v>
      </c>
      <c r="O25" s="28">
        <f t="shared" si="2"/>
        <v>0</v>
      </c>
    </row>
    <row r="26" spans="1:15" ht="10.5" customHeight="1">
      <c r="A26" s="22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 ht="10.5" customHeight="1">
      <c r="A27" s="35" t="s">
        <v>126</v>
      </c>
      <c r="B27" s="35"/>
      <c r="C27" s="36">
        <f t="shared" ref="C27:O27" si="3">C11-C25</f>
        <v>68020327.600000009</v>
      </c>
      <c r="D27" s="36">
        <f t="shared" si="3"/>
        <v>21536751.170000002</v>
      </c>
      <c r="E27" s="36">
        <f t="shared" si="3"/>
        <v>12491012.040000001</v>
      </c>
      <c r="F27" s="36">
        <f t="shared" si="3"/>
        <v>3896751.17</v>
      </c>
      <c r="G27" s="36">
        <f t="shared" si="3"/>
        <v>11456751.17</v>
      </c>
      <c r="H27" s="36">
        <f t="shared" si="3"/>
        <v>11456751.17</v>
      </c>
      <c r="I27" s="36">
        <f t="shared" si="3"/>
        <v>3896751.17</v>
      </c>
      <c r="J27" s="36">
        <f t="shared" si="3"/>
        <v>3396751.17</v>
      </c>
      <c r="K27" s="36">
        <f t="shared" si="3"/>
        <v>-96501.51999999999</v>
      </c>
      <c r="L27" s="36">
        <f t="shared" si="3"/>
        <v>-14689.94</v>
      </c>
      <c r="M27" s="36">
        <f t="shared" si="3"/>
        <v>0</v>
      </c>
      <c r="N27" s="36">
        <f t="shared" si="3"/>
        <v>0</v>
      </c>
      <c r="O27" s="36">
        <f t="shared" si="3"/>
        <v>0</v>
      </c>
    </row>
    <row r="28" spans="1:15" ht="13.25" customHeight="1"/>
    <row r="29" spans="1:15" ht="13" customHeight="1">
      <c r="A29" s="137" t="s">
        <v>127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</row>
    <row r="30" spans="1:15" ht="10.5" customHeight="1">
      <c r="A30" s="24" t="s">
        <v>293</v>
      </c>
      <c r="B30" s="24"/>
      <c r="C30" s="25">
        <f>SUM(D30:O30)</f>
        <v>0</v>
      </c>
      <c r="D30" s="26"/>
      <c r="E30" s="26"/>
      <c r="F30" s="26"/>
      <c r="G30" s="26"/>
      <c r="H30" s="26"/>
      <c r="I30" s="26"/>
      <c r="J30" s="26"/>
      <c r="K30" s="26"/>
      <c r="L30" s="15">
        <v>0</v>
      </c>
      <c r="M30" s="15">
        <v>0</v>
      </c>
      <c r="N30" s="14">
        <v>0</v>
      </c>
      <c r="O30" s="14">
        <v>0</v>
      </c>
    </row>
    <row r="31" spans="1:15" ht="10.5" customHeight="1">
      <c r="A31" s="27" t="s">
        <v>132</v>
      </c>
      <c r="B31" s="27"/>
      <c r="C31" s="28">
        <f t="shared" ref="C31:O31" si="4">C30</f>
        <v>0</v>
      </c>
      <c r="D31" s="28">
        <f t="shared" si="4"/>
        <v>0</v>
      </c>
      <c r="E31" s="28">
        <f t="shared" si="4"/>
        <v>0</v>
      </c>
      <c r="F31" s="28">
        <f t="shared" si="4"/>
        <v>0</v>
      </c>
      <c r="G31" s="28">
        <f t="shared" si="4"/>
        <v>0</v>
      </c>
      <c r="H31" s="28">
        <f t="shared" si="4"/>
        <v>0</v>
      </c>
      <c r="I31" s="28">
        <f t="shared" si="4"/>
        <v>0</v>
      </c>
      <c r="J31" s="28">
        <f t="shared" si="4"/>
        <v>0</v>
      </c>
      <c r="K31" s="28">
        <f t="shared" si="4"/>
        <v>0</v>
      </c>
      <c r="L31" s="13">
        <f t="shared" si="4"/>
        <v>0</v>
      </c>
      <c r="M31" s="13">
        <f t="shared" si="4"/>
        <v>0</v>
      </c>
      <c r="N31" s="13">
        <f t="shared" si="4"/>
        <v>0</v>
      </c>
      <c r="O31" s="13">
        <f t="shared" si="4"/>
        <v>0</v>
      </c>
    </row>
    <row r="32" spans="1:15" ht="13.25" customHeight="1"/>
    <row r="33" spans="1:15" ht="13" customHeight="1">
      <c r="A33" s="137" t="s">
        <v>133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</row>
    <row r="34" spans="1:15" ht="13" customHeight="1">
      <c r="A34" s="24" t="s">
        <v>294</v>
      </c>
      <c r="B34" s="37"/>
      <c r="C34" s="25">
        <f t="shared" ref="C34:C63" si="5">SUM(D34:O34)</f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</row>
    <row r="35" spans="1:15" ht="10.5" customHeight="1">
      <c r="A35" s="24" t="s">
        <v>144</v>
      </c>
      <c r="B35" s="24"/>
      <c r="C35" s="38">
        <f t="shared" si="5"/>
        <v>39611.25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7705</v>
      </c>
      <c r="L35" s="26">
        <v>1293.75</v>
      </c>
      <c r="M35" s="26">
        <v>5637.5</v>
      </c>
      <c r="N35" s="26">
        <v>0</v>
      </c>
      <c r="O35" s="26">
        <v>24975</v>
      </c>
    </row>
    <row r="36" spans="1:15" ht="10.5" customHeight="1">
      <c r="A36" s="24" t="s">
        <v>295</v>
      </c>
      <c r="B36" s="24"/>
      <c r="C36" s="38">
        <f t="shared" si="5"/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</row>
    <row r="37" spans="1:15" ht="10.5" customHeight="1">
      <c r="A37" s="24" t="s">
        <v>296</v>
      </c>
      <c r="B37" s="24"/>
      <c r="C37" s="25">
        <f t="shared" si="5"/>
        <v>4602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4602</v>
      </c>
      <c r="L37" s="26">
        <v>0</v>
      </c>
      <c r="M37" s="26">
        <v>0</v>
      </c>
      <c r="N37" s="26">
        <v>0</v>
      </c>
      <c r="O37" s="26">
        <v>0</v>
      </c>
    </row>
    <row r="38" spans="1:15" ht="10.5" customHeight="1">
      <c r="A38" s="24" t="s">
        <v>145</v>
      </c>
      <c r="B38" s="24"/>
      <c r="C38" s="39">
        <f t="shared" si="5"/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</row>
    <row r="39" spans="1:15" ht="10.5" customHeight="1">
      <c r="A39" s="24" t="s">
        <v>153</v>
      </c>
      <c r="B39" s="24"/>
      <c r="C39" s="25">
        <f t="shared" si="5"/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</row>
    <row r="40" spans="1:15" ht="10.5" customHeight="1">
      <c r="A40" s="24" t="s">
        <v>297</v>
      </c>
      <c r="B40" s="24"/>
      <c r="C40" s="40">
        <f t="shared" si="5"/>
        <v>65250</v>
      </c>
      <c r="D40" s="26">
        <v>7250</v>
      </c>
      <c r="E40" s="26">
        <v>7250</v>
      </c>
      <c r="F40" s="26">
        <v>7250</v>
      </c>
      <c r="G40" s="26">
        <v>7250</v>
      </c>
      <c r="H40" s="26">
        <v>7250</v>
      </c>
      <c r="I40" s="26">
        <v>7250</v>
      </c>
      <c r="J40" s="26">
        <v>7250</v>
      </c>
      <c r="K40" s="26">
        <v>7250</v>
      </c>
      <c r="L40" s="26">
        <v>7250</v>
      </c>
      <c r="M40" s="26">
        <v>0</v>
      </c>
      <c r="N40" s="26">
        <v>0</v>
      </c>
      <c r="O40" s="26">
        <v>0</v>
      </c>
    </row>
    <row r="41" spans="1:15" ht="10.5" customHeight="1">
      <c r="A41" s="24" t="s">
        <v>48</v>
      </c>
      <c r="B41" s="24"/>
      <c r="C41" s="41">
        <f t="shared" si="5"/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</row>
    <row r="42" spans="1:15" ht="10.5" customHeight="1">
      <c r="A42" s="24" t="s">
        <v>50</v>
      </c>
      <c r="B42" s="24"/>
      <c r="C42" s="42">
        <f t="shared" si="5"/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</row>
    <row r="43" spans="1:15" ht="10.5" customHeight="1">
      <c r="A43" s="24" t="s">
        <v>51</v>
      </c>
      <c r="B43" s="24"/>
      <c r="C43" s="43">
        <f t="shared" si="5"/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</row>
    <row r="44" spans="1:15" ht="10.5" customHeight="1">
      <c r="A44" s="24" t="s">
        <v>298</v>
      </c>
      <c r="B44" s="24"/>
      <c r="C44" s="40">
        <f t="shared" si="5"/>
        <v>8974666.6600000001</v>
      </c>
      <c r="D44" s="108">
        <f>100000+2250000+524952.38</f>
        <v>2874952.38</v>
      </c>
      <c r="E44" s="108">
        <f>100000+2250000+524952.38</f>
        <v>2874952.38</v>
      </c>
      <c r="F44" s="108">
        <f>100000+524952.38</f>
        <v>624952.38</v>
      </c>
      <c r="G44" s="108">
        <f>100000+524952.38</f>
        <v>624952.38</v>
      </c>
      <c r="H44" s="108">
        <f>100000+524952.38</f>
        <v>624952.38</v>
      </c>
      <c r="I44" s="108">
        <f>100000+524952.38</f>
        <v>624952.38</v>
      </c>
      <c r="J44" s="108">
        <f>200000+524952.38</f>
        <v>724952.38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</row>
    <row r="45" spans="1:15" ht="10.5" customHeight="1">
      <c r="A45" s="24" t="s">
        <v>299</v>
      </c>
      <c r="B45" s="24"/>
      <c r="C45" s="40">
        <f t="shared" si="5"/>
        <v>600000</v>
      </c>
      <c r="D45" s="108">
        <v>100000</v>
      </c>
      <c r="E45" s="108">
        <v>100000</v>
      </c>
      <c r="F45" s="108">
        <v>100000</v>
      </c>
      <c r="G45" s="108">
        <v>100000</v>
      </c>
      <c r="H45" s="108">
        <v>100000</v>
      </c>
      <c r="I45" s="108">
        <v>100000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</row>
    <row r="46" spans="1:15" ht="10.5" customHeight="1">
      <c r="A46" s="24" t="s">
        <v>300</v>
      </c>
      <c r="B46" s="24"/>
      <c r="C46" s="40">
        <f t="shared" si="5"/>
        <v>600000</v>
      </c>
      <c r="D46" s="108">
        <v>100000</v>
      </c>
      <c r="E46" s="108">
        <v>100000</v>
      </c>
      <c r="F46" s="108">
        <v>100000</v>
      </c>
      <c r="G46" s="108">
        <v>100000</v>
      </c>
      <c r="H46" s="108">
        <v>100000</v>
      </c>
      <c r="I46" s="108">
        <v>100000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</row>
    <row r="47" spans="1:15" ht="10.5" customHeight="1">
      <c r="A47" s="24" t="s">
        <v>301</v>
      </c>
      <c r="B47" s="24"/>
      <c r="C47" s="40">
        <f t="shared" si="5"/>
        <v>600000</v>
      </c>
      <c r="D47" s="108">
        <v>100000</v>
      </c>
      <c r="E47" s="108">
        <v>100000</v>
      </c>
      <c r="F47" s="108">
        <v>100000</v>
      </c>
      <c r="G47" s="108">
        <v>100000</v>
      </c>
      <c r="H47" s="108">
        <v>100000</v>
      </c>
      <c r="I47" s="108">
        <v>100000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</row>
    <row r="48" spans="1:15" ht="10.5" customHeight="1">
      <c r="A48" s="24" t="s">
        <v>302</v>
      </c>
      <c r="B48" s="24"/>
      <c r="C48" s="40">
        <f t="shared" si="5"/>
        <v>600000</v>
      </c>
      <c r="D48" s="108">
        <v>100000</v>
      </c>
      <c r="E48" s="108">
        <v>100000</v>
      </c>
      <c r="F48" s="108">
        <v>100000</v>
      </c>
      <c r="G48" s="108">
        <v>100000</v>
      </c>
      <c r="H48" s="108">
        <v>100000</v>
      </c>
      <c r="I48" s="108">
        <v>100000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  <c r="O48" s="108">
        <v>0</v>
      </c>
    </row>
    <row r="49" spans="1:15" ht="10.5" customHeight="1">
      <c r="A49" s="24" t="s">
        <v>303</v>
      </c>
      <c r="B49" s="24"/>
      <c r="C49" s="40">
        <f t="shared" si="5"/>
        <v>600000</v>
      </c>
      <c r="D49" s="108">
        <v>100000</v>
      </c>
      <c r="E49" s="108">
        <v>100000</v>
      </c>
      <c r="F49" s="108">
        <v>100000</v>
      </c>
      <c r="G49" s="108">
        <v>100000</v>
      </c>
      <c r="H49" s="108">
        <v>100000</v>
      </c>
      <c r="I49" s="108">
        <v>100000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</row>
    <row r="50" spans="1:15" ht="10.5" customHeight="1">
      <c r="A50" s="24" t="s">
        <v>304</v>
      </c>
      <c r="B50" s="24"/>
      <c r="C50" s="40">
        <f t="shared" si="5"/>
        <v>600000</v>
      </c>
      <c r="D50" s="108">
        <v>100000</v>
      </c>
      <c r="E50" s="108">
        <v>100000</v>
      </c>
      <c r="F50" s="108">
        <v>100000</v>
      </c>
      <c r="G50" s="108">
        <v>100000</v>
      </c>
      <c r="H50" s="108">
        <v>100000</v>
      </c>
      <c r="I50" s="108">
        <v>100000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</row>
    <row r="51" spans="1:15" ht="10.5" customHeight="1">
      <c r="A51" s="24" t="s">
        <v>305</v>
      </c>
      <c r="B51" s="24"/>
      <c r="C51" s="40">
        <f t="shared" si="5"/>
        <v>600000</v>
      </c>
      <c r="D51" s="108">
        <v>100000</v>
      </c>
      <c r="E51" s="108">
        <v>100000</v>
      </c>
      <c r="F51" s="108">
        <v>100000</v>
      </c>
      <c r="G51" s="108">
        <v>100000</v>
      </c>
      <c r="H51" s="108">
        <v>100000</v>
      </c>
      <c r="I51" s="108">
        <v>100000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</row>
    <row r="52" spans="1:15" ht="10.5" customHeight="1">
      <c r="A52" s="24" t="s">
        <v>306</v>
      </c>
      <c r="B52" s="24"/>
      <c r="C52" s="40">
        <f t="shared" si="5"/>
        <v>600000</v>
      </c>
      <c r="D52" s="108">
        <v>100000</v>
      </c>
      <c r="E52" s="108">
        <v>100000</v>
      </c>
      <c r="F52" s="108">
        <v>100000</v>
      </c>
      <c r="G52" s="108">
        <v>100000</v>
      </c>
      <c r="H52" s="108">
        <v>100000</v>
      </c>
      <c r="I52" s="108">
        <v>100000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</row>
    <row r="53" spans="1:15" ht="10.5" customHeight="1">
      <c r="A53" s="24" t="s">
        <v>307</v>
      </c>
      <c r="B53" s="24"/>
      <c r="C53" s="44">
        <f t="shared" si="5"/>
        <v>0</v>
      </c>
      <c r="D53" s="26"/>
      <c r="E53" s="26"/>
      <c r="F53" s="26"/>
      <c r="G53" s="26"/>
      <c r="H53" s="26"/>
      <c r="I53" s="26"/>
      <c r="J53" s="26"/>
      <c r="K53" s="26"/>
      <c r="L53" s="26">
        <v>0</v>
      </c>
      <c r="M53" s="26">
        <v>0</v>
      </c>
      <c r="N53" s="26">
        <v>0</v>
      </c>
      <c r="O53" s="26">
        <v>0</v>
      </c>
    </row>
    <row r="54" spans="1:15" ht="10.5" customHeight="1">
      <c r="A54" s="24" t="s">
        <v>308</v>
      </c>
      <c r="B54" s="24"/>
      <c r="C54" s="25">
        <f t="shared" si="5"/>
        <v>0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ht="10.5" customHeight="1">
      <c r="A55" s="24" t="s">
        <v>309</v>
      </c>
      <c r="B55" s="24"/>
      <c r="C55" s="45">
        <f t="shared" si="5"/>
        <v>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>
        <v>0</v>
      </c>
      <c r="O55" s="26">
        <v>0</v>
      </c>
    </row>
    <row r="56" spans="1:15" ht="10.5" customHeight="1">
      <c r="A56" s="24" t="s">
        <v>310</v>
      </c>
      <c r="B56" s="24"/>
      <c r="C56" s="45">
        <f t="shared" si="5"/>
        <v>0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>
        <v>0</v>
      </c>
    </row>
    <row r="57" spans="1:15" ht="10.5" customHeight="1">
      <c r="A57" s="24" t="s">
        <v>34</v>
      </c>
      <c r="B57" s="24"/>
      <c r="C57" s="45">
        <f t="shared" si="5"/>
        <v>0</v>
      </c>
      <c r="D57" s="26"/>
      <c r="E57" s="26"/>
      <c r="F57" s="26"/>
      <c r="G57" s="26"/>
      <c r="H57" s="26"/>
      <c r="I57" s="26"/>
      <c r="J57" s="26"/>
      <c r="K57" s="26"/>
      <c r="L57" s="26">
        <v>0</v>
      </c>
      <c r="M57" s="26"/>
      <c r="N57" s="26"/>
      <c r="O57" s="26"/>
    </row>
    <row r="58" spans="1:15" ht="10.5" customHeight="1">
      <c r="A58" s="24" t="s">
        <v>311</v>
      </c>
      <c r="B58" s="24"/>
      <c r="C58" s="25">
        <f t="shared" si="5"/>
        <v>0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ht="10.5" customHeight="1">
      <c r="A59" s="24" t="s">
        <v>312</v>
      </c>
      <c r="B59" s="24"/>
      <c r="C59" s="42">
        <f t="shared" si="5"/>
        <v>0</v>
      </c>
      <c r="D59" s="26"/>
      <c r="E59" s="26"/>
      <c r="F59" s="26"/>
      <c r="G59" s="26"/>
      <c r="H59" s="26"/>
      <c r="I59" s="26"/>
      <c r="J59" s="26"/>
      <c r="K59" s="26"/>
      <c r="L59" s="26">
        <v>0</v>
      </c>
      <c r="M59" s="26">
        <v>0</v>
      </c>
      <c r="N59" s="26">
        <v>0</v>
      </c>
      <c r="O59" s="26">
        <v>0</v>
      </c>
    </row>
    <row r="60" spans="1:15" ht="10.5" customHeight="1">
      <c r="A60" s="24" t="s">
        <v>57</v>
      </c>
      <c r="B60" s="24"/>
      <c r="C60" s="30">
        <f t="shared" si="5"/>
        <v>0</v>
      </c>
      <c r="D60" s="26"/>
      <c r="E60" s="26"/>
      <c r="F60" s="26"/>
      <c r="G60" s="26"/>
      <c r="H60" s="26"/>
      <c r="I60" s="26"/>
      <c r="J60" s="26"/>
      <c r="K60" s="26"/>
      <c r="L60" s="26"/>
      <c r="M60" s="26">
        <v>0</v>
      </c>
      <c r="N60" s="26"/>
      <c r="O60" s="26">
        <v>0</v>
      </c>
    </row>
    <row r="61" spans="1:15" ht="10.5" customHeight="1">
      <c r="A61" s="24" t="s">
        <v>313</v>
      </c>
      <c r="B61" s="24"/>
      <c r="C61" s="46">
        <f t="shared" si="5"/>
        <v>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>
        <v>0</v>
      </c>
      <c r="O61" s="26">
        <v>0</v>
      </c>
    </row>
    <row r="62" spans="1:15" ht="10.5" customHeight="1">
      <c r="A62" s="24" t="s">
        <v>314</v>
      </c>
      <c r="B62" s="24"/>
      <c r="C62" s="46">
        <f t="shared" si="5"/>
        <v>7200</v>
      </c>
      <c r="D62" s="26">
        <v>600</v>
      </c>
      <c r="E62" s="26">
        <v>600</v>
      </c>
      <c r="F62" s="26">
        <v>600</v>
      </c>
      <c r="G62" s="26">
        <v>600</v>
      </c>
      <c r="H62" s="26">
        <v>600</v>
      </c>
      <c r="I62" s="26">
        <v>600</v>
      </c>
      <c r="J62" s="26">
        <v>600</v>
      </c>
      <c r="K62" s="26">
        <v>600</v>
      </c>
      <c r="L62" s="26">
        <v>600</v>
      </c>
      <c r="M62" s="26">
        <v>600</v>
      </c>
      <c r="N62" s="26">
        <v>600</v>
      </c>
      <c r="O62" s="26">
        <v>600</v>
      </c>
    </row>
    <row r="63" spans="1:15" ht="10.5" customHeight="1">
      <c r="A63" s="24" t="s">
        <v>58</v>
      </c>
      <c r="B63" s="24"/>
      <c r="C63" s="32">
        <f t="shared" si="5"/>
        <v>0</v>
      </c>
      <c r="D63" s="26"/>
      <c r="E63" s="26"/>
      <c r="F63" s="26"/>
      <c r="G63" s="26"/>
      <c r="H63" s="26"/>
      <c r="I63" s="26"/>
      <c r="J63" s="26"/>
      <c r="K63" s="26"/>
      <c r="L63" s="26"/>
      <c r="M63" s="26">
        <v>0</v>
      </c>
      <c r="N63" s="26">
        <v>0</v>
      </c>
      <c r="O63" s="26">
        <v>0</v>
      </c>
    </row>
    <row r="64" spans="1:15" ht="10.5" customHeight="1">
      <c r="A64" s="27" t="s">
        <v>200</v>
      </c>
      <c r="B64" s="27"/>
      <c r="C64" s="28">
        <f t="shared" ref="C64:O64" si="6">SUM(C34:C63)</f>
        <v>13891329.91</v>
      </c>
      <c r="D64" s="28">
        <f t="shared" si="6"/>
        <v>3682802.38</v>
      </c>
      <c r="E64" s="28">
        <f t="shared" si="6"/>
        <v>3682802.38</v>
      </c>
      <c r="F64" s="28">
        <f t="shared" si="6"/>
        <v>1432802.38</v>
      </c>
      <c r="G64" s="28">
        <f t="shared" si="6"/>
        <v>1432802.38</v>
      </c>
      <c r="H64" s="28">
        <f t="shared" si="6"/>
        <v>1432802.38</v>
      </c>
      <c r="I64" s="28">
        <f t="shared" si="6"/>
        <v>1432802.38</v>
      </c>
      <c r="J64" s="28">
        <f t="shared" si="6"/>
        <v>732802.38</v>
      </c>
      <c r="K64" s="28">
        <f t="shared" si="6"/>
        <v>20157</v>
      </c>
      <c r="L64" s="28">
        <f t="shared" si="6"/>
        <v>9143.75</v>
      </c>
      <c r="M64" s="28">
        <f t="shared" si="6"/>
        <v>6237.5</v>
      </c>
      <c r="N64" s="28">
        <f t="shared" si="6"/>
        <v>600</v>
      </c>
      <c r="O64" s="28">
        <f t="shared" si="6"/>
        <v>25575</v>
      </c>
    </row>
    <row r="65" spans="1:15" ht="13.25" customHeight="1"/>
    <row r="66" spans="1:15" ht="10.5" customHeight="1">
      <c r="A66" s="35" t="s">
        <v>201</v>
      </c>
      <c r="B66" s="35"/>
      <c r="C66" s="36">
        <f t="shared" ref="C66:O66" si="7">((C27 + C31) - C64)</f>
        <v>54128997.690000013</v>
      </c>
      <c r="D66" s="36">
        <f t="shared" si="7"/>
        <v>17853948.790000003</v>
      </c>
      <c r="E66" s="36">
        <f t="shared" si="7"/>
        <v>8808209.6600000001</v>
      </c>
      <c r="F66" s="36">
        <f t="shared" si="7"/>
        <v>2463948.79</v>
      </c>
      <c r="G66" s="36">
        <f t="shared" si="7"/>
        <v>10023948.789999999</v>
      </c>
      <c r="H66" s="36">
        <f t="shared" si="7"/>
        <v>10023948.789999999</v>
      </c>
      <c r="I66" s="36">
        <f t="shared" si="7"/>
        <v>2463948.79</v>
      </c>
      <c r="J66" s="36">
        <f t="shared" si="7"/>
        <v>2663948.79</v>
      </c>
      <c r="K66" s="36">
        <f t="shared" si="7"/>
        <v>-116658.51999999999</v>
      </c>
      <c r="L66" s="36">
        <f t="shared" si="7"/>
        <v>-23833.690000000002</v>
      </c>
      <c r="M66" s="36">
        <f t="shared" si="7"/>
        <v>-6237.5</v>
      </c>
      <c r="N66" s="36">
        <f t="shared" si="7"/>
        <v>-600</v>
      </c>
      <c r="O66" s="36">
        <f t="shared" si="7"/>
        <v>-25575</v>
      </c>
    </row>
  </sheetData>
  <mergeCells count="7">
    <mergeCell ref="A33:O33"/>
    <mergeCell ref="A1:O1"/>
    <mergeCell ref="A2:O2"/>
    <mergeCell ref="A3:O3"/>
    <mergeCell ref="A7:O7"/>
    <mergeCell ref="A13:O13"/>
    <mergeCell ref="A29:O29"/>
  </mergeCells>
  <pageMargins left="0.7" right="0.7" top="0.75" bottom="0.75" header="0.3" footer="0.3"/>
  <pageSetup paperSize="9" fitToWidth="0" fitToHeight="0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showGridLines="0" zoomScaleNormal="100" workbookViewId="0">
      <pane ySplit="5" topLeftCell="A12" activePane="bottomLeft" state="frozen"/>
      <selection pane="bottomLeft" activeCell="K23" sqref="K23"/>
    </sheetView>
  </sheetViews>
  <sheetFormatPr baseColWidth="10" defaultColWidth="9.1640625" defaultRowHeight="13"/>
  <cols>
    <col min="1" max="1" width="27.1640625" style="19" bestFit="1" customWidth="1"/>
    <col min="2" max="2" width="4.83203125" style="19" bestFit="1" customWidth="1"/>
    <col min="3" max="3" width="11.33203125" style="19" bestFit="1" customWidth="1"/>
    <col min="4" max="4" width="14" style="19" bestFit="1" customWidth="1"/>
    <col min="5" max="5" width="10.83203125" style="19" bestFit="1" customWidth="1"/>
    <col min="6" max="6" width="11.1640625" style="19" bestFit="1" customWidth="1"/>
    <col min="7" max="7" width="10.83203125" style="19" bestFit="1" customWidth="1"/>
    <col min="8" max="9" width="9.83203125" style="19" bestFit="1" customWidth="1"/>
    <col min="10" max="15" width="10.5" style="19" bestFit="1" customWidth="1"/>
    <col min="16" max="17" width="9.1640625" style="19" customWidth="1"/>
    <col min="18" max="16384" width="9.1640625" style="19"/>
  </cols>
  <sheetData>
    <row r="1" spans="1:15" ht="25.25" customHeight="1">
      <c r="A1" s="139" t="s">
        <v>64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8" customHeight="1">
      <c r="A2" s="141" t="s">
        <v>279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36.25" customHeight="1">
      <c r="A3" s="141" t="s">
        <v>315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ht="13.25" customHeight="1"/>
    <row r="5" spans="1:15" ht="10.5" customHeight="1">
      <c r="A5" s="20" t="s">
        <v>67</v>
      </c>
      <c r="B5" s="20"/>
      <c r="C5" s="20" t="s">
        <v>228</v>
      </c>
      <c r="D5" s="21">
        <v>45689</v>
      </c>
      <c r="E5" s="21">
        <v>45658</v>
      </c>
      <c r="F5" s="21">
        <v>45627</v>
      </c>
      <c r="G5" s="21">
        <v>45597</v>
      </c>
      <c r="H5" s="21">
        <v>45566</v>
      </c>
      <c r="I5" s="21">
        <v>45536</v>
      </c>
      <c r="J5" s="21">
        <v>45505</v>
      </c>
      <c r="K5" s="21">
        <v>45474</v>
      </c>
      <c r="L5" s="21">
        <v>45444</v>
      </c>
      <c r="M5" s="21">
        <v>45413</v>
      </c>
      <c r="N5" s="21">
        <v>45383</v>
      </c>
      <c r="O5" s="21">
        <v>45352</v>
      </c>
    </row>
    <row r="6" spans="1:15" ht="10.5" customHeight="1">
      <c r="A6" s="22"/>
      <c r="B6" s="22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0.5" customHeight="1">
      <c r="A7" s="137" t="s">
        <v>281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</row>
    <row r="8" spans="1:15" ht="10.5" customHeight="1">
      <c r="A8" s="24" t="s">
        <v>19</v>
      </c>
      <c r="B8" s="24"/>
      <c r="C8" s="25">
        <f>SUM(D8:O8)</f>
        <v>156900000</v>
      </c>
      <c r="D8" s="26"/>
      <c r="E8" s="26"/>
      <c r="F8" s="26"/>
      <c r="G8" s="26"/>
      <c r="H8" s="26">
        <v>0</v>
      </c>
      <c r="I8" s="26">
        <v>0</v>
      </c>
      <c r="J8" s="26">
        <f>(6*1350000)+(6*1350000)+(4*1350000)+(4*1350000)+500000</f>
        <v>27500000</v>
      </c>
      <c r="K8" s="26">
        <f>(8*1350000)+(4*1350000)+(6*1350000)+(6*1350000)+(4*1350000)+(4*1350000)+500000</f>
        <v>43700000</v>
      </c>
      <c r="L8" s="26">
        <f>(8*1350000)+(4*1350000)+(4*1350000)+500000</f>
        <v>22100000</v>
      </c>
      <c r="M8" s="26">
        <f>(8*1350000)+500000</f>
        <v>11300000</v>
      </c>
      <c r="N8" s="26">
        <f>(5*1350000)+(4*1350000)+(4*1350000)+500000</f>
        <v>18050000</v>
      </c>
      <c r="O8" s="26">
        <f>(4*1350000)+(4*1350000)+(5*1350000)+(4*1350000)+(4*1350000)+(4*1350000)+500000</f>
        <v>34250000</v>
      </c>
    </row>
    <row r="9" spans="1:15" ht="10.5" customHeight="1">
      <c r="A9" s="24" t="s">
        <v>20</v>
      </c>
      <c r="B9" s="24"/>
      <c r="C9" s="25">
        <f>SUM(D9:O9)</f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ht="10.5" customHeight="1">
      <c r="A10" s="24" t="s">
        <v>21</v>
      </c>
      <c r="B10" s="24"/>
      <c r="C10" s="25">
        <f>SUM(D10:O10)</f>
        <v>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ht="10.5" customHeight="1">
      <c r="A11" s="27" t="s">
        <v>282</v>
      </c>
      <c r="B11" s="27"/>
      <c r="C11" s="28">
        <f t="shared" ref="C11:O11" si="0">C8+C9+C10</f>
        <v>156900000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27500000</v>
      </c>
      <c r="K11" s="28">
        <f t="shared" si="0"/>
        <v>43700000</v>
      </c>
      <c r="L11" s="28">
        <f t="shared" si="0"/>
        <v>22100000</v>
      </c>
      <c r="M11" s="28">
        <f t="shared" si="0"/>
        <v>11300000</v>
      </c>
      <c r="N11" s="28">
        <f t="shared" si="0"/>
        <v>18050000</v>
      </c>
      <c r="O11" s="28">
        <f t="shared" si="0"/>
        <v>34250000</v>
      </c>
    </row>
    <row r="12" spans="1:15" ht="10.5" customHeight="1">
      <c r="A12" s="22"/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0.5" customHeight="1">
      <c r="A13" s="137" t="s">
        <v>79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</row>
    <row r="14" spans="1:15" ht="10.5" customHeight="1">
      <c r="A14" s="24" t="s">
        <v>283</v>
      </c>
      <c r="B14" s="24"/>
      <c r="C14" s="29">
        <f t="shared" ref="C14:C23" si="1">SUM(D14:O14)</f>
        <v>0</v>
      </c>
      <c r="D14" s="26"/>
      <c r="E14" s="26"/>
      <c r="F14" s="26"/>
      <c r="G14" s="26"/>
      <c r="H14" s="26"/>
      <c r="I14" s="26"/>
      <c r="J14" s="26"/>
      <c r="K14" s="26"/>
      <c r="L14" s="26">
        <v>0</v>
      </c>
      <c r="M14" s="26">
        <v>0</v>
      </c>
      <c r="N14" s="26">
        <v>0</v>
      </c>
      <c r="O14" s="26">
        <v>0</v>
      </c>
    </row>
    <row r="15" spans="1:15" ht="10.5" customHeight="1">
      <c r="A15" s="24" t="s">
        <v>284</v>
      </c>
      <c r="B15" s="24"/>
      <c r="C15" s="29">
        <f t="shared" si="1"/>
        <v>6667506.0899999999</v>
      </c>
      <c r="D15" s="26"/>
      <c r="E15" s="26"/>
      <c r="F15" s="26"/>
      <c r="G15" s="26"/>
      <c r="H15" s="26"/>
      <c r="I15" s="26"/>
      <c r="J15" s="26">
        <f>1200000+261743.8</f>
        <v>1461743.8</v>
      </c>
      <c r="K15" s="26">
        <f>1920000+261743.85-1742956.96</f>
        <v>438786.89000000013</v>
      </c>
      <c r="L15" s="26">
        <f>960000+261743.85</f>
        <v>1221743.8500000001</v>
      </c>
      <c r="M15" s="26">
        <f>480000+261743.85</f>
        <v>741743.85</v>
      </c>
      <c r="N15" s="26">
        <f>780000+261743.85</f>
        <v>1041743.85</v>
      </c>
      <c r="O15" s="26">
        <f>1500000+261743.85</f>
        <v>1761743.85</v>
      </c>
    </row>
    <row r="16" spans="1:15" ht="10.5" customHeight="1">
      <c r="A16" s="24" t="s">
        <v>285</v>
      </c>
      <c r="B16" s="24"/>
      <c r="C16" s="30">
        <f t="shared" si="1"/>
        <v>0</v>
      </c>
      <c r="D16" s="26"/>
      <c r="E16" s="26"/>
      <c r="F16" s="26"/>
      <c r="G16" s="26"/>
      <c r="H16" s="26"/>
      <c r="I16" s="26"/>
      <c r="J16" s="26"/>
      <c r="K16" s="26"/>
      <c r="L16" s="26">
        <v>0</v>
      </c>
      <c r="M16" s="26">
        <v>0</v>
      </c>
      <c r="N16" s="26">
        <v>0</v>
      </c>
      <c r="O16" s="26">
        <v>0</v>
      </c>
    </row>
    <row r="17" spans="1:15" ht="10.5" customHeight="1">
      <c r="A17" s="31" t="s">
        <v>286</v>
      </c>
      <c r="B17" s="24"/>
      <c r="C17" s="25">
        <f t="shared" si="1"/>
        <v>0</v>
      </c>
      <c r="D17" s="26"/>
      <c r="E17" s="26"/>
      <c r="F17" s="26"/>
      <c r="G17" s="26"/>
      <c r="H17" s="26"/>
      <c r="I17" s="26"/>
      <c r="J17" s="26"/>
      <c r="K17" s="26"/>
      <c r="L17" s="26">
        <v>0</v>
      </c>
      <c r="M17" s="26">
        <v>0</v>
      </c>
      <c r="N17" s="26">
        <v>0</v>
      </c>
      <c r="O17" s="26">
        <v>0</v>
      </c>
    </row>
    <row r="18" spans="1:15" ht="10.5" customHeight="1">
      <c r="A18" s="24" t="s">
        <v>287</v>
      </c>
      <c r="B18" s="24"/>
      <c r="C18" s="32">
        <f t="shared" si="1"/>
        <v>0</v>
      </c>
      <c r="D18" s="26"/>
      <c r="E18" s="26"/>
      <c r="F18" s="26"/>
      <c r="G18" s="26"/>
      <c r="H18" s="26"/>
      <c r="I18" s="26"/>
      <c r="J18" s="26"/>
      <c r="K18" s="26"/>
      <c r="L18" s="26">
        <v>0</v>
      </c>
      <c r="M18" s="26">
        <v>0</v>
      </c>
      <c r="N18" s="26">
        <v>0</v>
      </c>
      <c r="O18" s="26">
        <v>0</v>
      </c>
    </row>
    <row r="19" spans="1:15" ht="10.5" customHeight="1">
      <c r="A19" s="24" t="s">
        <v>288</v>
      </c>
      <c r="B19" s="24"/>
      <c r="C19" s="25">
        <f t="shared" si="1"/>
        <v>0</v>
      </c>
      <c r="D19" s="26"/>
      <c r="E19" s="26"/>
      <c r="F19" s="26"/>
      <c r="G19" s="26"/>
      <c r="H19" s="26"/>
      <c r="I19" s="26"/>
      <c r="J19" s="26"/>
      <c r="K19" s="26"/>
      <c r="L19" s="26">
        <v>0</v>
      </c>
      <c r="M19" s="26">
        <v>0</v>
      </c>
      <c r="N19" s="26">
        <v>0</v>
      </c>
      <c r="O19" s="26">
        <v>0</v>
      </c>
    </row>
    <row r="20" spans="1:15" ht="10.5" customHeight="1">
      <c r="A20" s="24" t="s">
        <v>290</v>
      </c>
      <c r="B20" s="24"/>
      <c r="C20" s="25">
        <f t="shared" si="1"/>
        <v>0</v>
      </c>
      <c r="D20" s="26"/>
      <c r="E20" s="26"/>
      <c r="F20" s="26"/>
      <c r="G20" s="26"/>
      <c r="H20" s="26"/>
      <c r="I20" s="26"/>
      <c r="J20" s="26"/>
      <c r="K20" s="26"/>
      <c r="L20" s="26">
        <v>0</v>
      </c>
      <c r="M20" s="26">
        <v>0</v>
      </c>
      <c r="N20" s="26">
        <v>0</v>
      </c>
      <c r="O20" s="26">
        <v>0</v>
      </c>
    </row>
    <row r="21" spans="1:15" ht="10.5" customHeight="1">
      <c r="A21" s="24" t="s">
        <v>291</v>
      </c>
      <c r="B21" s="24"/>
      <c r="C21" s="25">
        <f t="shared" si="1"/>
        <v>0</v>
      </c>
      <c r="D21" s="26"/>
      <c r="E21" s="26"/>
      <c r="F21" s="26"/>
      <c r="G21" s="26"/>
      <c r="H21" s="26"/>
      <c r="I21" s="26"/>
      <c r="J21" s="26"/>
      <c r="K21" s="26"/>
      <c r="L21" s="26">
        <v>0</v>
      </c>
      <c r="M21" s="26">
        <v>0</v>
      </c>
      <c r="N21" s="26">
        <v>0</v>
      </c>
      <c r="O21" s="26">
        <v>0</v>
      </c>
    </row>
    <row r="22" spans="1:15" ht="10.5" customHeight="1">
      <c r="A22" s="24" t="s">
        <v>292</v>
      </c>
      <c r="B22" s="24"/>
      <c r="C22" s="33">
        <f t="shared" si="1"/>
        <v>0</v>
      </c>
      <c r="D22" s="26"/>
      <c r="E22" s="26"/>
      <c r="F22" s="26"/>
      <c r="G22" s="26"/>
      <c r="H22" s="26"/>
      <c r="I22" s="26"/>
      <c r="J22" s="26"/>
      <c r="K22" s="26"/>
      <c r="L22" s="26">
        <v>0</v>
      </c>
      <c r="M22" s="26">
        <v>0</v>
      </c>
      <c r="N22" s="26">
        <v>0</v>
      </c>
      <c r="O22" s="26">
        <v>0</v>
      </c>
    </row>
    <row r="23" spans="1:15" ht="10.5" customHeight="1">
      <c r="A23" s="24" t="s">
        <v>39</v>
      </c>
      <c r="B23" s="24"/>
      <c r="C23" s="34">
        <f t="shared" si="1"/>
        <v>3293434.44</v>
      </c>
      <c r="D23" s="26"/>
      <c r="E23" s="26"/>
      <c r="F23" s="26"/>
      <c r="G23" s="26"/>
      <c r="H23" s="26"/>
      <c r="I23" s="26"/>
      <c r="J23" s="26">
        <f>600000+121504.98-0.04</f>
        <v>721504.94</v>
      </c>
      <c r="K23" s="26">
        <f>960000+121504.98-855595.4</f>
        <v>225909.57999999996</v>
      </c>
      <c r="L23" s="26">
        <f>480000+121504.98</f>
        <v>601504.98</v>
      </c>
      <c r="M23" s="26">
        <f>240000+121504.98</f>
        <v>361504.98</v>
      </c>
      <c r="N23" s="26">
        <f>390000+121504.98</f>
        <v>511504.98</v>
      </c>
      <c r="O23" s="26">
        <f>750000+121504.98</f>
        <v>871504.98</v>
      </c>
    </row>
    <row r="24" spans="1:15" ht="10.5" customHeight="1">
      <c r="A24" s="27" t="s">
        <v>125</v>
      </c>
      <c r="B24" s="27"/>
      <c r="C24" s="28">
        <f t="shared" ref="C24:O24" si="2">SUM(C14:C23)</f>
        <v>9960940.5299999993</v>
      </c>
      <c r="D24" s="28">
        <f t="shared" si="2"/>
        <v>0</v>
      </c>
      <c r="E24" s="28">
        <f t="shared" si="2"/>
        <v>0</v>
      </c>
      <c r="F24" s="28">
        <f t="shared" si="2"/>
        <v>0</v>
      </c>
      <c r="G24" s="28">
        <f t="shared" si="2"/>
        <v>0</v>
      </c>
      <c r="H24" s="28">
        <f t="shared" si="2"/>
        <v>0</v>
      </c>
      <c r="I24" s="28">
        <f t="shared" si="2"/>
        <v>0</v>
      </c>
      <c r="J24" s="28">
        <f t="shared" si="2"/>
        <v>2183248.7400000002</v>
      </c>
      <c r="K24" s="28">
        <f t="shared" si="2"/>
        <v>664696.47000000009</v>
      </c>
      <c r="L24" s="28">
        <f t="shared" si="2"/>
        <v>1823248.83</v>
      </c>
      <c r="M24" s="28">
        <f t="shared" si="2"/>
        <v>1103248.83</v>
      </c>
      <c r="N24" s="28">
        <f t="shared" si="2"/>
        <v>1553248.83</v>
      </c>
      <c r="O24" s="28">
        <f t="shared" si="2"/>
        <v>2633248.83</v>
      </c>
    </row>
    <row r="25" spans="1:15" ht="10.5" customHeight="1">
      <c r="A25" s="22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10.5" customHeight="1">
      <c r="A26" s="35" t="s">
        <v>126</v>
      </c>
      <c r="B26" s="35"/>
      <c r="C26" s="36">
        <f t="shared" ref="C26:O26" si="3">C11-C24</f>
        <v>146939059.47</v>
      </c>
      <c r="D26" s="36">
        <f t="shared" si="3"/>
        <v>0</v>
      </c>
      <c r="E26" s="36">
        <f t="shared" si="3"/>
        <v>0</v>
      </c>
      <c r="F26" s="36">
        <f t="shared" si="3"/>
        <v>0</v>
      </c>
      <c r="G26" s="36">
        <f t="shared" si="3"/>
        <v>0</v>
      </c>
      <c r="H26" s="36">
        <f t="shared" si="3"/>
        <v>0</v>
      </c>
      <c r="I26" s="36">
        <f t="shared" si="3"/>
        <v>0</v>
      </c>
      <c r="J26" s="36">
        <f t="shared" si="3"/>
        <v>25316751.259999998</v>
      </c>
      <c r="K26" s="36">
        <f t="shared" si="3"/>
        <v>43035303.530000001</v>
      </c>
      <c r="L26" s="36">
        <f t="shared" si="3"/>
        <v>20276751.170000002</v>
      </c>
      <c r="M26" s="36">
        <f t="shared" si="3"/>
        <v>10196751.17</v>
      </c>
      <c r="N26" s="36">
        <f t="shared" si="3"/>
        <v>16496751.17</v>
      </c>
      <c r="O26" s="36">
        <f t="shared" si="3"/>
        <v>31616751.170000002</v>
      </c>
    </row>
    <row r="27" spans="1:15" ht="13.25" customHeight="1"/>
    <row r="28" spans="1:15" ht="13" customHeight="1">
      <c r="A28" s="137" t="s">
        <v>127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</row>
    <row r="29" spans="1:15" ht="10.5" customHeight="1">
      <c r="A29" s="24" t="s">
        <v>293</v>
      </c>
      <c r="B29" s="24"/>
      <c r="C29" s="25">
        <f>SUM(D29:O29)</f>
        <v>946938.06</v>
      </c>
      <c r="D29" s="26"/>
      <c r="E29" s="26"/>
      <c r="F29" s="26"/>
      <c r="G29" s="26"/>
      <c r="H29" s="26"/>
      <c r="I29" s="26"/>
      <c r="J29" s="26"/>
      <c r="K29" s="26"/>
      <c r="L29" s="15">
        <v>393902.07</v>
      </c>
      <c r="M29" s="15">
        <v>222525.45</v>
      </c>
      <c r="N29" s="14">
        <v>106209.22</v>
      </c>
      <c r="O29" s="14">
        <v>224301.32</v>
      </c>
    </row>
    <row r="30" spans="1:15" ht="10.5" customHeight="1">
      <c r="A30" s="27" t="s">
        <v>132</v>
      </c>
      <c r="B30" s="27"/>
      <c r="C30" s="28">
        <f t="shared" ref="C30:O30" si="4">C29</f>
        <v>946938.06</v>
      </c>
      <c r="D30" s="28">
        <f t="shared" si="4"/>
        <v>0</v>
      </c>
      <c r="E30" s="28">
        <f t="shared" si="4"/>
        <v>0</v>
      </c>
      <c r="F30" s="28">
        <f t="shared" si="4"/>
        <v>0</v>
      </c>
      <c r="G30" s="28">
        <f t="shared" si="4"/>
        <v>0</v>
      </c>
      <c r="H30" s="28">
        <f t="shared" si="4"/>
        <v>0</v>
      </c>
      <c r="I30" s="28">
        <f t="shared" si="4"/>
        <v>0</v>
      </c>
      <c r="J30" s="28">
        <f t="shared" si="4"/>
        <v>0</v>
      </c>
      <c r="K30" s="28">
        <f t="shared" si="4"/>
        <v>0</v>
      </c>
      <c r="L30" s="13">
        <f t="shared" si="4"/>
        <v>393902.07</v>
      </c>
      <c r="M30" s="13">
        <f t="shared" si="4"/>
        <v>222525.45</v>
      </c>
      <c r="N30" s="13">
        <f t="shared" si="4"/>
        <v>106209.22</v>
      </c>
      <c r="O30" s="13">
        <f t="shared" si="4"/>
        <v>224301.32</v>
      </c>
    </row>
    <row r="31" spans="1:15" ht="13.25" customHeight="1"/>
    <row r="32" spans="1:15" ht="13" customHeight="1">
      <c r="A32" s="137" t="s">
        <v>133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</row>
    <row r="33" spans="1:15" ht="13" customHeight="1">
      <c r="A33" s="24" t="s">
        <v>294</v>
      </c>
      <c r="B33" s="37"/>
      <c r="C33" s="25">
        <f t="shared" ref="C33:C62" si="5">SUM(D33:O33)</f>
        <v>0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>
        <v>0</v>
      </c>
      <c r="O33" s="26">
        <v>0</v>
      </c>
    </row>
    <row r="34" spans="1:15" ht="10.5" customHeight="1">
      <c r="A34" s="24" t="s">
        <v>144</v>
      </c>
      <c r="B34" s="24"/>
      <c r="C34" s="38">
        <f t="shared" si="5"/>
        <v>137675.92000000001</v>
      </c>
      <c r="D34" s="26"/>
      <c r="E34" s="26"/>
      <c r="F34" s="26"/>
      <c r="G34" s="26"/>
      <c r="H34" s="26"/>
      <c r="I34" s="26"/>
      <c r="J34" s="26"/>
      <c r="K34" s="26"/>
      <c r="L34" s="26">
        <v>39589.129999999997</v>
      </c>
      <c r="M34" s="26">
        <v>52232.03</v>
      </c>
      <c r="N34" s="26">
        <v>23300</v>
      </c>
      <c r="O34" s="26">
        <v>22554.76</v>
      </c>
    </row>
    <row r="35" spans="1:15" ht="10.5" customHeight="1">
      <c r="A35" s="24" t="s">
        <v>295</v>
      </c>
      <c r="B35" s="24"/>
      <c r="C35" s="38">
        <f t="shared" si="5"/>
        <v>24960</v>
      </c>
      <c r="D35" s="26"/>
      <c r="E35" s="26"/>
      <c r="F35" s="26"/>
      <c r="G35" s="26"/>
      <c r="H35" s="26"/>
      <c r="I35" s="26"/>
      <c r="J35" s="26"/>
      <c r="K35" s="26"/>
      <c r="L35" s="26"/>
      <c r="M35" s="26">
        <v>0</v>
      </c>
      <c r="N35" s="26">
        <v>24960</v>
      </c>
      <c r="O35" s="26">
        <v>0</v>
      </c>
    </row>
    <row r="36" spans="1:15" ht="10.5" customHeight="1">
      <c r="A36" s="31" t="s">
        <v>316</v>
      </c>
      <c r="B36" s="24"/>
      <c r="C36" s="25">
        <f t="shared" si="5"/>
        <v>30612.5</v>
      </c>
      <c r="D36" s="26"/>
      <c r="E36" s="26"/>
      <c r="F36" s="26"/>
      <c r="G36" s="26"/>
      <c r="H36" s="26"/>
      <c r="I36" s="26"/>
      <c r="J36" s="26"/>
      <c r="K36" s="26"/>
      <c r="L36" s="26"/>
      <c r="M36" s="26">
        <v>5637.5</v>
      </c>
      <c r="N36" s="26"/>
      <c r="O36" s="26">
        <v>24975</v>
      </c>
    </row>
    <row r="37" spans="1:15" ht="10.5" customHeight="1">
      <c r="A37" s="24" t="s">
        <v>145</v>
      </c>
      <c r="B37" s="24"/>
      <c r="C37" s="39">
        <f t="shared" si="5"/>
        <v>0</v>
      </c>
      <c r="D37" s="26"/>
      <c r="E37" s="26"/>
      <c r="F37" s="26"/>
      <c r="G37" s="26"/>
      <c r="H37" s="26"/>
      <c r="I37" s="26"/>
      <c r="J37" s="26"/>
      <c r="K37" s="26"/>
      <c r="L37" s="26">
        <v>0</v>
      </c>
      <c r="M37" s="26">
        <v>0</v>
      </c>
      <c r="N37" s="26">
        <v>0</v>
      </c>
      <c r="O37" s="26">
        <v>0</v>
      </c>
    </row>
    <row r="38" spans="1:15" ht="10.5" customHeight="1">
      <c r="A38" s="24" t="s">
        <v>153</v>
      </c>
      <c r="B38" s="24"/>
      <c r="C38" s="25">
        <f t="shared" si="5"/>
        <v>450842.57</v>
      </c>
      <c r="D38" s="26"/>
      <c r="E38" s="26"/>
      <c r="F38" s="26"/>
      <c r="G38" s="26"/>
      <c r="H38" s="26"/>
      <c r="I38" s="26"/>
      <c r="J38" s="26"/>
      <c r="K38" s="26"/>
      <c r="L38" s="26">
        <v>121658</v>
      </c>
      <c r="M38" s="26">
        <v>121658</v>
      </c>
      <c r="N38" s="26">
        <v>98308</v>
      </c>
      <c r="O38" s="26">
        <v>109218.57</v>
      </c>
    </row>
    <row r="39" spans="1:15" ht="10.5" customHeight="1">
      <c r="A39" s="24" t="s">
        <v>297</v>
      </c>
      <c r="B39" s="24"/>
      <c r="C39" s="40">
        <f t="shared" si="5"/>
        <v>16200</v>
      </c>
      <c r="D39" s="26"/>
      <c r="E39" s="26"/>
      <c r="F39" s="26"/>
      <c r="G39" s="26"/>
      <c r="H39" s="26"/>
      <c r="I39" s="26"/>
      <c r="J39" s="26"/>
      <c r="K39" s="26"/>
      <c r="L39" s="26">
        <v>4200</v>
      </c>
      <c r="M39" s="26">
        <v>4000</v>
      </c>
      <c r="N39" s="26">
        <v>4000</v>
      </c>
      <c r="O39" s="26">
        <v>4000</v>
      </c>
    </row>
    <row r="40" spans="1:15" ht="10.5" customHeight="1">
      <c r="A40" s="24" t="s">
        <v>48</v>
      </c>
      <c r="B40" s="24"/>
      <c r="C40" s="41">
        <f t="shared" si="5"/>
        <v>0</v>
      </c>
      <c r="D40" s="26"/>
      <c r="E40" s="26"/>
      <c r="F40" s="26"/>
      <c r="G40" s="26"/>
      <c r="H40" s="26"/>
      <c r="I40" s="26"/>
      <c r="J40" s="26"/>
      <c r="K40" s="26"/>
      <c r="L40" s="26"/>
      <c r="M40" s="26">
        <v>0</v>
      </c>
      <c r="N40" s="26">
        <v>0</v>
      </c>
      <c r="O40" s="26">
        <v>0</v>
      </c>
    </row>
    <row r="41" spans="1:15" ht="10.5" customHeight="1">
      <c r="A41" s="24" t="s">
        <v>50</v>
      </c>
      <c r="B41" s="24"/>
      <c r="C41" s="42">
        <f t="shared" si="5"/>
        <v>34266.22</v>
      </c>
      <c r="D41" s="26"/>
      <c r="E41" s="26"/>
      <c r="F41" s="26"/>
      <c r="G41" s="26"/>
      <c r="H41" s="26"/>
      <c r="I41" s="26"/>
      <c r="J41" s="26"/>
      <c r="K41" s="26"/>
      <c r="L41" s="26">
        <v>10741.66</v>
      </c>
      <c r="M41" s="26">
        <v>8823.9</v>
      </c>
      <c r="N41" s="26">
        <v>7350.33</v>
      </c>
      <c r="O41" s="26">
        <v>7350.33</v>
      </c>
    </row>
    <row r="42" spans="1:15" ht="10.5" customHeight="1">
      <c r="A42" s="24" t="s">
        <v>51</v>
      </c>
      <c r="B42" s="24"/>
      <c r="C42" s="43">
        <f t="shared" si="5"/>
        <v>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>
        <v>0</v>
      </c>
      <c r="O42" s="26">
        <v>0</v>
      </c>
    </row>
    <row r="43" spans="1:15" ht="10.5" customHeight="1">
      <c r="A43" s="24" t="s">
        <v>298</v>
      </c>
      <c r="B43" s="24"/>
      <c r="C43" s="40">
        <f t="shared" si="5"/>
        <v>14835744.689999998</v>
      </c>
      <c r="D43" s="108"/>
      <c r="E43" s="108"/>
      <c r="F43" s="108"/>
      <c r="G43" s="108"/>
      <c r="H43" s="108"/>
      <c r="I43" s="108"/>
      <c r="J43" s="108">
        <f>100000+2250000+524952.75</f>
        <v>2874952.75</v>
      </c>
      <c r="K43" s="108">
        <f>100000+2250000+524952.38</f>
        <v>2874952.38</v>
      </c>
      <c r="L43" s="108">
        <f>130102.66+2250000+524952.38</f>
        <v>2905055.04</v>
      </c>
      <c r="M43" s="108">
        <f>65550.67+2250000+524952.38</f>
        <v>2840503.05</v>
      </c>
      <c r="N43" s="108">
        <f>2250000+524952.38</f>
        <v>2774952.38</v>
      </c>
      <c r="O43" s="108">
        <f>40376.71+524952.38</f>
        <v>565329.09</v>
      </c>
    </row>
    <row r="44" spans="1:15" ht="10.5" customHeight="1">
      <c r="A44" s="24" t="s">
        <v>299</v>
      </c>
      <c r="B44" s="24"/>
      <c r="C44" s="40">
        <f t="shared" si="5"/>
        <v>580130.14</v>
      </c>
      <c r="D44" s="108"/>
      <c r="E44" s="108"/>
      <c r="F44" s="108"/>
      <c r="G44" s="108"/>
      <c r="H44" s="108"/>
      <c r="I44" s="108"/>
      <c r="J44" s="108">
        <v>100000</v>
      </c>
      <c r="K44" s="108">
        <v>100000</v>
      </c>
      <c r="L44" s="108">
        <v>100000</v>
      </c>
      <c r="M44" s="108">
        <v>117904.12</v>
      </c>
      <c r="N44" s="108">
        <v>55479.45</v>
      </c>
      <c r="O44" s="108">
        <v>106746.57</v>
      </c>
    </row>
    <row r="45" spans="1:15" ht="10.5" customHeight="1">
      <c r="A45" s="24" t="s">
        <v>300</v>
      </c>
      <c r="B45" s="24"/>
      <c r="C45" s="40">
        <f t="shared" si="5"/>
        <v>447503.98</v>
      </c>
      <c r="D45" s="108"/>
      <c r="E45" s="108"/>
      <c r="F45" s="108"/>
      <c r="G45" s="108"/>
      <c r="H45" s="108"/>
      <c r="I45" s="108"/>
      <c r="J45" s="108">
        <v>100000</v>
      </c>
      <c r="K45" s="108">
        <v>100000</v>
      </c>
      <c r="L45" s="108">
        <v>100000</v>
      </c>
      <c r="M45" s="108">
        <v>33052.06</v>
      </c>
      <c r="N45" s="108">
        <v>14451.92</v>
      </c>
      <c r="O45" s="108">
        <v>100000</v>
      </c>
    </row>
    <row r="46" spans="1:15" ht="10.5" customHeight="1">
      <c r="A46" s="24" t="s">
        <v>301</v>
      </c>
      <c r="B46" s="24"/>
      <c r="C46" s="40">
        <f t="shared" si="5"/>
        <v>2612802.73</v>
      </c>
      <c r="D46" s="108"/>
      <c r="E46" s="108"/>
      <c r="F46" s="108"/>
      <c r="G46" s="108"/>
      <c r="H46" s="108"/>
      <c r="I46" s="108"/>
      <c r="J46" s="108">
        <v>100000</v>
      </c>
      <c r="K46" s="108">
        <v>100000</v>
      </c>
      <c r="L46" s="108">
        <v>100000</v>
      </c>
      <c r="M46" s="108">
        <v>214964.38</v>
      </c>
      <c r="N46" s="108">
        <v>1454819.17</v>
      </c>
      <c r="O46" s="108">
        <v>643019.18000000005</v>
      </c>
    </row>
    <row r="47" spans="1:15" ht="10.5" customHeight="1">
      <c r="A47" s="24" t="s">
        <v>302</v>
      </c>
      <c r="B47" s="24"/>
      <c r="C47" s="40">
        <f t="shared" si="5"/>
        <v>322125</v>
      </c>
      <c r="D47" s="108"/>
      <c r="E47" s="108"/>
      <c r="F47" s="108"/>
      <c r="G47" s="108"/>
      <c r="H47" s="108"/>
      <c r="I47" s="108"/>
      <c r="J47" s="108">
        <v>100000</v>
      </c>
      <c r="K47" s="108">
        <v>100000</v>
      </c>
      <c r="L47" s="108">
        <v>4041.1</v>
      </c>
      <c r="M47" s="108">
        <v>22371.58</v>
      </c>
      <c r="N47" s="108">
        <v>62219.17</v>
      </c>
      <c r="O47" s="108">
        <v>33493.15</v>
      </c>
    </row>
    <row r="48" spans="1:15" ht="10.5" customHeight="1">
      <c r="A48" s="24" t="s">
        <v>303</v>
      </c>
      <c r="B48" s="24"/>
      <c r="C48" s="40">
        <f t="shared" si="5"/>
        <v>261901.38</v>
      </c>
      <c r="D48" s="108"/>
      <c r="E48" s="108"/>
      <c r="F48" s="108"/>
      <c r="G48" s="108"/>
      <c r="H48" s="108"/>
      <c r="I48" s="108"/>
      <c r="J48" s="108">
        <v>100000</v>
      </c>
      <c r="K48" s="108">
        <v>100000</v>
      </c>
      <c r="L48" s="108">
        <v>5520.55</v>
      </c>
      <c r="M48" s="108">
        <v>15457.54</v>
      </c>
      <c r="N48" s="108">
        <v>37361.65</v>
      </c>
      <c r="O48" s="108">
        <v>3561.64</v>
      </c>
    </row>
    <row r="49" spans="1:15" ht="10.5" customHeight="1">
      <c r="A49" s="24" t="s">
        <v>304</v>
      </c>
      <c r="B49" s="24"/>
      <c r="C49" s="40">
        <f t="shared" si="5"/>
        <v>339316.45</v>
      </c>
      <c r="D49" s="108"/>
      <c r="E49" s="108"/>
      <c r="F49" s="108"/>
      <c r="G49" s="108"/>
      <c r="H49" s="108"/>
      <c r="I49" s="108"/>
      <c r="J49" s="108">
        <v>100000</v>
      </c>
      <c r="K49" s="108">
        <v>100000</v>
      </c>
      <c r="L49" s="108">
        <v>3014.39</v>
      </c>
      <c r="M49" s="108">
        <v>13389.04</v>
      </c>
      <c r="N49" s="108">
        <v>22913.02</v>
      </c>
      <c r="O49" s="108">
        <v>100000</v>
      </c>
    </row>
    <row r="50" spans="1:15" ht="10.5" customHeight="1">
      <c r="A50" s="24" t="s">
        <v>305</v>
      </c>
      <c r="B50" s="24"/>
      <c r="C50" s="40">
        <f t="shared" si="5"/>
        <v>411678.33</v>
      </c>
      <c r="D50" s="108"/>
      <c r="E50" s="108"/>
      <c r="F50" s="108"/>
      <c r="G50" s="108"/>
      <c r="H50" s="108"/>
      <c r="I50" s="108"/>
      <c r="J50" s="108">
        <v>100000</v>
      </c>
      <c r="K50" s="108">
        <v>100000</v>
      </c>
      <c r="L50" s="108">
        <v>650.94000000000005</v>
      </c>
      <c r="M50" s="108">
        <v>100000</v>
      </c>
      <c r="N50" s="108">
        <v>11027.39</v>
      </c>
      <c r="O50" s="108">
        <v>100000</v>
      </c>
    </row>
    <row r="51" spans="1:15" ht="10.5" customHeight="1">
      <c r="A51" s="24" t="s">
        <v>306</v>
      </c>
      <c r="B51" s="24"/>
      <c r="C51" s="40">
        <f t="shared" si="5"/>
        <v>500430.32</v>
      </c>
      <c r="D51" s="108"/>
      <c r="E51" s="108"/>
      <c r="F51" s="108"/>
      <c r="G51" s="108"/>
      <c r="H51" s="108"/>
      <c r="I51" s="108"/>
      <c r="J51" s="108">
        <v>100000</v>
      </c>
      <c r="K51" s="108">
        <v>100000</v>
      </c>
      <c r="L51" s="108">
        <v>430.32</v>
      </c>
      <c r="M51" s="108">
        <v>100000</v>
      </c>
      <c r="N51" s="108">
        <v>100000</v>
      </c>
      <c r="O51" s="108">
        <v>100000</v>
      </c>
    </row>
    <row r="52" spans="1:15" ht="10.5" customHeight="1">
      <c r="A52" s="24" t="s">
        <v>307</v>
      </c>
      <c r="B52" s="24"/>
      <c r="C52" s="44">
        <f t="shared" si="5"/>
        <v>29362.48</v>
      </c>
      <c r="D52" s="26"/>
      <c r="E52" s="26"/>
      <c r="F52" s="26"/>
      <c r="G52" s="26"/>
      <c r="H52" s="26"/>
      <c r="I52" s="26"/>
      <c r="J52" s="26"/>
      <c r="K52" s="26"/>
      <c r="L52" s="26">
        <v>10523.82</v>
      </c>
      <c r="M52" s="26">
        <v>5264.82</v>
      </c>
      <c r="N52" s="26">
        <v>8404.2000000000007</v>
      </c>
      <c r="O52" s="26">
        <v>5169.6400000000003</v>
      </c>
    </row>
    <row r="53" spans="1:15" ht="10.5" customHeight="1">
      <c r="A53" s="24" t="s">
        <v>308</v>
      </c>
      <c r="B53" s="24"/>
      <c r="C53" s="25">
        <f t="shared" si="5"/>
        <v>0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ht="10.5" customHeight="1">
      <c r="A54" s="24" t="s">
        <v>309</v>
      </c>
      <c r="B54" s="24"/>
      <c r="C54" s="45">
        <f t="shared" si="5"/>
        <v>0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>
        <v>0</v>
      </c>
      <c r="O54" s="26">
        <v>0</v>
      </c>
    </row>
    <row r="55" spans="1:15" ht="10.5" customHeight="1">
      <c r="A55" s="24" t="s">
        <v>310</v>
      </c>
      <c r="B55" s="24"/>
      <c r="C55" s="45">
        <f t="shared" si="5"/>
        <v>0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>
        <v>0</v>
      </c>
    </row>
    <row r="56" spans="1:15" ht="10.5" customHeight="1">
      <c r="A56" s="24" t="s">
        <v>34</v>
      </c>
      <c r="B56" s="24"/>
      <c r="C56" s="45">
        <f t="shared" si="5"/>
        <v>71583.149999999994</v>
      </c>
      <c r="D56" s="26"/>
      <c r="E56" s="26"/>
      <c r="F56" s="26"/>
      <c r="G56" s="26"/>
      <c r="H56" s="26"/>
      <c r="I56" s="26"/>
      <c r="J56" s="26"/>
      <c r="K56" s="26"/>
      <c r="L56" s="26">
        <v>71583.149999999994</v>
      </c>
      <c r="M56" s="26"/>
      <c r="N56" s="26"/>
      <c r="O56" s="26"/>
    </row>
    <row r="57" spans="1:15" ht="10.5" customHeight="1">
      <c r="A57" s="24" t="s">
        <v>311</v>
      </c>
      <c r="B57" s="24"/>
      <c r="C57" s="25">
        <f t="shared" si="5"/>
        <v>0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ht="10.5" customHeight="1">
      <c r="A58" s="24" t="s">
        <v>312</v>
      </c>
      <c r="B58" s="24"/>
      <c r="C58" s="42">
        <f t="shared" si="5"/>
        <v>1351.28</v>
      </c>
      <c r="D58" s="26"/>
      <c r="E58" s="26"/>
      <c r="F58" s="26"/>
      <c r="G58" s="26"/>
      <c r="H58" s="26"/>
      <c r="I58" s="26"/>
      <c r="J58" s="26"/>
      <c r="K58" s="26"/>
      <c r="L58" s="26">
        <v>366.14</v>
      </c>
      <c r="M58" s="26">
        <v>328.38</v>
      </c>
      <c r="N58" s="26">
        <v>328.38</v>
      </c>
      <c r="O58" s="26">
        <v>328.38</v>
      </c>
    </row>
    <row r="59" spans="1:15" ht="10.5" customHeight="1">
      <c r="A59" s="24" t="s">
        <v>57</v>
      </c>
      <c r="B59" s="24"/>
      <c r="C59" s="30">
        <f t="shared" si="5"/>
        <v>0</v>
      </c>
      <c r="D59" s="26"/>
      <c r="E59" s="26"/>
      <c r="F59" s="26"/>
      <c r="G59" s="26"/>
      <c r="H59" s="26"/>
      <c r="I59" s="26"/>
      <c r="J59" s="26"/>
      <c r="K59" s="26"/>
      <c r="L59" s="26"/>
      <c r="M59" s="26">
        <v>0</v>
      </c>
      <c r="N59" s="26"/>
      <c r="O59" s="26">
        <v>0</v>
      </c>
    </row>
    <row r="60" spans="1:15" ht="10.5" customHeight="1">
      <c r="A60" s="24" t="s">
        <v>313</v>
      </c>
      <c r="B60" s="24"/>
      <c r="C60" s="46">
        <f t="shared" si="5"/>
        <v>0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>
        <v>0</v>
      </c>
      <c r="O60" s="26">
        <v>0</v>
      </c>
    </row>
    <row r="61" spans="1:15" ht="10.5" customHeight="1">
      <c r="A61" s="24" t="s">
        <v>314</v>
      </c>
      <c r="B61" s="24"/>
      <c r="C61" s="46">
        <f t="shared" si="5"/>
        <v>2400</v>
      </c>
      <c r="D61" s="26"/>
      <c r="E61" s="26"/>
      <c r="F61" s="26"/>
      <c r="G61" s="26"/>
      <c r="H61" s="26"/>
      <c r="I61" s="26"/>
      <c r="J61" s="26"/>
      <c r="K61" s="26"/>
      <c r="L61" s="26">
        <v>600</v>
      </c>
      <c r="M61" s="26">
        <v>600</v>
      </c>
      <c r="N61" s="26">
        <v>600</v>
      </c>
      <c r="O61" s="26">
        <v>600</v>
      </c>
    </row>
    <row r="62" spans="1:15" ht="10.5" customHeight="1">
      <c r="A62" s="24" t="s">
        <v>58</v>
      </c>
      <c r="B62" s="24"/>
      <c r="C62" s="32">
        <f t="shared" si="5"/>
        <v>0</v>
      </c>
      <c r="D62" s="26"/>
      <c r="E62" s="26"/>
      <c r="F62" s="26"/>
      <c r="G62" s="26"/>
      <c r="H62" s="26"/>
      <c r="I62" s="26"/>
      <c r="J62" s="26"/>
      <c r="K62" s="26"/>
      <c r="L62" s="26"/>
      <c r="M62" s="26">
        <v>0</v>
      </c>
      <c r="N62" s="26">
        <v>0</v>
      </c>
      <c r="O62" s="26">
        <v>0</v>
      </c>
    </row>
    <row r="63" spans="1:15" ht="10.5" customHeight="1">
      <c r="A63" s="27" t="s">
        <v>200</v>
      </c>
      <c r="B63" s="27"/>
      <c r="C63" s="28">
        <f t="shared" ref="C63:O63" si="6">SUM(C33:C62)</f>
        <v>21110887.139999997</v>
      </c>
      <c r="D63" s="28">
        <f t="shared" si="6"/>
        <v>0</v>
      </c>
      <c r="E63" s="28">
        <f t="shared" si="6"/>
        <v>0</v>
      </c>
      <c r="F63" s="28">
        <f t="shared" si="6"/>
        <v>0</v>
      </c>
      <c r="G63" s="28">
        <f t="shared" si="6"/>
        <v>0</v>
      </c>
      <c r="H63" s="28">
        <f t="shared" si="6"/>
        <v>0</v>
      </c>
      <c r="I63" s="28">
        <f t="shared" si="6"/>
        <v>0</v>
      </c>
      <c r="J63" s="28">
        <f t="shared" si="6"/>
        <v>3674952.75</v>
      </c>
      <c r="K63" s="28">
        <f t="shared" si="6"/>
        <v>3674952.38</v>
      </c>
      <c r="L63" s="28">
        <f t="shared" si="6"/>
        <v>3477974.2399999998</v>
      </c>
      <c r="M63" s="28">
        <f t="shared" si="6"/>
        <v>3656186.4</v>
      </c>
      <c r="N63" s="28">
        <f t="shared" si="6"/>
        <v>4700475.0599999996</v>
      </c>
      <c r="O63" s="28">
        <f t="shared" si="6"/>
        <v>1926346.3099999996</v>
      </c>
    </row>
    <row r="64" spans="1:15" ht="13.25" customHeight="1"/>
    <row r="65" spans="1:15" ht="10.5" customHeight="1">
      <c r="A65" s="35" t="s">
        <v>201</v>
      </c>
      <c r="B65" s="35"/>
      <c r="C65" s="36">
        <f t="shared" ref="C65:O65" si="7">((C26 + C30) - C63)</f>
        <v>126775110.39</v>
      </c>
      <c r="D65" s="36">
        <f t="shared" si="7"/>
        <v>0</v>
      </c>
      <c r="E65" s="36">
        <f t="shared" si="7"/>
        <v>0</v>
      </c>
      <c r="F65" s="36">
        <f t="shared" si="7"/>
        <v>0</v>
      </c>
      <c r="G65" s="36">
        <f t="shared" si="7"/>
        <v>0</v>
      </c>
      <c r="H65" s="36">
        <f t="shared" si="7"/>
        <v>0</v>
      </c>
      <c r="I65" s="36">
        <f t="shared" si="7"/>
        <v>0</v>
      </c>
      <c r="J65" s="36">
        <f t="shared" si="7"/>
        <v>21641798.509999998</v>
      </c>
      <c r="K65" s="36">
        <f t="shared" si="7"/>
        <v>39360351.149999999</v>
      </c>
      <c r="L65" s="36">
        <f t="shared" si="7"/>
        <v>17192679.000000004</v>
      </c>
      <c r="M65" s="36">
        <f t="shared" si="7"/>
        <v>6763090.2199999988</v>
      </c>
      <c r="N65" s="36">
        <f t="shared" si="7"/>
        <v>11902485.330000002</v>
      </c>
      <c r="O65" s="36">
        <f t="shared" si="7"/>
        <v>29914706.180000003</v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paperSize="9" fitToWidth="0" fitToHeight="0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4"/>
  <sheetViews>
    <sheetView showGridLines="0" zoomScaleNormal="100" workbookViewId="0">
      <selection activeCell="E39" sqref="E39"/>
    </sheetView>
  </sheetViews>
  <sheetFormatPr baseColWidth="10" defaultColWidth="8.83203125" defaultRowHeight="12"/>
  <cols>
    <col min="1" max="1" width="14.1640625" style="49" customWidth="1"/>
    <col min="2" max="2" width="32.1640625" style="49" customWidth="1"/>
    <col min="3" max="3" width="15.6640625" style="49" customWidth="1"/>
    <col min="4" max="4" width="18.83203125" style="49" customWidth="1"/>
    <col min="5" max="5" width="19.6640625" style="49" customWidth="1"/>
    <col min="6" max="6" width="12.33203125" style="49" customWidth="1"/>
    <col min="7" max="8" width="8.83203125" style="49" customWidth="1"/>
    <col min="9" max="16384" width="8.83203125" style="49"/>
  </cols>
  <sheetData>
    <row r="1" spans="1:6" s="47" customFormat="1" ht="18" customHeight="1">
      <c r="A1" s="142" t="s">
        <v>317</v>
      </c>
      <c r="B1" s="143"/>
      <c r="C1" s="143"/>
      <c r="D1" s="143"/>
      <c r="E1" s="143"/>
      <c r="F1" s="143"/>
    </row>
    <row r="2" spans="1:6" s="48" customFormat="1" ht="15.5" customHeight="1">
      <c r="A2" s="144" t="s">
        <v>279</v>
      </c>
      <c r="B2" s="145"/>
      <c r="C2" s="145"/>
      <c r="D2" s="145"/>
      <c r="E2" s="145"/>
      <c r="F2" s="145"/>
    </row>
    <row r="3" spans="1:6" s="48" customFormat="1" ht="15.5" customHeight="1">
      <c r="A3" s="144"/>
      <c r="B3" s="145"/>
      <c r="C3" s="145"/>
      <c r="D3" s="145"/>
      <c r="E3" s="145"/>
      <c r="F3" s="145"/>
    </row>
    <row r="4" spans="1:6" ht="13.25" customHeight="1"/>
    <row r="5" spans="1:6" s="52" customFormat="1" ht="13" customHeight="1">
      <c r="A5" s="50" t="s">
        <v>318</v>
      </c>
      <c r="B5" s="50" t="s">
        <v>67</v>
      </c>
      <c r="C5" s="50" t="s">
        <v>319</v>
      </c>
      <c r="D5" s="51" t="s">
        <v>320</v>
      </c>
      <c r="E5" s="51" t="s">
        <v>321</v>
      </c>
      <c r="F5" s="51" t="s">
        <v>322</v>
      </c>
    </row>
    <row r="6" spans="1:6" ht="11.75" customHeight="1">
      <c r="A6" s="53" t="s">
        <v>323</v>
      </c>
      <c r="B6" s="53" t="s">
        <v>324</v>
      </c>
      <c r="C6" s="53" t="s">
        <v>325</v>
      </c>
      <c r="D6" s="54">
        <v>0</v>
      </c>
      <c r="E6" s="53"/>
      <c r="F6" s="54">
        <v>678.59</v>
      </c>
    </row>
    <row r="7" spans="1:6" ht="11.75" customHeight="1">
      <c r="A7" s="53" t="s">
        <v>326</v>
      </c>
      <c r="B7" s="53" t="s">
        <v>327</v>
      </c>
      <c r="C7" s="53" t="s">
        <v>325</v>
      </c>
      <c r="D7" s="54">
        <v>14689.94</v>
      </c>
      <c r="E7" s="53"/>
      <c r="F7" s="54"/>
    </row>
    <row r="8" spans="1:6" ht="11.75" customHeight="1">
      <c r="A8" s="55" t="s">
        <v>328</v>
      </c>
      <c r="B8" s="55" t="s">
        <v>144</v>
      </c>
      <c r="C8" s="55" t="s">
        <v>329</v>
      </c>
      <c r="D8" s="59">
        <v>31906.25</v>
      </c>
      <c r="E8" s="55"/>
      <c r="F8" s="56">
        <v>22025</v>
      </c>
    </row>
    <row r="9" spans="1:6" ht="11.75" customHeight="1">
      <c r="A9" s="55" t="s">
        <v>330</v>
      </c>
      <c r="B9" s="55" t="s">
        <v>331</v>
      </c>
      <c r="C9" s="55" t="s">
        <v>329</v>
      </c>
      <c r="D9" s="56">
        <v>0</v>
      </c>
      <c r="E9" s="55"/>
      <c r="F9" s="56">
        <v>13500</v>
      </c>
    </row>
    <row r="10" spans="1:6" ht="11.75" customHeight="1">
      <c r="A10" s="55" t="s">
        <v>332</v>
      </c>
      <c r="B10" s="55" t="s">
        <v>333</v>
      </c>
      <c r="C10" s="55" t="s">
        <v>329</v>
      </c>
      <c r="D10" s="56">
        <v>0</v>
      </c>
      <c r="E10" s="55"/>
      <c r="F10" s="56">
        <v>8263.91</v>
      </c>
    </row>
    <row r="11" spans="1:6" ht="11.75" customHeight="1">
      <c r="A11" s="55" t="s">
        <v>334</v>
      </c>
      <c r="B11" s="55" t="s">
        <v>296</v>
      </c>
      <c r="C11" s="55" t="s">
        <v>329</v>
      </c>
      <c r="D11" s="56">
        <v>0</v>
      </c>
      <c r="E11" s="55"/>
      <c r="F11" s="56">
        <v>11726</v>
      </c>
    </row>
    <row r="12" spans="1:6" ht="11.75" customHeight="1">
      <c r="A12" s="55" t="s">
        <v>335</v>
      </c>
      <c r="B12" s="55" t="s">
        <v>297</v>
      </c>
      <c r="C12" s="55" t="s">
        <v>329</v>
      </c>
      <c r="D12" s="56">
        <v>7250</v>
      </c>
      <c r="E12" s="55"/>
      <c r="F12" s="56"/>
    </row>
    <row r="13" spans="1:6" ht="11.75" customHeight="1">
      <c r="A13" s="55" t="s">
        <v>336</v>
      </c>
      <c r="B13" s="55" t="s">
        <v>178</v>
      </c>
      <c r="C13" s="55" t="s">
        <v>329</v>
      </c>
      <c r="D13" s="56">
        <v>0</v>
      </c>
      <c r="E13" s="55"/>
      <c r="F13" s="56">
        <v>3404.62</v>
      </c>
    </row>
    <row r="14" spans="1:6" ht="11.75" customHeight="1">
      <c r="A14" s="55" t="s">
        <v>337</v>
      </c>
      <c r="B14" s="55" t="s">
        <v>314</v>
      </c>
      <c r="C14" s="55" t="s">
        <v>329</v>
      </c>
      <c r="D14" s="56">
        <v>2400</v>
      </c>
      <c r="E14" s="55"/>
      <c r="F14" s="56">
        <v>10200</v>
      </c>
    </row>
    <row r="15" spans="1:6" ht="11.75" customHeight="1">
      <c r="A15" s="55" t="s">
        <v>220</v>
      </c>
      <c r="B15" s="55" t="s">
        <v>338</v>
      </c>
      <c r="C15" s="55" t="s">
        <v>339</v>
      </c>
      <c r="D15" s="61">
        <v>1045976.86</v>
      </c>
      <c r="E15" s="55"/>
      <c r="F15" s="56">
        <v>439254.75</v>
      </c>
    </row>
    <row r="16" spans="1:6" ht="11.75" customHeight="1">
      <c r="A16" s="55" t="s">
        <v>229</v>
      </c>
      <c r="B16" s="55" t="s">
        <v>340</v>
      </c>
      <c r="C16" s="55" t="s">
        <v>339</v>
      </c>
      <c r="D16" s="61">
        <v>737478.5</v>
      </c>
      <c r="E16" s="55"/>
      <c r="F16" s="56">
        <v>24400</v>
      </c>
    </row>
    <row r="17" spans="1:6" ht="11.75" customHeight="1">
      <c r="A17" s="55" t="s">
        <v>237</v>
      </c>
      <c r="B17" s="55" t="s">
        <v>341</v>
      </c>
      <c r="C17" s="55" t="s">
        <v>339</v>
      </c>
      <c r="D17" s="61">
        <v>153472.03</v>
      </c>
      <c r="E17" s="55"/>
      <c r="F17" s="56">
        <v>19185</v>
      </c>
    </row>
    <row r="18" spans="1:6" ht="11.75" customHeight="1">
      <c r="A18" s="55" t="s">
        <v>239</v>
      </c>
      <c r="B18" s="55" t="s">
        <v>342</v>
      </c>
      <c r="C18" s="55" t="s">
        <v>339</v>
      </c>
      <c r="D18" s="61">
        <v>114370.5</v>
      </c>
      <c r="E18" s="55"/>
      <c r="F18" s="56">
        <v>0</v>
      </c>
    </row>
    <row r="19" spans="1:6" ht="11.75" customHeight="1">
      <c r="A19" s="55" t="s">
        <v>267</v>
      </c>
      <c r="B19" s="55" t="s">
        <v>343</v>
      </c>
      <c r="C19" s="55" t="s">
        <v>339</v>
      </c>
      <c r="D19" s="56">
        <v>7187757.9199999999</v>
      </c>
      <c r="E19" s="55"/>
      <c r="F19" s="56">
        <v>6423649.7999999998</v>
      </c>
    </row>
    <row r="20" spans="1:6" ht="11.75" customHeight="1">
      <c r="A20" s="55" t="s">
        <v>269</v>
      </c>
      <c r="B20" s="55" t="s">
        <v>344</v>
      </c>
      <c r="C20" s="55" t="s">
        <v>339</v>
      </c>
      <c r="D20" s="61">
        <v>1826086.96</v>
      </c>
      <c r="E20" s="55"/>
      <c r="F20" s="56">
        <v>0</v>
      </c>
    </row>
    <row r="21" spans="1:6" ht="11.75" customHeight="1">
      <c r="A21" s="55" t="s">
        <v>254</v>
      </c>
      <c r="B21" s="55" t="s">
        <v>345</v>
      </c>
      <c r="C21" s="55" t="s">
        <v>339</v>
      </c>
      <c r="D21" s="61">
        <v>2834.7</v>
      </c>
      <c r="E21" s="55"/>
      <c r="F21" s="56"/>
    </row>
    <row r="22" spans="1:6" ht="11.75" customHeight="1">
      <c r="A22" s="55" t="s">
        <v>243</v>
      </c>
      <c r="B22" s="55" t="s">
        <v>346</v>
      </c>
      <c r="C22" s="55" t="s">
        <v>339</v>
      </c>
      <c r="D22" s="61">
        <v>292753.14</v>
      </c>
      <c r="E22" s="55"/>
      <c r="F22" s="56">
        <v>0</v>
      </c>
    </row>
    <row r="23" spans="1:6" ht="11.75" customHeight="1">
      <c r="A23" s="55" t="s">
        <v>347</v>
      </c>
      <c r="B23" s="55" t="s">
        <v>348</v>
      </c>
      <c r="C23" s="55" t="s">
        <v>339</v>
      </c>
      <c r="D23" s="61">
        <v>66190.11</v>
      </c>
      <c r="E23" s="55"/>
      <c r="F23" s="56">
        <v>66190.11</v>
      </c>
    </row>
    <row r="24" spans="1:6" ht="11.75" customHeight="1">
      <c r="A24" s="55" t="s">
        <v>252</v>
      </c>
      <c r="B24" s="55" t="s">
        <v>349</v>
      </c>
      <c r="C24" s="55" t="s">
        <v>339</v>
      </c>
      <c r="D24" s="61">
        <v>1524185.76</v>
      </c>
      <c r="E24" s="55"/>
      <c r="F24" s="56">
        <v>1313735.8400000001</v>
      </c>
    </row>
    <row r="25" spans="1:6" ht="11.75" customHeight="1">
      <c r="A25" s="55" t="s">
        <v>263</v>
      </c>
      <c r="B25" s="55" t="s">
        <v>350</v>
      </c>
      <c r="C25" s="55" t="s">
        <v>339</v>
      </c>
      <c r="D25" s="61">
        <v>76530</v>
      </c>
      <c r="E25" s="55"/>
      <c r="F25" s="56">
        <v>30280</v>
      </c>
    </row>
    <row r="26" spans="1:6" ht="11.75" customHeight="1">
      <c r="A26" s="55" t="s">
        <v>351</v>
      </c>
      <c r="B26" s="55" t="s">
        <v>253</v>
      </c>
      <c r="C26" s="55" t="s">
        <v>339</v>
      </c>
      <c r="D26" s="61">
        <v>21600</v>
      </c>
      <c r="E26" s="55"/>
      <c r="F26" s="56">
        <v>14600</v>
      </c>
    </row>
    <row r="27" spans="1:6" ht="11.75" customHeight="1">
      <c r="A27" s="55" t="s">
        <v>352</v>
      </c>
      <c r="B27" s="55" t="s">
        <v>353</v>
      </c>
      <c r="C27" s="55" t="s">
        <v>339</v>
      </c>
      <c r="D27" s="61">
        <f>684782.6+217391.3</f>
        <v>902173.89999999991</v>
      </c>
      <c r="E27" s="55"/>
      <c r="F27" s="56">
        <v>684782.6</v>
      </c>
    </row>
    <row r="28" spans="1:6" ht="11.75" customHeight="1">
      <c r="A28" s="55" t="s">
        <v>354</v>
      </c>
      <c r="B28" s="55" t="s">
        <v>355</v>
      </c>
      <c r="C28" s="55" t="s">
        <v>339</v>
      </c>
      <c r="D28" s="61">
        <v>1130099.94</v>
      </c>
      <c r="E28" s="55"/>
      <c r="F28" s="56">
        <v>870391.34</v>
      </c>
    </row>
    <row r="29" spans="1:6" ht="11.75" customHeight="1">
      <c r="A29" s="55" t="s">
        <v>356</v>
      </c>
      <c r="B29" s="55" t="s">
        <v>357</v>
      </c>
      <c r="C29" s="55" t="s">
        <v>339</v>
      </c>
      <c r="D29" s="56">
        <v>20129115.75</v>
      </c>
      <c r="E29" s="55"/>
      <c r="F29" s="56">
        <v>40654.629999999997</v>
      </c>
    </row>
    <row r="30" spans="1:6" ht="11.75" customHeight="1">
      <c r="A30" s="55" t="s">
        <v>358</v>
      </c>
      <c r="B30" s="55" t="s">
        <v>359</v>
      </c>
      <c r="C30" s="55" t="s">
        <v>360</v>
      </c>
      <c r="D30" s="55"/>
      <c r="E30" s="56">
        <v>7749710.9800000004</v>
      </c>
      <c r="F30" s="56">
        <v>-5651321.4199999999</v>
      </c>
    </row>
    <row r="31" spans="1:6" ht="11.75" customHeight="1">
      <c r="A31" s="55" t="s">
        <v>361</v>
      </c>
      <c r="B31" s="55" t="s">
        <v>362</v>
      </c>
      <c r="C31" s="55" t="s">
        <v>363</v>
      </c>
      <c r="D31" s="55"/>
      <c r="E31" s="56">
        <v>27150933.100000001</v>
      </c>
      <c r="F31" s="56">
        <v>-5763346.25</v>
      </c>
    </row>
    <row r="32" spans="1:6" ht="11.75" customHeight="1">
      <c r="A32" s="55" t="s">
        <v>364</v>
      </c>
      <c r="B32" s="55" t="s">
        <v>365</v>
      </c>
      <c r="C32" s="55" t="s">
        <v>363</v>
      </c>
      <c r="D32" s="56">
        <v>4421020.12</v>
      </c>
      <c r="E32" s="55"/>
      <c r="F32" s="56">
        <v>1417745.48</v>
      </c>
    </row>
    <row r="33" spans="1:6" ht="11.75" customHeight="1">
      <c r="A33" s="55" t="s">
        <v>366</v>
      </c>
      <c r="B33" s="55" t="s">
        <v>367</v>
      </c>
      <c r="C33" s="55" t="s">
        <v>368</v>
      </c>
      <c r="D33" s="56">
        <v>69798.12</v>
      </c>
      <c r="E33" s="55"/>
      <c r="F33" s="56">
        <v>0</v>
      </c>
    </row>
    <row r="34" spans="1:6" ht="11.75" customHeight="1">
      <c r="A34" s="57" t="s">
        <v>228</v>
      </c>
      <c r="B34" s="57"/>
      <c r="C34" s="57"/>
      <c r="D34" s="58">
        <f>SUM(D6:D33)</f>
        <v>39757690.499999993</v>
      </c>
      <c r="E34" s="58">
        <f>SUM(E6:E33)</f>
        <v>34900644.079999998</v>
      </c>
      <c r="F34" s="58">
        <f>SUM(F6:F33)</f>
        <v>1.3969838619232178E-9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7"/>
  <sheetViews>
    <sheetView showGridLines="0" zoomScaleNormal="100" workbookViewId="0">
      <selection activeCell="D13" sqref="D13"/>
    </sheetView>
  </sheetViews>
  <sheetFormatPr baseColWidth="10" defaultColWidth="8.83203125" defaultRowHeight="12"/>
  <cols>
    <col min="1" max="1" width="14.1640625" style="49" customWidth="1"/>
    <col min="2" max="2" width="32.1640625" style="49" customWidth="1"/>
    <col min="3" max="3" width="15.6640625" style="49" customWidth="1"/>
    <col min="4" max="4" width="18.83203125" style="49" customWidth="1"/>
    <col min="5" max="5" width="19.6640625" style="49" customWidth="1"/>
    <col min="6" max="6" width="12.33203125" style="49" customWidth="1"/>
    <col min="7" max="8" width="8.83203125" style="49" customWidth="1"/>
    <col min="9" max="16384" width="8.83203125" style="49"/>
  </cols>
  <sheetData>
    <row r="1" spans="1:6" s="47" customFormat="1" ht="18" customHeight="1">
      <c r="A1" s="142" t="s">
        <v>317</v>
      </c>
      <c r="B1" s="143"/>
      <c r="C1" s="143"/>
      <c r="D1" s="143"/>
      <c r="E1" s="143"/>
      <c r="F1" s="143"/>
    </row>
    <row r="2" spans="1:6" s="48" customFormat="1" ht="15.5" customHeight="1">
      <c r="A2" s="144" t="s">
        <v>279</v>
      </c>
      <c r="B2" s="145"/>
      <c r="C2" s="145"/>
      <c r="D2" s="145"/>
      <c r="E2" s="145"/>
      <c r="F2" s="145"/>
    </row>
    <row r="3" spans="1:6" s="48" customFormat="1" ht="15.5" customHeight="1">
      <c r="A3" s="144" t="s">
        <v>369</v>
      </c>
      <c r="B3" s="145"/>
      <c r="C3" s="145"/>
      <c r="D3" s="145"/>
      <c r="E3" s="145"/>
      <c r="F3" s="145"/>
    </row>
    <row r="4" spans="1:6" ht="13.25" customHeight="1"/>
    <row r="5" spans="1:6" s="52" customFormat="1" ht="13" customHeight="1">
      <c r="A5" s="50" t="s">
        <v>318</v>
      </c>
      <c r="B5" s="50" t="s">
        <v>67</v>
      </c>
      <c r="C5" s="50" t="s">
        <v>319</v>
      </c>
      <c r="D5" s="51" t="s">
        <v>320</v>
      </c>
      <c r="E5" s="51" t="s">
        <v>321</v>
      </c>
      <c r="F5" s="51" t="s">
        <v>370</v>
      </c>
    </row>
    <row r="6" spans="1:6" ht="11.75" customHeight="1">
      <c r="A6" s="53" t="s">
        <v>323</v>
      </c>
      <c r="B6" s="53" t="s">
        <v>324</v>
      </c>
      <c r="C6" s="53" t="s">
        <v>325</v>
      </c>
      <c r="D6" s="60">
        <v>678.59</v>
      </c>
      <c r="E6" s="53"/>
      <c r="F6" s="54">
        <v>0</v>
      </c>
    </row>
    <row r="7" spans="1:6" ht="11.75" customHeight="1">
      <c r="A7" s="55" t="s">
        <v>328</v>
      </c>
      <c r="B7" s="55" t="s">
        <v>144</v>
      </c>
      <c r="C7" s="55" t="s">
        <v>329</v>
      </c>
      <c r="D7" s="59">
        <v>22025</v>
      </c>
      <c r="E7" s="55"/>
      <c r="F7" s="56">
        <v>0</v>
      </c>
    </row>
    <row r="8" spans="1:6" ht="11.75" customHeight="1">
      <c r="A8" s="55" t="s">
        <v>330</v>
      </c>
      <c r="B8" s="55" t="s">
        <v>331</v>
      </c>
      <c r="C8" s="55" t="s">
        <v>329</v>
      </c>
      <c r="D8" s="59">
        <v>13500</v>
      </c>
      <c r="E8" s="55"/>
      <c r="F8" s="56">
        <v>0</v>
      </c>
    </row>
    <row r="9" spans="1:6" ht="11.75" customHeight="1">
      <c r="A9" s="55" t="s">
        <v>332</v>
      </c>
      <c r="B9" s="55" t="s">
        <v>333</v>
      </c>
      <c r="C9" s="55" t="s">
        <v>329</v>
      </c>
      <c r="D9" s="59">
        <v>8263.91</v>
      </c>
      <c r="E9" s="55"/>
      <c r="F9" s="56">
        <v>0</v>
      </c>
    </row>
    <row r="10" spans="1:6" ht="11.75" customHeight="1">
      <c r="A10" s="55" t="s">
        <v>334</v>
      </c>
      <c r="B10" s="55" t="s">
        <v>296</v>
      </c>
      <c r="C10" s="55" t="s">
        <v>329</v>
      </c>
      <c r="D10" s="59">
        <v>11726</v>
      </c>
      <c r="E10" s="55"/>
      <c r="F10" s="56">
        <v>0</v>
      </c>
    </row>
    <row r="11" spans="1:6" ht="11.75" customHeight="1">
      <c r="A11" s="55" t="s">
        <v>336</v>
      </c>
      <c r="B11" s="55" t="s">
        <v>178</v>
      </c>
      <c r="C11" s="55" t="s">
        <v>329</v>
      </c>
      <c r="D11" s="59">
        <v>3404.62</v>
      </c>
      <c r="E11" s="55"/>
      <c r="F11" s="56">
        <v>0</v>
      </c>
    </row>
    <row r="12" spans="1:6" ht="11.75" customHeight="1">
      <c r="A12" s="55" t="s">
        <v>337</v>
      </c>
      <c r="B12" s="55" t="s">
        <v>314</v>
      </c>
      <c r="C12" s="55" t="s">
        <v>329</v>
      </c>
      <c r="D12" s="59">
        <v>10200</v>
      </c>
      <c r="E12" s="55"/>
      <c r="F12" s="56">
        <v>0</v>
      </c>
    </row>
    <row r="13" spans="1:6" ht="11.75" customHeight="1">
      <c r="A13" s="55" t="s">
        <v>220</v>
      </c>
      <c r="B13" s="55" t="s">
        <v>338</v>
      </c>
      <c r="C13" s="55" t="s">
        <v>339</v>
      </c>
      <c r="D13" s="56">
        <v>439254.75</v>
      </c>
      <c r="E13" s="55"/>
      <c r="F13" s="56">
        <v>0</v>
      </c>
    </row>
    <row r="14" spans="1:6" ht="11.75" customHeight="1">
      <c r="A14" s="55" t="s">
        <v>229</v>
      </c>
      <c r="B14" s="55" t="s">
        <v>340</v>
      </c>
      <c r="C14" s="55" t="s">
        <v>339</v>
      </c>
      <c r="D14" s="56">
        <v>24400</v>
      </c>
      <c r="E14" s="55"/>
      <c r="F14" s="56">
        <v>0</v>
      </c>
    </row>
    <row r="15" spans="1:6" ht="11.75" customHeight="1">
      <c r="A15" s="55" t="s">
        <v>237</v>
      </c>
      <c r="B15" s="55" t="s">
        <v>341</v>
      </c>
      <c r="C15" s="55" t="s">
        <v>339</v>
      </c>
      <c r="D15" s="56">
        <v>19185</v>
      </c>
      <c r="E15" s="55"/>
      <c r="F15" s="56">
        <v>0</v>
      </c>
    </row>
    <row r="16" spans="1:6" ht="11.75" customHeight="1">
      <c r="A16" s="55" t="s">
        <v>267</v>
      </c>
      <c r="B16" s="55" t="s">
        <v>343</v>
      </c>
      <c r="C16" s="55" t="s">
        <v>339</v>
      </c>
      <c r="D16" s="56">
        <v>6423649.7999999998</v>
      </c>
      <c r="E16" s="55"/>
      <c r="F16" s="56">
        <v>0</v>
      </c>
    </row>
    <row r="17" spans="1:6" ht="11.75" customHeight="1">
      <c r="A17" s="55" t="s">
        <v>347</v>
      </c>
      <c r="B17" s="55" t="s">
        <v>348</v>
      </c>
      <c r="C17" s="55" t="s">
        <v>339</v>
      </c>
      <c r="D17" s="56">
        <v>66190.11</v>
      </c>
      <c r="E17" s="55"/>
      <c r="F17" s="56">
        <v>0</v>
      </c>
    </row>
    <row r="18" spans="1:6" ht="11.75" customHeight="1">
      <c r="A18" s="55" t="s">
        <v>252</v>
      </c>
      <c r="B18" s="55" t="s">
        <v>349</v>
      </c>
      <c r="C18" s="55" t="s">
        <v>339</v>
      </c>
      <c r="D18" s="56">
        <v>1313735.8400000001</v>
      </c>
      <c r="E18" s="55"/>
      <c r="F18" s="56">
        <v>0</v>
      </c>
    </row>
    <row r="19" spans="1:6" ht="11.75" customHeight="1">
      <c r="A19" s="55" t="s">
        <v>263</v>
      </c>
      <c r="B19" s="55" t="s">
        <v>350</v>
      </c>
      <c r="C19" s="55" t="s">
        <v>339</v>
      </c>
      <c r="D19" s="56">
        <v>30280</v>
      </c>
      <c r="E19" s="55"/>
      <c r="F19" s="56">
        <v>0</v>
      </c>
    </row>
    <row r="20" spans="1:6" ht="11.75" customHeight="1">
      <c r="A20" s="55" t="s">
        <v>351</v>
      </c>
      <c r="B20" s="55" t="s">
        <v>253</v>
      </c>
      <c r="C20" s="55" t="s">
        <v>339</v>
      </c>
      <c r="D20" s="56">
        <v>14600</v>
      </c>
      <c r="E20" s="55"/>
      <c r="F20" s="56">
        <v>0</v>
      </c>
    </row>
    <row r="21" spans="1:6" ht="11.75" customHeight="1">
      <c r="A21" s="55" t="s">
        <v>352</v>
      </c>
      <c r="B21" s="55" t="s">
        <v>353</v>
      </c>
      <c r="C21" s="55" t="s">
        <v>339</v>
      </c>
      <c r="D21" s="56">
        <v>684782.6</v>
      </c>
      <c r="E21" s="55"/>
      <c r="F21" s="56">
        <v>0</v>
      </c>
    </row>
    <row r="22" spans="1:6" ht="11.75" customHeight="1">
      <c r="A22" s="55" t="s">
        <v>354</v>
      </c>
      <c r="B22" s="55" t="s">
        <v>371</v>
      </c>
      <c r="C22" s="55" t="s">
        <v>339</v>
      </c>
      <c r="D22" s="56">
        <v>870391.34</v>
      </c>
      <c r="E22" s="55"/>
      <c r="F22" s="56">
        <v>0</v>
      </c>
    </row>
    <row r="23" spans="1:6" ht="11.75" customHeight="1">
      <c r="A23" s="55" t="s">
        <v>356</v>
      </c>
      <c r="B23" s="55" t="s">
        <v>357</v>
      </c>
      <c r="C23" s="55" t="s">
        <v>339</v>
      </c>
      <c r="D23" s="56">
        <v>40654.629999999997</v>
      </c>
      <c r="E23" s="55"/>
      <c r="F23" s="56">
        <v>0</v>
      </c>
    </row>
    <row r="24" spans="1:6" ht="11.75" customHeight="1">
      <c r="A24" s="55" t="s">
        <v>358</v>
      </c>
      <c r="B24" s="55" t="s">
        <v>359</v>
      </c>
      <c r="C24" s="55" t="s">
        <v>360</v>
      </c>
      <c r="D24" s="55"/>
      <c r="E24" s="56">
        <v>5651321.4199999999</v>
      </c>
      <c r="F24" s="56">
        <v>0</v>
      </c>
    </row>
    <row r="25" spans="1:6" ht="11.75" customHeight="1">
      <c r="A25" s="55" t="s">
        <v>361</v>
      </c>
      <c r="B25" s="55" t="s">
        <v>362</v>
      </c>
      <c r="C25" s="55" t="s">
        <v>363</v>
      </c>
      <c r="D25" s="55"/>
      <c r="E25" s="56">
        <v>5763346.25</v>
      </c>
      <c r="F25" s="56">
        <v>0</v>
      </c>
    </row>
    <row r="26" spans="1:6" ht="11.75" customHeight="1">
      <c r="A26" s="55" t="s">
        <v>364</v>
      </c>
      <c r="B26" s="55" t="s">
        <v>365</v>
      </c>
      <c r="C26" s="55" t="s">
        <v>363</v>
      </c>
      <c r="D26" s="56">
        <v>1417745.48</v>
      </c>
      <c r="E26" s="55"/>
      <c r="F26" s="56">
        <v>0</v>
      </c>
    </row>
    <row r="27" spans="1:6" ht="11.75" customHeight="1">
      <c r="A27" s="57" t="s">
        <v>228</v>
      </c>
      <c r="B27" s="57"/>
      <c r="C27" s="57"/>
      <c r="D27" s="58">
        <f>SUM(D6:D26)</f>
        <v>11414667.670000002</v>
      </c>
      <c r="E27" s="58">
        <f>SUM(E6:E26)</f>
        <v>11414667.67</v>
      </c>
      <c r="F27" s="58">
        <f>SUM(F6:F26)</f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Heron View</vt:lpstr>
      <vt:lpstr>CPC</vt:lpstr>
      <vt:lpstr>CPC 24</vt:lpstr>
      <vt:lpstr>CPC 25</vt:lpstr>
      <vt:lpstr>DEVELOPERS FEES </vt:lpstr>
      <vt:lpstr>2024 Xero HV  </vt:lpstr>
      <vt:lpstr>2025 Xero HV</vt:lpstr>
      <vt:lpstr>TB HV 24</vt:lpstr>
      <vt:lpstr>TB HV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Wayne Bruton</cp:lastModifiedBy>
  <dcterms:created xsi:type="dcterms:W3CDTF">2022-11-25T13:48:44Z</dcterms:created>
  <dcterms:modified xsi:type="dcterms:W3CDTF">2023-10-12T12:02:38Z</dcterms:modified>
</cp:coreProperties>
</file>