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tsCloud\data_science\"/>
    </mc:Choice>
  </mc:AlternateContent>
  <xr:revisionPtr revIDLastSave="0" documentId="13_ncr:1_{65E57039-6313-46DE-B423-DD04BFBEF776}" xr6:coauthVersionLast="43" xr6:coauthVersionMax="43" xr10:uidLastSave="{00000000-0000-0000-0000-000000000000}"/>
  <bookViews>
    <workbookView xWindow="-120" yWindow="-120" windowWidth="21840" windowHeight="11460" activeTab="3" xr2:uid="{FE257B1E-4CF1-B449-A444-125C23C2FB09}"/>
  </bookViews>
  <sheets>
    <sheet name="Sheet1" sheetId="1" r:id="rId1"/>
    <sheet name="Sheet2" sheetId="2" r:id="rId2"/>
    <sheet name="LR" sheetId="3" r:id="rId3"/>
    <sheet name="XGBoost" sheetId="4" r:id="rId4"/>
  </sheets>
  <definedNames>
    <definedName name="_xlnm.Print_Area" localSheetId="3">XGBoost!$A$1:$M$36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7" i="1"/>
  <c r="E10" i="1"/>
  <c r="E9" i="1"/>
  <c r="E8" i="1"/>
  <c r="E7" i="1"/>
  <c r="E3" i="1"/>
  <c r="E4" i="1"/>
  <c r="E5" i="1"/>
  <c r="Q17" i="2"/>
  <c r="Q16" i="2"/>
  <c r="Q15" i="2"/>
  <c r="Q14" i="2"/>
  <c r="Q13" i="2"/>
  <c r="Q12" i="2"/>
  <c r="Q11" i="2"/>
  <c r="Q10" i="2"/>
  <c r="Q9" i="2"/>
  <c r="Q8" i="2"/>
  <c r="Q7" i="2"/>
  <c r="N14" i="2"/>
  <c r="N13" i="2"/>
  <c r="N12" i="2"/>
  <c r="N11" i="2"/>
  <c r="N10" i="2"/>
  <c r="N9" i="2"/>
  <c r="N8" i="2"/>
  <c r="N7" i="2"/>
  <c r="N20" i="2" l="1"/>
  <c r="M17" i="2"/>
  <c r="O17" i="2" s="1"/>
  <c r="M16" i="2"/>
  <c r="O16" i="2" s="1"/>
  <c r="M15" i="2"/>
  <c r="M14" i="2"/>
  <c r="O14" i="2" s="1"/>
  <c r="M13" i="2"/>
  <c r="O13" i="2" s="1"/>
  <c r="P13" i="2" s="1"/>
  <c r="M12" i="2"/>
  <c r="O12" i="2" s="1"/>
  <c r="P12" i="2" s="1"/>
  <c r="M11" i="2"/>
  <c r="O11" i="2" s="1"/>
  <c r="P11" i="2" s="1"/>
  <c r="M10" i="2"/>
  <c r="O10" i="2" s="1"/>
  <c r="P10" i="2" s="1"/>
  <c r="M9" i="2"/>
  <c r="O9" i="2" s="1"/>
  <c r="P9" i="2" s="1"/>
  <c r="M8" i="2"/>
  <c r="O8" i="2" s="1"/>
  <c r="P8" i="2" s="1"/>
  <c r="M7" i="2"/>
  <c r="O7" i="2" s="1"/>
  <c r="P7" i="2" s="1"/>
  <c r="B6" i="1"/>
  <c r="B9" i="1" s="1"/>
  <c r="B10" i="1" s="1"/>
  <c r="Z8" i="2"/>
  <c r="E6" i="1" s="1"/>
  <c r="Z10" i="2"/>
  <c r="P4" i="2"/>
  <c r="N21" i="2"/>
  <c r="N22" i="2"/>
  <c r="T28" i="2" l="1"/>
  <c r="M22" i="2"/>
  <c r="O15" i="2"/>
  <c r="P15" i="2" s="1"/>
  <c r="M21" i="2"/>
  <c r="AJ9" i="2"/>
  <c r="M20" i="2"/>
  <c r="D5" i="1"/>
  <c r="C5" i="1"/>
  <c r="C6" i="1"/>
  <c r="B5" i="1"/>
  <c r="B4" i="1" s="1"/>
  <c r="B3" i="1" s="1"/>
  <c r="D6" i="1"/>
  <c r="Z11" i="2"/>
  <c r="AL38" i="2" s="1"/>
  <c r="T27" i="2"/>
  <c r="AH8" i="2"/>
  <c r="T32" i="2"/>
  <c r="AH7" i="2"/>
  <c r="AH21" i="2" s="1"/>
  <c r="AH11" i="2"/>
  <c r="AH36" i="2" s="1"/>
  <c r="R11" i="2"/>
  <c r="P17" i="2"/>
  <c r="AH16" i="2" s="1"/>
  <c r="AH30" i="2" s="1"/>
  <c r="P14" i="2"/>
  <c r="AH12" i="2" s="1"/>
  <c r="P16" i="2"/>
  <c r="AH15" i="2" s="1"/>
  <c r="O20" i="2"/>
  <c r="O21" i="2"/>
  <c r="O22" i="2"/>
  <c r="T29" i="2" l="1"/>
  <c r="T30" i="2"/>
  <c r="T31" i="2"/>
  <c r="AJ15" i="2"/>
  <c r="R9" i="2"/>
  <c r="AH9" i="2"/>
  <c r="AJ16" i="2"/>
  <c r="AJ14" i="2"/>
  <c r="AH14" i="2"/>
  <c r="AJ10" i="2"/>
  <c r="AH10" i="2"/>
  <c r="AH29" i="2" s="1"/>
  <c r="AJ12" i="2"/>
  <c r="AH22" i="2"/>
  <c r="AJ11" i="2"/>
  <c r="R10" i="2"/>
  <c r="AJ7" i="2"/>
  <c r="AJ6" i="2"/>
  <c r="AH6" i="2"/>
  <c r="AH35" i="2" s="1"/>
  <c r="AJ8" i="2"/>
  <c r="AH5" i="2"/>
  <c r="AH28" i="2" s="1"/>
  <c r="AJ5" i="2"/>
  <c r="C7" i="1"/>
  <c r="D7" i="1"/>
  <c r="D4" i="1"/>
  <c r="C4" i="1"/>
  <c r="AI6" i="2"/>
  <c r="AI10" i="2"/>
  <c r="AI14" i="2"/>
  <c r="AI16" i="2"/>
  <c r="AI7" i="2"/>
  <c r="AI11" i="2"/>
  <c r="AI15" i="2"/>
  <c r="AI12" i="2"/>
  <c r="AI9" i="2"/>
  <c r="AI8" i="2"/>
  <c r="AI5" i="2"/>
  <c r="R14" i="2"/>
  <c r="U22" i="2"/>
  <c r="U26" i="2"/>
  <c r="U24" i="2"/>
  <c r="U25" i="2"/>
  <c r="U23" i="2"/>
  <c r="U3" i="2"/>
  <c r="U21" i="2"/>
  <c r="R13" i="2"/>
  <c r="U10" i="2"/>
  <c r="U14" i="2"/>
  <c r="U11" i="2"/>
  <c r="U4" i="2"/>
  <c r="U12" i="2"/>
  <c r="U5" i="2"/>
  <c r="U9" i="2"/>
  <c r="U13" i="2"/>
  <c r="R7" i="2"/>
  <c r="T4" i="2"/>
  <c r="T8" i="2"/>
  <c r="T3" i="2"/>
  <c r="T5" i="2"/>
  <c r="T6" i="2"/>
  <c r="T7" i="2"/>
  <c r="U18" i="2"/>
  <c r="U15" i="2"/>
  <c r="U19" i="2"/>
  <c r="U8" i="2"/>
  <c r="U16" i="2"/>
  <c r="U20" i="2"/>
  <c r="U17" i="2"/>
  <c r="R15" i="2"/>
  <c r="V12" i="2"/>
  <c r="V16" i="2"/>
  <c r="V20" i="2"/>
  <c r="V13" i="2"/>
  <c r="V21" i="2"/>
  <c r="V14" i="2"/>
  <c r="V11" i="2"/>
  <c r="V15" i="2"/>
  <c r="V19" i="2"/>
  <c r="V23" i="2"/>
  <c r="T16" i="2"/>
  <c r="T20" i="2"/>
  <c r="T19" i="2"/>
  <c r="T17" i="2"/>
  <c r="T18" i="2"/>
  <c r="T15" i="2"/>
  <c r="R16" i="2"/>
  <c r="V24" i="2"/>
  <c r="V28" i="2"/>
  <c r="V32" i="2"/>
  <c r="V25" i="2"/>
  <c r="V29" i="2"/>
  <c r="V22" i="2"/>
  <c r="V26" i="2"/>
  <c r="V30" i="2"/>
  <c r="V27" i="2"/>
  <c r="V31" i="2"/>
  <c r="R17" i="2"/>
  <c r="V4" i="2"/>
  <c r="V8" i="2"/>
  <c r="V5" i="2"/>
  <c r="V9" i="2"/>
  <c r="V17" i="2"/>
  <c r="V3" i="2"/>
  <c r="V6" i="2"/>
  <c r="V10" i="2"/>
  <c r="V18" i="2"/>
  <c r="V7" i="2"/>
  <c r="R8" i="2"/>
  <c r="T12" i="2"/>
  <c r="T10" i="2"/>
  <c r="T9" i="2"/>
  <c r="T13" i="2"/>
  <c r="T14" i="2"/>
  <c r="T11" i="2"/>
  <c r="R12" i="2"/>
  <c r="R21" i="2" s="1"/>
  <c r="U6" i="2"/>
  <c r="U30" i="2"/>
  <c r="U7" i="2"/>
  <c r="U27" i="2"/>
  <c r="AC27" i="2" s="1"/>
  <c r="AD27" i="2" s="1"/>
  <c r="U31" i="2"/>
  <c r="U28" i="2"/>
  <c r="AC28" i="2" s="1"/>
  <c r="AD28" i="2" s="1"/>
  <c r="U32" i="2"/>
  <c r="U29" i="2"/>
  <c r="T24" i="2"/>
  <c r="T22" i="2"/>
  <c r="T21" i="2"/>
  <c r="T25" i="2"/>
  <c r="T26" i="2"/>
  <c r="T23" i="2"/>
  <c r="AC24" i="2" l="1"/>
  <c r="AD24" i="2" s="1"/>
  <c r="AC26" i="2"/>
  <c r="AD26" i="2" s="1"/>
  <c r="AC13" i="2"/>
  <c r="AD13" i="2" s="1"/>
  <c r="AC18" i="2"/>
  <c r="AD18" i="2" s="1"/>
  <c r="AC16" i="2"/>
  <c r="AD16" i="2" s="1"/>
  <c r="AC7" i="2"/>
  <c r="AD7" i="2" s="1"/>
  <c r="AC23" i="2"/>
  <c r="AD23" i="2" s="1"/>
  <c r="AC22" i="2"/>
  <c r="AD22" i="2" s="1"/>
  <c r="AC14" i="2"/>
  <c r="AD14" i="2" s="1"/>
  <c r="AC12" i="2"/>
  <c r="AD12" i="2" s="1"/>
  <c r="AC32" i="2"/>
  <c r="AD32" i="2" s="1"/>
  <c r="AC15" i="2"/>
  <c r="AD15" i="2" s="1"/>
  <c r="AC20" i="2"/>
  <c r="AD20" i="2" s="1"/>
  <c r="AC3" i="2"/>
  <c r="AD3" i="2" s="1"/>
  <c r="AC29" i="2"/>
  <c r="AD29" i="2" s="1"/>
  <c r="R20" i="2"/>
  <c r="AC9" i="2"/>
  <c r="AD9" i="2" s="1"/>
  <c r="AC17" i="2"/>
  <c r="AD17" i="2" s="1"/>
  <c r="AC6" i="2"/>
  <c r="AD6" i="2" s="1"/>
  <c r="AC4" i="2"/>
  <c r="AD4" i="2" s="1"/>
  <c r="AC31" i="2"/>
  <c r="AD31" i="2" s="1"/>
  <c r="AC8" i="2"/>
  <c r="AD8" i="2" s="1"/>
  <c r="AC25" i="2"/>
  <c r="AD25" i="2" s="1"/>
  <c r="AC21" i="2"/>
  <c r="AD21" i="2" s="1"/>
  <c r="AC11" i="2"/>
  <c r="AD11" i="2" s="1"/>
  <c r="AC10" i="2"/>
  <c r="AD10" i="2" s="1"/>
  <c r="AC19" i="2"/>
  <c r="AD19" i="2" s="1"/>
  <c r="AC5" i="2"/>
  <c r="AD5" i="2" s="1"/>
  <c r="AC30" i="2"/>
  <c r="AD30" i="2" s="1"/>
  <c r="AH37" i="2"/>
  <c r="AH38" i="2" s="1"/>
  <c r="AH23" i="2"/>
  <c r="AH24" i="2" s="1"/>
  <c r="AH31" i="2"/>
  <c r="C3" i="1"/>
  <c r="D3" i="1"/>
  <c r="D8" i="1"/>
  <c r="C8" i="1"/>
  <c r="R22" i="2"/>
  <c r="C9" i="1" l="1"/>
  <c r="D9" i="1"/>
  <c r="D10" i="1" l="1"/>
  <c r="C10" i="1"/>
</calcChain>
</file>

<file path=xl/sharedStrings.xml><?xml version="1.0" encoding="utf-8"?>
<sst xmlns="http://schemas.openxmlformats.org/spreadsheetml/2006/main" count="296" uniqueCount="88">
  <si>
    <t>分值</t>
    <phoneticPr fontId="1" type="noConversion"/>
  </si>
  <si>
    <t>Odds（违约-正常）</t>
    <phoneticPr fontId="1" type="noConversion"/>
  </si>
  <si>
    <t>违约率（%）</t>
    <phoneticPr fontId="1" type="noConversion"/>
  </si>
  <si>
    <t>Age</t>
    <phoneticPr fontId="1" type="noConversion"/>
  </si>
  <si>
    <t>TaCA</t>
  </si>
  <si>
    <t>TaCA</t>
    <phoneticPr fontId="1" type="noConversion"/>
  </si>
  <si>
    <t>ES</t>
  </si>
  <si>
    <t>ES</t>
    <phoneticPr fontId="1" type="noConversion"/>
  </si>
  <si>
    <t>y</t>
    <phoneticPr fontId="1" type="noConversion"/>
  </si>
  <si>
    <t>Full Time</t>
  </si>
  <si>
    <t>Full Time</t>
    <phoneticPr fontId="1" type="noConversion"/>
  </si>
  <si>
    <t>Part Time</t>
  </si>
  <si>
    <t>Part Time</t>
    <phoneticPr fontId="1" type="noConversion"/>
  </si>
  <si>
    <t>Others</t>
  </si>
  <si>
    <t>Others</t>
    <phoneticPr fontId="1" type="noConversion"/>
  </si>
  <si>
    <t>WOE</t>
  </si>
  <si>
    <t>分组总数</t>
    <phoneticPr fontId="1" type="noConversion"/>
  </si>
  <si>
    <t>分组违约数</t>
    <phoneticPr fontId="1" type="noConversion"/>
  </si>
  <si>
    <t>分组正常数</t>
    <phoneticPr fontId="1" type="noConversion"/>
  </si>
  <si>
    <t>总体违约数</t>
    <phoneticPr fontId="1" type="noConversion"/>
  </si>
  <si>
    <t>总体正常数</t>
    <phoneticPr fontId="1" type="noConversion"/>
  </si>
  <si>
    <t>分组违约-正常比</t>
  </si>
  <si>
    <t>总体违约-正常比</t>
    <phoneticPr fontId="1" type="noConversion"/>
  </si>
  <si>
    <t>IV</t>
  </si>
  <si>
    <t>IV</t>
    <phoneticPr fontId="1" type="noConversion"/>
  </si>
  <si>
    <t>基础分</t>
    <phoneticPr fontId="1" type="noConversion"/>
  </si>
  <si>
    <t>违约翻倍分数变动</t>
    <phoneticPr fontId="1" type="noConversion"/>
  </si>
  <si>
    <t>A</t>
    <phoneticPr fontId="1" type="noConversion"/>
  </si>
  <si>
    <t>B</t>
    <phoneticPr fontId="1" type="noConversion"/>
  </si>
  <si>
    <t>比率</t>
    <phoneticPr fontId="1" type="noConversion"/>
  </si>
  <si>
    <t>Age_WOE</t>
    <phoneticPr fontId="1" type="noConversion"/>
  </si>
  <si>
    <t>TaCA_WOE</t>
    <phoneticPr fontId="1" type="noConversion"/>
  </si>
  <si>
    <t>ES_WOE</t>
    <phoneticPr fontId="1" type="noConversion"/>
  </si>
  <si>
    <t>LR截距</t>
    <phoneticPr fontId="1" type="noConversion"/>
  </si>
  <si>
    <t>LR系数_ES</t>
    <phoneticPr fontId="1" type="noConversion"/>
  </si>
  <si>
    <t>LR系数_TaCA</t>
    <phoneticPr fontId="1" type="noConversion"/>
  </si>
  <si>
    <t>LR系数_Age</t>
    <phoneticPr fontId="1" type="noConversion"/>
  </si>
  <si>
    <t>变量</t>
    <phoneticPr fontId="1" type="noConversion"/>
  </si>
  <si>
    <t>条件</t>
    <phoneticPr fontId="1" type="noConversion"/>
  </si>
  <si>
    <t>IF AGE &lt; 25</t>
  </si>
  <si>
    <t>IF AGE &lt; 25</t>
    <phoneticPr fontId="1" type="noConversion"/>
  </si>
  <si>
    <t>IF AGE ≥25 且 AGE &lt; 33</t>
  </si>
  <si>
    <t>IF AGE ≥25 且 AGE &lt; 33</t>
    <phoneticPr fontId="1" type="noConversion"/>
  </si>
  <si>
    <t>IF AGE ≥56</t>
    <phoneticPr fontId="1" type="noConversion"/>
  </si>
  <si>
    <t>IF AGE ≥48 且 AGE &lt; 56</t>
    <phoneticPr fontId="1" type="noConversion"/>
  </si>
  <si>
    <t>IF AGE ≥33 且 AGE &lt; 48</t>
  </si>
  <si>
    <t>IF AGE ≥33 且 AGE &lt; 48</t>
    <phoneticPr fontId="1" type="noConversion"/>
  </si>
  <si>
    <t>IF TaCA &lt; 1</t>
  </si>
  <si>
    <t>IF TaCA &lt; 1</t>
    <phoneticPr fontId="1" type="noConversion"/>
  </si>
  <si>
    <t>IF TaCA ≥1 且 TaCA &lt; 3</t>
  </si>
  <si>
    <t>IF TaCA ≥1 且 TaCA &lt; 3</t>
    <phoneticPr fontId="1" type="noConversion"/>
  </si>
  <si>
    <t>IF TaCA ≥5</t>
  </si>
  <si>
    <t>IF ES = "Full Time"</t>
  </si>
  <si>
    <t>IF ES = "Full Time"</t>
    <phoneticPr fontId="1" type="noConversion"/>
  </si>
  <si>
    <t>IF ES = "Part Time"</t>
    <phoneticPr fontId="1" type="noConversion"/>
  </si>
  <si>
    <t>IF ES = "Others"</t>
  </si>
  <si>
    <t>IF ES = "Others"</t>
    <phoneticPr fontId="1" type="noConversion"/>
  </si>
  <si>
    <t>python的逻辑回归（LR）模型</t>
    <phoneticPr fontId="1" type="noConversion"/>
  </si>
  <si>
    <t>跑出LR的系数和截距：</t>
    <phoneticPr fontId="1" type="noConversion"/>
  </si>
  <si>
    <t>以D-G列为X、y，输入</t>
    <phoneticPr fontId="1" type="noConversion"/>
  </si>
  <si>
    <t>总分</t>
    <phoneticPr fontId="1" type="noConversion"/>
  </si>
  <si>
    <t>测算变量</t>
    <phoneticPr fontId="1" type="noConversion"/>
  </si>
  <si>
    <t>测算值（处理成分类值）</t>
    <phoneticPr fontId="1" type="noConversion"/>
  </si>
  <si>
    <t>评分</t>
    <phoneticPr fontId="1" type="noConversion"/>
  </si>
  <si>
    <t>变量测算（最好）</t>
    <phoneticPr fontId="1" type="noConversion"/>
  </si>
  <si>
    <t>变量测算（最差）</t>
    <phoneticPr fontId="1" type="noConversion"/>
  </si>
  <si>
    <t>变量测算（普通）</t>
    <phoneticPr fontId="1" type="noConversion"/>
  </si>
  <si>
    <t>proba(x)</t>
    <phoneticPr fontId="1" type="noConversion"/>
  </si>
  <si>
    <t>Age_Chi</t>
    <phoneticPr fontId="1" type="noConversion"/>
  </si>
  <si>
    <t>TaCA_Chi</t>
    <phoneticPr fontId="1" type="noConversion"/>
  </si>
  <si>
    <t>ES_Chi</t>
    <phoneticPr fontId="1" type="noConversion"/>
  </si>
  <si>
    <t>分组</t>
    <phoneticPr fontId="1" type="noConversion"/>
  </si>
  <si>
    <t>样本总数</t>
    <phoneticPr fontId="1" type="noConversion"/>
  </si>
  <si>
    <t>样本违约数</t>
    <phoneticPr fontId="1" type="noConversion"/>
  </si>
  <si>
    <t>样本正常数</t>
    <phoneticPr fontId="1" type="noConversion"/>
  </si>
  <si>
    <t>pred_proba</t>
    <phoneticPr fontId="1" type="noConversion"/>
  </si>
  <si>
    <t>pred_LN(Odds)</t>
    <phoneticPr fontId="1" type="noConversion"/>
  </si>
  <si>
    <t>bin1_[-inf, 26)</t>
  </si>
  <si>
    <t>bin2_[0, 5)</t>
  </si>
  <si>
    <t>bin1_[-inf, 0)</t>
  </si>
  <si>
    <t>bin3_[5, inf)</t>
  </si>
  <si>
    <t>bin2_[26, 30)</t>
  </si>
  <si>
    <t>bin3_[30, 36)</t>
  </si>
  <si>
    <t>bin4_[36, 53)</t>
  </si>
  <si>
    <t>bin5_[53, inf)</t>
  </si>
  <si>
    <t>叶节点</t>
    <phoneticPr fontId="1" type="noConversion"/>
  </si>
  <si>
    <t>样本</t>
    <phoneticPr fontId="1" type="noConversion"/>
  </si>
  <si>
    <t>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</si>
</sst>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.000"/>
    <numFmt numFmtId="178" formatCode="0.0%"/>
  </numFmts>
  <fonts count="10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4"/>
      <color rgb="FF6372E6"/>
      <name val="等线"/>
      <family val="4"/>
      <charset val="134"/>
      <scheme val="minor"/>
    </font>
    <font>
      <b/>
      <sz val="14"/>
      <color theme="9"/>
      <name val="等线"/>
      <family val="4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name val="等线"/>
      <family val="2"/>
      <charset val="134"/>
      <scheme val="minor"/>
    </font>
    <font>
      <sz val="12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15" xfId="0" applyFill="1" applyBorder="1">
      <alignment vertical="center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9" xfId="0" applyFill="1" applyBorder="1" applyAlignment="1">
      <alignment horizontal="left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16" xfId="0" applyNumberForma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" fontId="0" fillId="2" borderId="0" xfId="0" applyNumberFormat="1" applyFill="1">
      <alignment vertical="center"/>
    </xf>
    <xf numFmtId="1" fontId="0" fillId="2" borderId="0" xfId="0" applyNumberFormat="1" applyFill="1" applyAlignment="1">
      <alignment horizontal="center" vertical="center"/>
    </xf>
    <xf numFmtId="178" fontId="0" fillId="2" borderId="7" xfId="1" applyNumberFormat="1" applyFont="1" applyFill="1" applyBorder="1" applyAlignment="1">
      <alignment horizontal="center" vertical="center"/>
    </xf>
    <xf numFmtId="178" fontId="0" fillId="2" borderId="10" xfId="1" applyNumberFormat="1" applyFont="1" applyFill="1" applyBorder="1" applyAlignment="1">
      <alignment horizontal="center" vertical="center"/>
    </xf>
    <xf numFmtId="178" fontId="0" fillId="2" borderId="13" xfId="1" applyNumberFormat="1" applyFont="1" applyFill="1" applyBorder="1" applyAlignment="1">
      <alignment horizontal="center" vertical="center"/>
    </xf>
    <xf numFmtId="178" fontId="3" fillId="2" borderId="10" xfId="1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8" fillId="2" borderId="20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637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</xdr:colOff>
      <xdr:row>11</xdr:row>
      <xdr:rowOff>196850</xdr:rowOff>
    </xdr:from>
    <xdr:ext cx="4273550" cy="1073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8BF0DA5F-99B2-9E4C-96B4-EF8B2620A809}"/>
                </a:ext>
              </a:extLst>
            </xdr:cNvPr>
            <xdr:cNvSpPr txBox="1"/>
          </xdr:nvSpPr>
          <xdr:spPr>
            <a:xfrm>
              <a:off x="857250" y="5505450"/>
              <a:ext cx="4273550" cy="1073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zh-CN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𝑆𝑐𝑜𝑟𝑒</m:t>
                    </m:r>
                    <m:r>
                      <a:rPr lang="en-US" altLang="zh-CN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zh-CN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US" altLang="zh-CN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altLang="zh-CN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begChr m:val="{"/>
                        <m:endChr m:val="}"/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𝛽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11</m:t>
                                    </m:r>
                                  </m:sub>
                                </m:sSub>
                              </m:e>
                            </m:d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11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𝛽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12</m:t>
                                    </m:r>
                                  </m:sub>
                                </m:sSub>
                              </m:e>
                            </m:d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12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⋯</m:t>
                            </m:r>
                          </m:e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⋯</m:t>
                            </m:r>
                          </m:e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𝛽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𝑝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𝑝</m:t>
                                    </m:r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𝑝</m:t>
                                </m:r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𝛽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𝑝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𝑝</m:t>
                                    </m:r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𝑝</m:t>
                                </m:r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+⋯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zh-CN" alt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8BF0DA5F-99B2-9E4C-96B4-EF8B2620A809}"/>
                </a:ext>
              </a:extLst>
            </xdr:cNvPr>
            <xdr:cNvSpPr txBox="1"/>
          </xdr:nvSpPr>
          <xdr:spPr>
            <a:xfrm>
              <a:off x="857250" y="5505450"/>
              <a:ext cx="4273550" cy="1073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n-US" altLang="zh-CN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𝑆𝑐𝑜𝑟𝑒=𝐴−𝐵{█(𝛽_0@+(𝛽_1 𝑤_11 ) 𝛿_11+(𝛽_1 𝑤_12 ) 𝛿_12+</a:t>
              </a:r>
              <a:r>
                <a:rPr lang="en-US" altLang="zh-CN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⋯@⋯@+(𝛽_𝑝 𝑤_𝑝1 ) 𝛿_𝑝1+(𝛽_𝑝 𝑤_𝑝2 ) 𝛿_𝑝2+⋯)</a:t>
              </a:r>
              <a:r>
                <a:rPr lang="en-US" altLang="zh-CN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}</a:t>
              </a:r>
              <a:endParaRPr lang="zh-CN" alt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107950</xdr:colOff>
      <xdr:row>18</xdr:row>
      <xdr:rowOff>57150</xdr:rowOff>
    </xdr:from>
    <xdr:ext cx="3790950" cy="946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E31B26E1-551C-5A47-B2B9-80D167BF5AB2}"/>
                </a:ext>
              </a:extLst>
            </xdr:cNvPr>
            <xdr:cNvSpPr txBox="1"/>
          </xdr:nvSpPr>
          <xdr:spPr>
            <a:xfrm>
              <a:off x="933450" y="6788150"/>
              <a:ext cx="3790950" cy="946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zh-CN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𝑆𝑐𝑜𝑟𝑒</m:t>
                    </m:r>
                    <m:r>
                      <a:rPr lang="en-US" altLang="zh-CN" sz="1100" b="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altLang="zh-CN" sz="1100" b="0" i="0">
                            <a:latin typeface="Cambria Math" panose="02040503050406030204" pitchFamily="18" charset="0"/>
                          </a:rPr>
                          <m:t>A</m:t>
                        </m:r>
                        <m:r>
                          <a:rPr lang="en-US" altLang="zh-CN" sz="1100" b="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n-US" altLang="zh-CN" sz="1100" b="0" i="0">
                            <a:latin typeface="Cambria Math" panose="02040503050406030204" pitchFamily="18" charset="0"/>
                          </a:rPr>
                          <m:t>B</m:t>
                        </m:r>
                        <m:sSub>
                          <m:sSub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altLang="zh-CN" sz="1100" b="0" i="1">
                <a:latin typeface="Cambria Math" panose="02040503050406030204" pitchFamily="18" charset="0"/>
              </a:endParaRPr>
            </a:p>
            <a:p>
              <a:r>
                <a:rPr lang="en-US" altLang="zh-CN" sz="1100" b="0"/>
                <a:t>            </a:t>
              </a:r>
              <a14:m>
                <m:oMath xmlns:m="http://schemas.openxmlformats.org/officeDocument/2006/math">
                  <m:r>
                    <a:rPr lang="en-US" altLang="zh-CN" sz="1100" b="0" i="0">
                      <a:latin typeface="Cambria Math" panose="02040503050406030204" pitchFamily="18" charset="0"/>
                    </a:rPr>
                    <m:t>− </m:t>
                  </m:r>
                  <m:d>
                    <m:dPr>
                      <m:ctrlPr>
                        <a:rPr lang="en-US" altLang="zh-CN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lang="en-US" altLang="zh-CN" sz="1100" b="0" i="0">
                          <a:latin typeface="Cambria Math" panose="02040503050406030204" pitchFamily="18" charset="0"/>
                        </a:rPr>
                        <m:t>B</m:t>
                      </m:r>
                      <m:sSub>
                        <m:sSubPr>
                          <m:ctrlPr>
                            <a:rPr lang="en-US" altLang="zh-C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CN" sz="1100" b="0" i="1">
                              <a:latin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n-US" altLang="zh-CN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sSub>
                        <m:sSubPr>
                          <m:ctrlPr>
                            <a:rPr lang="en-US" altLang="zh-C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CN" sz="1100" b="0" i="1">
                              <a:latin typeface="Cambria Math" panose="02040503050406030204" pitchFamily="18" charset="0"/>
                            </a:rPr>
                            <m:t>𝑤</m:t>
                          </m:r>
                        </m:e>
                        <m:sub>
                          <m:r>
                            <a:rPr lang="en-US" altLang="zh-CN" sz="1100" b="0" i="1">
                              <a:latin typeface="Cambria Math" panose="02040503050406030204" pitchFamily="18" charset="0"/>
                            </a:rPr>
                            <m:t>11</m:t>
                          </m:r>
                        </m:sub>
                      </m:sSub>
                    </m:e>
                  </m:d>
                  <m:sSub>
                    <m:sSubPr>
                      <m:ctrlPr>
                        <a:rPr lang="en-US" altLang="zh-CN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𝛿</m:t>
                      </m:r>
                    </m:e>
                    <m:sub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11</m:t>
                      </m:r>
                    </m:sub>
                  </m:sSub>
                  <m:r>
                    <a:rPr lang="en-US" altLang="zh-CN" sz="1100" b="0" i="1">
                      <a:latin typeface="Cambria Math" panose="02040503050406030204" pitchFamily="18" charset="0"/>
                    </a:rPr>
                    <m:t>−</m:t>
                  </m:r>
                  <m:d>
                    <m:dPr>
                      <m:ctrlPr>
                        <a:rPr lang="en-US" altLang="zh-CN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𝐵</m:t>
                      </m:r>
                      <m:sSub>
                        <m:sSubPr>
                          <m:ctrlPr>
                            <a:rPr lang="en-US" altLang="zh-C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CN" sz="1100" b="0" i="1">
                              <a:latin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n-US" altLang="zh-CN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sSub>
                        <m:sSubPr>
                          <m:ctrlPr>
                            <a:rPr lang="en-US" altLang="zh-C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altLang="zh-CN" sz="1100" b="0" i="0">
                              <a:latin typeface="Cambria Math" panose="02040503050406030204" pitchFamily="18" charset="0"/>
                            </a:rPr>
                            <m:t>w</m:t>
                          </m:r>
                        </m:e>
                        <m:sub>
                          <m:r>
                            <a:rPr lang="en-US" altLang="zh-CN" sz="1100" b="0" i="0">
                              <a:latin typeface="Cambria Math" panose="02040503050406030204" pitchFamily="18" charset="0"/>
                            </a:rPr>
                            <m:t>12</m:t>
                          </m:r>
                        </m:sub>
                      </m:sSub>
                    </m:e>
                  </m:d>
                  <m:sSub>
                    <m:sSubPr>
                      <m:ctrlPr>
                        <a:rPr lang="en-US" altLang="zh-CN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𝛿</m:t>
                      </m:r>
                    </m:e>
                    <m:sub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12</m:t>
                      </m:r>
                    </m:sub>
                  </m:sSub>
                  <m:r>
                    <a:rPr lang="en-US" altLang="zh-CN" sz="11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n-US" altLang="zh-CN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⋯</m:t>
                  </m:r>
                </m:oMath>
              </a14:m>
              <a:endParaRPr lang="en-US" altLang="zh-CN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       − ⋯</m:t>
                    </m:r>
                  </m:oMath>
                </m:oMathPara>
              </a14:m>
              <a:endParaRPr lang="en-US" altLang="zh-CN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       − </m:t>
                    </m:r>
                    <m:d>
                      <m:dPr>
                        <m:ctrlP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  <m:sSub>
                          <m:sSub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  <m:sSub>
                          <m:sSub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−⋯</m:t>
                    </m:r>
                  </m:oMath>
                </m:oMathPara>
              </a14:m>
              <a:endParaRPr lang="en-US" altLang="zh-CN" sz="1100" b="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E31B26E1-551C-5A47-B2B9-80D167BF5AB2}"/>
                </a:ext>
              </a:extLst>
            </xdr:cNvPr>
            <xdr:cNvSpPr txBox="1"/>
          </xdr:nvSpPr>
          <xdr:spPr>
            <a:xfrm>
              <a:off x="933450" y="6788150"/>
              <a:ext cx="3790950" cy="946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CN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𝑆𝑐𝑜𝑟𝑒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=(A−B𝛽_0 )</a:t>
              </a:r>
              <a:endParaRPr lang="en-US" altLang="zh-CN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altLang="zh-CN" sz="1100" b="0"/>
                <a:t>            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− (B𝛽_1 𝑤_11 ) 𝛿_11−(𝐵𝛽_1 w_12 ) 𝛿_12−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⋯</a:t>
              </a:r>
              <a:endParaRPr lang="en-US" altLang="zh-CN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           − ⋯</a:t>
              </a:r>
              <a:endParaRPr lang="en-US" altLang="zh-CN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           − (𝐵𝛽_𝑝 𝑤_𝑝1 ) 𝛿_𝑝1−(𝐵𝛽_𝑝 𝑤_𝑝2 ) 𝛿_𝑝2−⋯</a:t>
              </a:r>
              <a:endParaRPr lang="en-US" altLang="zh-CN" sz="1100" b="0"/>
            </a:p>
          </xdr:txBody>
        </xdr:sp>
      </mc:Fallback>
    </mc:AlternateContent>
    <xdr:clientData/>
  </xdr:oneCellAnchor>
  <xdr:twoCellAnchor>
    <xdr:from>
      <xdr:col>1</xdr:col>
      <xdr:colOff>88900</xdr:colOff>
      <xdr:row>25</xdr:row>
      <xdr:rowOff>152400</xdr:rowOff>
    </xdr:from>
    <xdr:to>
      <xdr:col>5</xdr:col>
      <xdr:colOff>101600</xdr:colOff>
      <xdr:row>52</xdr:row>
      <xdr:rowOff>50800</xdr:rowOff>
    </xdr:to>
    <xdr:grpSp>
      <xdr:nvGrpSpPr>
        <xdr:cNvPr id="36" name="组合 35">
          <a:extLst>
            <a:ext uri="{FF2B5EF4-FFF2-40B4-BE49-F238E27FC236}">
              <a16:creationId xmlns:a16="http://schemas.microsoft.com/office/drawing/2014/main" id="{20CCDC82-9FC4-6945-B3FB-29A195DB597F}"/>
            </a:ext>
          </a:extLst>
        </xdr:cNvPr>
        <xdr:cNvGrpSpPr/>
      </xdr:nvGrpSpPr>
      <xdr:grpSpPr>
        <a:xfrm>
          <a:off x="917575" y="5591175"/>
          <a:ext cx="4775200" cy="5299075"/>
          <a:chOff x="914400" y="5676900"/>
          <a:chExt cx="4762500" cy="5384800"/>
        </a:xfrm>
      </xdr:grpSpPr>
      <xdr:cxnSp macro="">
        <xdr:nvCxnSpPr>
          <xdr:cNvPr id="7" name="直线连接符 6">
            <a:extLst>
              <a:ext uri="{FF2B5EF4-FFF2-40B4-BE49-F238E27FC236}">
                <a16:creationId xmlns:a16="http://schemas.microsoft.com/office/drawing/2014/main" id="{06062A7A-0300-C940-9B83-9A38AC505946}"/>
              </a:ext>
            </a:extLst>
          </xdr:cNvPr>
          <xdr:cNvCxnSpPr/>
        </xdr:nvCxnSpPr>
        <xdr:spPr>
          <a:xfrm>
            <a:off x="914400" y="5676900"/>
            <a:ext cx="47498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线连接符 7">
            <a:extLst>
              <a:ext uri="{FF2B5EF4-FFF2-40B4-BE49-F238E27FC236}">
                <a16:creationId xmlns:a16="http://schemas.microsoft.com/office/drawing/2014/main" id="{384A284C-DE5C-A74D-8E52-89D858E2497C}"/>
              </a:ext>
            </a:extLst>
          </xdr:cNvPr>
          <xdr:cNvCxnSpPr/>
        </xdr:nvCxnSpPr>
        <xdr:spPr>
          <a:xfrm>
            <a:off x="914400" y="11061700"/>
            <a:ext cx="47498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线连接符 8">
            <a:extLst>
              <a:ext uri="{FF2B5EF4-FFF2-40B4-BE49-F238E27FC236}">
                <a16:creationId xmlns:a16="http://schemas.microsoft.com/office/drawing/2014/main" id="{EA1B3B05-98FE-A941-A208-07D97D807C4E}"/>
              </a:ext>
            </a:extLst>
          </xdr:cNvPr>
          <xdr:cNvCxnSpPr/>
        </xdr:nvCxnSpPr>
        <xdr:spPr>
          <a:xfrm>
            <a:off x="914400" y="6019800"/>
            <a:ext cx="4749800" cy="0"/>
          </a:xfrm>
          <a:prstGeom prst="line">
            <a:avLst/>
          </a:prstGeom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线连接符 9">
            <a:extLst>
              <a:ext uri="{FF2B5EF4-FFF2-40B4-BE49-F238E27FC236}">
                <a16:creationId xmlns:a16="http://schemas.microsoft.com/office/drawing/2014/main" id="{177D29D6-5882-1140-89E4-15EE97873EEE}"/>
              </a:ext>
            </a:extLst>
          </xdr:cNvPr>
          <xdr:cNvCxnSpPr/>
        </xdr:nvCxnSpPr>
        <xdr:spPr>
          <a:xfrm>
            <a:off x="927100" y="6362700"/>
            <a:ext cx="4749800" cy="0"/>
          </a:xfrm>
          <a:prstGeom prst="line">
            <a:avLst/>
          </a:prstGeom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线连接符 10">
            <a:extLst>
              <a:ext uri="{FF2B5EF4-FFF2-40B4-BE49-F238E27FC236}">
                <a16:creationId xmlns:a16="http://schemas.microsoft.com/office/drawing/2014/main" id="{73BF7F54-5628-6C4F-AD96-9E59C2960414}"/>
              </a:ext>
            </a:extLst>
          </xdr:cNvPr>
          <xdr:cNvCxnSpPr/>
        </xdr:nvCxnSpPr>
        <xdr:spPr>
          <a:xfrm>
            <a:off x="927100" y="7708900"/>
            <a:ext cx="4749800" cy="0"/>
          </a:xfrm>
          <a:prstGeom prst="line">
            <a:avLst/>
          </a:prstGeom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直线连接符 23">
            <a:extLst>
              <a:ext uri="{FF2B5EF4-FFF2-40B4-BE49-F238E27FC236}">
                <a16:creationId xmlns:a16="http://schemas.microsoft.com/office/drawing/2014/main" id="{46626435-FCE5-1146-9A19-F73F8B550186}"/>
              </a:ext>
            </a:extLst>
          </xdr:cNvPr>
          <xdr:cNvCxnSpPr/>
        </xdr:nvCxnSpPr>
        <xdr:spPr>
          <a:xfrm>
            <a:off x="914400" y="9258300"/>
            <a:ext cx="4749800" cy="0"/>
          </a:xfrm>
          <a:prstGeom prst="line">
            <a:avLst/>
          </a:prstGeom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直线连接符 24">
            <a:extLst>
              <a:ext uri="{FF2B5EF4-FFF2-40B4-BE49-F238E27FC236}">
                <a16:creationId xmlns:a16="http://schemas.microsoft.com/office/drawing/2014/main" id="{CE7746D6-6428-6948-ABE5-E9621DD9187B}"/>
              </a:ext>
            </a:extLst>
          </xdr:cNvPr>
          <xdr:cNvCxnSpPr/>
        </xdr:nvCxnSpPr>
        <xdr:spPr>
          <a:xfrm>
            <a:off x="927100" y="9601200"/>
            <a:ext cx="4749800" cy="0"/>
          </a:xfrm>
          <a:prstGeom prst="line">
            <a:avLst/>
          </a:prstGeom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直线连接符 29">
            <a:extLst>
              <a:ext uri="{FF2B5EF4-FFF2-40B4-BE49-F238E27FC236}">
                <a16:creationId xmlns:a16="http://schemas.microsoft.com/office/drawing/2014/main" id="{665E1B0F-DD78-0C45-B841-8266BE10EC59}"/>
              </a:ext>
            </a:extLst>
          </xdr:cNvPr>
          <xdr:cNvCxnSpPr/>
        </xdr:nvCxnSpPr>
        <xdr:spPr>
          <a:xfrm>
            <a:off x="2133600" y="5702300"/>
            <a:ext cx="0" cy="5346700"/>
          </a:xfrm>
          <a:prstGeom prst="line">
            <a:avLst/>
          </a:prstGeom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线连接符 34">
            <a:extLst>
              <a:ext uri="{FF2B5EF4-FFF2-40B4-BE49-F238E27FC236}">
                <a16:creationId xmlns:a16="http://schemas.microsoft.com/office/drawing/2014/main" id="{4222991F-ACA4-434C-A6E3-D2AD9F77CF34}"/>
              </a:ext>
            </a:extLst>
          </xdr:cNvPr>
          <xdr:cNvCxnSpPr/>
        </xdr:nvCxnSpPr>
        <xdr:spPr>
          <a:xfrm>
            <a:off x="4025900" y="5689600"/>
            <a:ext cx="0" cy="5346700"/>
          </a:xfrm>
          <a:prstGeom prst="line">
            <a:avLst/>
          </a:prstGeom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203200</xdr:colOff>
      <xdr:row>26</xdr:row>
      <xdr:rowOff>25400</xdr:rowOff>
    </xdr:from>
    <xdr:to>
      <xdr:col>5</xdr:col>
      <xdr:colOff>38100</xdr:colOff>
      <xdr:row>53</xdr:row>
      <xdr:rowOff>12700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id="{EB67C9D4-5F64-CE4E-A3BE-D7768DFC2E1D}"/>
            </a:ext>
          </a:extLst>
        </xdr:cNvPr>
        <xdr:cNvGrpSpPr/>
      </xdr:nvGrpSpPr>
      <xdr:grpSpPr>
        <a:xfrm>
          <a:off x="1031875" y="5664200"/>
          <a:ext cx="4597400" cy="5387975"/>
          <a:chOff x="1028700" y="5715000"/>
          <a:chExt cx="4584700" cy="5473700"/>
        </a:xfrm>
      </xdr:grpSpPr>
      <xdr:grpSp>
        <xdr:nvGrpSpPr>
          <xdr:cNvPr id="37" name="组合 36">
            <a:extLst>
              <a:ext uri="{FF2B5EF4-FFF2-40B4-BE49-F238E27FC236}">
                <a16:creationId xmlns:a16="http://schemas.microsoft.com/office/drawing/2014/main" id="{7759CB6E-EE9D-1C4D-A795-7FB736CB42CD}"/>
              </a:ext>
            </a:extLst>
          </xdr:cNvPr>
          <xdr:cNvGrpSpPr/>
        </xdr:nvGrpSpPr>
        <xdr:grpSpPr>
          <a:xfrm>
            <a:off x="1028700" y="5715000"/>
            <a:ext cx="4584700" cy="5473700"/>
            <a:chOff x="1028700" y="5715000"/>
            <a:chExt cx="4584700" cy="5473700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" name="文本框 1">
                  <a:extLst>
                    <a:ext uri="{FF2B5EF4-FFF2-40B4-BE49-F238E27FC236}">
                      <a16:creationId xmlns:a16="http://schemas.microsoft.com/office/drawing/2014/main" id="{2F3E9070-33E4-D748-B8AD-90F403EBDEED}"/>
                    </a:ext>
                  </a:extLst>
                </xdr:cNvPr>
                <xdr:cNvSpPr txBox="1"/>
              </xdr:nvSpPr>
              <xdr:spPr>
                <a:xfrm>
                  <a:off x="4502150" y="6013450"/>
                  <a:ext cx="908050" cy="4254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ctr">
                  <a:noAutofit/>
                </a:bodyPr>
                <a:lstStyle/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oMath>
                    </m:oMathPara>
                  </a14:m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Choice>
          <mc:Fallback xmlns="">
            <xdr:sp macro="" textlink="">
              <xdr:nvSpPr>
                <xdr:cNvPr id="2" name="文本框 1">
                  <a:extLst>
                    <a:ext uri="{FF2B5EF4-FFF2-40B4-BE49-F238E27FC236}">
                      <a16:creationId xmlns:a16="http://schemas.microsoft.com/office/drawing/2014/main" id="{2F3E9070-33E4-D748-B8AD-90F403EBDEED}"/>
                    </a:ext>
                  </a:extLst>
                </xdr:cNvPr>
                <xdr:cNvSpPr txBox="1"/>
              </xdr:nvSpPr>
              <xdr:spPr>
                <a:xfrm>
                  <a:off x="4502150" y="6013450"/>
                  <a:ext cx="908050" cy="4254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ctr">
                  <a:noAutofit/>
                </a:bodyPr>
                <a:lstStyle/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(𝐴−𝐵𝛽_0)</a:t>
                  </a:r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3" name="文本框 2">
                  <a:extLst>
                    <a:ext uri="{FF2B5EF4-FFF2-40B4-BE49-F238E27FC236}">
                      <a16:creationId xmlns:a16="http://schemas.microsoft.com/office/drawing/2014/main" id="{2DAF0FCD-D582-8740-8EC0-E4209D7D67DB}"/>
                    </a:ext>
                  </a:extLst>
                </xdr:cNvPr>
                <xdr:cNvSpPr txBox="1"/>
              </xdr:nvSpPr>
              <xdr:spPr>
                <a:xfrm>
                  <a:off x="1111250" y="6356350"/>
                  <a:ext cx="374650" cy="4254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ctr">
                  <a:noAutofit/>
                </a:bodyPr>
                <a:lstStyle/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oMath>
                    </m:oMathPara>
                  </a14:m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Choice>
          <mc:Fallback xmlns="">
            <xdr:sp macro="" textlink="">
              <xdr:nvSpPr>
                <xdr:cNvPr id="3" name="文本框 2">
                  <a:extLst>
                    <a:ext uri="{FF2B5EF4-FFF2-40B4-BE49-F238E27FC236}">
                      <a16:creationId xmlns:a16="http://schemas.microsoft.com/office/drawing/2014/main" id="{2DAF0FCD-D582-8740-8EC0-E4209D7D67DB}"/>
                    </a:ext>
                  </a:extLst>
                </xdr:cNvPr>
                <xdr:cNvSpPr txBox="1"/>
              </xdr:nvSpPr>
              <xdr:spPr>
                <a:xfrm>
                  <a:off x="1111250" y="6356350"/>
                  <a:ext cx="374650" cy="4254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ctr">
                  <a:noAutofit/>
                </a:bodyPr>
                <a:lstStyle/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𝑥_1</a:t>
                  </a:r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Fallback>
        </mc:AlternateContent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D1B04150-007C-DF44-8C59-DD60149B1351}"/>
                </a:ext>
              </a:extLst>
            </xdr:cNvPr>
            <xdr:cNvSpPr txBox="1"/>
          </xdr:nvSpPr>
          <xdr:spPr>
            <a:xfrm>
              <a:off x="1028700" y="5727700"/>
              <a:ext cx="466794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CN" altLang="en-US" sz="1100" b="0" i="0">
                  <a:latin typeface="Microsoft YaHei Light" panose="020B0502040204020203" pitchFamily="34" charset="-122"/>
                  <a:ea typeface="Microsoft YaHei Light" panose="020B0502040204020203" pitchFamily="34" charset="-122"/>
                </a:rPr>
                <a:t>变量</a:t>
              </a:r>
            </a:p>
          </xdr:txBody>
        </xdr:sp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4B07B4B0-59F1-B348-9380-579F3B476A90}"/>
                </a:ext>
              </a:extLst>
            </xdr:cNvPr>
            <xdr:cNvSpPr txBox="1"/>
          </xdr:nvSpPr>
          <xdr:spPr>
            <a:xfrm>
              <a:off x="2768600" y="5715000"/>
              <a:ext cx="466794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CN" altLang="en-US" sz="1100" b="0" i="0">
                  <a:latin typeface="Microsoft YaHei Light" panose="020B0502040204020203" pitchFamily="34" charset="-122"/>
                  <a:ea typeface="Microsoft YaHei Light" panose="020B0502040204020203" pitchFamily="34" charset="-122"/>
                </a:rPr>
                <a:t>行数</a:t>
              </a:r>
            </a:p>
          </xdr:txBody>
        </xdr:sp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6254940D-3492-3E4C-A81D-7BC3ECDFF2CC}"/>
                </a:ext>
              </a:extLst>
            </xdr:cNvPr>
            <xdr:cNvSpPr txBox="1"/>
          </xdr:nvSpPr>
          <xdr:spPr>
            <a:xfrm>
              <a:off x="4762500" y="5715000"/>
              <a:ext cx="466794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CN" altLang="en-US" sz="1100" b="0" i="0">
                  <a:latin typeface="Microsoft YaHei Light" panose="020B0502040204020203" pitchFamily="34" charset="-122"/>
                  <a:ea typeface="Microsoft YaHei Light" panose="020B0502040204020203" pitchFamily="34" charset="-122"/>
                </a:rPr>
                <a:t>分值</a:t>
              </a:r>
            </a:p>
          </xdr:txBody>
        </xdr:sp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10579BFA-B5DF-1147-870E-D5734D1312D7}"/>
                </a:ext>
              </a:extLst>
            </xdr:cNvPr>
            <xdr:cNvSpPr txBox="1"/>
          </xdr:nvSpPr>
          <xdr:spPr>
            <a:xfrm>
              <a:off x="1028700" y="6045200"/>
              <a:ext cx="607859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CN" altLang="en-US" sz="1100" b="0" i="0">
                  <a:latin typeface="Microsoft YaHei Light" panose="020B0502040204020203" pitchFamily="34" charset="-122"/>
                  <a:ea typeface="Microsoft YaHei Light" panose="020B0502040204020203" pitchFamily="34" charset="-122"/>
                </a:rPr>
                <a:t>基准点</a:t>
              </a:r>
            </a:p>
          </xdr:txBody>
        </xdr:sp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722D3209-C319-794C-9BAA-E32B17DAA16B}"/>
                </a:ext>
              </a:extLst>
            </xdr:cNvPr>
            <xdr:cNvSpPr txBox="1"/>
          </xdr:nvSpPr>
          <xdr:spPr>
            <a:xfrm>
              <a:off x="2832100" y="6045200"/>
              <a:ext cx="337015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 b="0" i="0">
                  <a:latin typeface="Microsoft YaHei Light" panose="020B0502040204020203" pitchFamily="34" charset="-122"/>
                  <a:ea typeface="Microsoft YaHei Light" panose="020B0502040204020203" pitchFamily="34" charset="-122"/>
                </a:rPr>
                <a:t>—</a:t>
              </a:r>
              <a:endParaRPr lang="zh-CN" altLang="en-US" sz="1100" b="0" i="0">
                <a:latin typeface="Microsoft YaHei Light" panose="020B0502040204020203" pitchFamily="34" charset="-122"/>
                <a:ea typeface="Microsoft YaHei Light" panose="020B0502040204020203" pitchFamily="34" charset="-122"/>
              </a:endParaRP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" name="文本框 18">
                  <a:extLst>
                    <a:ext uri="{FF2B5EF4-FFF2-40B4-BE49-F238E27FC236}">
                      <a16:creationId xmlns:a16="http://schemas.microsoft.com/office/drawing/2014/main" id="{573B82F1-7D74-8A4C-8538-7270892DA231}"/>
                    </a:ext>
                  </a:extLst>
                </xdr:cNvPr>
                <xdr:cNvSpPr txBox="1"/>
              </xdr:nvSpPr>
              <xdr:spPr>
                <a:xfrm>
                  <a:off x="2813050" y="6419850"/>
                  <a:ext cx="374650" cy="14160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oMath>
                    </m:oMathPara>
                  </a14:m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oMath>
                    </m:oMathPara>
                  </a14:m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zh-CN" altLang="en-US" sz="11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⋮</m:t>
                        </m:r>
                      </m:oMath>
                    </m:oMathPara>
                  </a14:m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altLang="zh-CN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US" altLang="zh-CN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oMath>
                    </m:oMathPara>
                  </a14:m>
                  <a:endParaRPr lang="zh-CN" altLang="en-US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Choice>
          <mc:Fallback xmlns="">
            <xdr:sp macro="" textlink="">
              <xdr:nvSpPr>
                <xdr:cNvPr id="19" name="文本框 18">
                  <a:extLst>
                    <a:ext uri="{FF2B5EF4-FFF2-40B4-BE49-F238E27FC236}">
                      <a16:creationId xmlns:a16="http://schemas.microsoft.com/office/drawing/2014/main" id="{573B82F1-7D74-8A4C-8538-7270892DA231}"/>
                    </a:ext>
                  </a:extLst>
                </xdr:cNvPr>
                <xdr:cNvSpPr txBox="1"/>
              </xdr:nvSpPr>
              <xdr:spPr>
                <a:xfrm>
                  <a:off x="2813050" y="6419850"/>
                  <a:ext cx="374650" cy="14160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:r>
                    <a:rPr lang="en-US" altLang="zh-CN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1</a:t>
                  </a:r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2</a:t>
                  </a:r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zh-CN" altLang="en-US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⋮</a:t>
                  </a:r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𝑘_1</a:t>
                  </a:r>
                  <a:endParaRPr lang="zh-CN" altLang="en-US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0" name="文本框 19">
                  <a:extLst>
                    <a:ext uri="{FF2B5EF4-FFF2-40B4-BE49-F238E27FC236}">
                      <a16:creationId xmlns:a16="http://schemas.microsoft.com/office/drawing/2014/main" id="{78E41B3B-2A5F-1142-A4AA-501C7ABD002D}"/>
                    </a:ext>
                  </a:extLst>
                </xdr:cNvPr>
                <xdr:cNvSpPr txBox="1"/>
              </xdr:nvSpPr>
              <xdr:spPr>
                <a:xfrm>
                  <a:off x="4667250" y="6369050"/>
                  <a:ext cx="908050" cy="13398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11</m:t>
                                </m:r>
                              </m:sub>
                            </m:sSub>
                          </m:e>
                        </m:d>
                      </m:oMath>
                    </m:oMathPara>
                  </a14:m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12</m:t>
                                </m:r>
                              </m:sub>
                            </m:sSub>
                          </m:e>
                        </m:d>
                      </m:oMath>
                    </m:oMathPara>
                  </a14:m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⋮</m:t>
                        </m:r>
                      </m:oMath>
                    </m:oMathPara>
                  </a14:m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(</m:t>
                        </m:r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oMath>
                    </m:oMathPara>
                  </a14:m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Choice>
          <mc:Fallback xmlns="">
            <xdr:sp macro="" textlink="">
              <xdr:nvSpPr>
                <xdr:cNvPr id="20" name="文本框 19">
                  <a:extLst>
                    <a:ext uri="{FF2B5EF4-FFF2-40B4-BE49-F238E27FC236}">
                      <a16:creationId xmlns:a16="http://schemas.microsoft.com/office/drawing/2014/main" id="{78E41B3B-2A5F-1142-A4AA-501C7ABD002D}"/>
                    </a:ext>
                  </a:extLst>
                </xdr:cNvPr>
                <xdr:cNvSpPr txBox="1"/>
              </xdr:nvSpPr>
              <xdr:spPr>
                <a:xfrm>
                  <a:off x="4667250" y="6369050"/>
                  <a:ext cx="908050" cy="13398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− (𝐵𝛽_1 𝑤_11 )</a:t>
                  </a:r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− (𝐵𝛽_1 𝑤_12 )</a:t>
                  </a:r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a:t>⋮</a:t>
                  </a:r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− (𝐵𝛽_1 𝑤_(1𝑘_1 ))</a:t>
                  </a:r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1" name="文本框 20">
                  <a:extLst>
                    <a:ext uri="{FF2B5EF4-FFF2-40B4-BE49-F238E27FC236}">
                      <a16:creationId xmlns:a16="http://schemas.microsoft.com/office/drawing/2014/main" id="{0FABB82E-9AF8-7844-863C-078641A4C099}"/>
                    </a:ext>
                  </a:extLst>
                </xdr:cNvPr>
                <xdr:cNvSpPr txBox="1"/>
              </xdr:nvSpPr>
              <xdr:spPr>
                <a:xfrm>
                  <a:off x="1149350" y="7893050"/>
                  <a:ext cx="374650" cy="4254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ctr">
                  <a:noAutofit/>
                </a:bodyPr>
                <a:lstStyle/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oMath>
                    </m:oMathPara>
                  </a14:m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Choice>
          <mc:Fallback xmlns="">
            <xdr:sp macro="" textlink="">
              <xdr:nvSpPr>
                <xdr:cNvPr id="21" name="文本框 20">
                  <a:extLst>
                    <a:ext uri="{FF2B5EF4-FFF2-40B4-BE49-F238E27FC236}">
                      <a16:creationId xmlns:a16="http://schemas.microsoft.com/office/drawing/2014/main" id="{0FABB82E-9AF8-7844-863C-078641A4C099}"/>
                    </a:ext>
                  </a:extLst>
                </xdr:cNvPr>
                <xdr:cNvSpPr txBox="1"/>
              </xdr:nvSpPr>
              <xdr:spPr>
                <a:xfrm>
                  <a:off x="1149350" y="7893050"/>
                  <a:ext cx="374650" cy="4254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ctr">
                  <a:noAutofit/>
                </a:bodyPr>
                <a:lstStyle/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𝑥_2</a:t>
                  </a:r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2" name="文本框 21">
                  <a:extLst>
                    <a:ext uri="{FF2B5EF4-FFF2-40B4-BE49-F238E27FC236}">
                      <a16:creationId xmlns:a16="http://schemas.microsoft.com/office/drawing/2014/main" id="{26474AAF-61D4-AB47-B22D-DEA96E41FDF7}"/>
                    </a:ext>
                  </a:extLst>
                </xdr:cNvPr>
                <xdr:cNvSpPr txBox="1"/>
              </xdr:nvSpPr>
              <xdr:spPr>
                <a:xfrm>
                  <a:off x="2851150" y="7956550"/>
                  <a:ext cx="374650" cy="14160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oMath>
                    </m:oMathPara>
                  </a14:m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oMath>
                    </m:oMathPara>
                  </a14:m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zh-CN" altLang="en-US" sz="11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⋮</m:t>
                        </m:r>
                      </m:oMath>
                    </m:oMathPara>
                  </a14:m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altLang="zh-CN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US" altLang="zh-CN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oMath>
                    </m:oMathPara>
                  </a14:m>
                  <a:endParaRPr lang="zh-CN" altLang="en-US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Choice>
          <mc:Fallback xmlns="">
            <xdr:sp macro="" textlink="">
              <xdr:nvSpPr>
                <xdr:cNvPr id="22" name="文本框 21">
                  <a:extLst>
                    <a:ext uri="{FF2B5EF4-FFF2-40B4-BE49-F238E27FC236}">
                      <a16:creationId xmlns:a16="http://schemas.microsoft.com/office/drawing/2014/main" id="{26474AAF-61D4-AB47-B22D-DEA96E41FDF7}"/>
                    </a:ext>
                  </a:extLst>
                </xdr:cNvPr>
                <xdr:cNvSpPr txBox="1"/>
              </xdr:nvSpPr>
              <xdr:spPr>
                <a:xfrm>
                  <a:off x="2851150" y="7956550"/>
                  <a:ext cx="374650" cy="14160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:r>
                    <a:rPr lang="en-US" altLang="zh-CN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1</a:t>
                  </a:r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2</a:t>
                  </a:r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zh-CN" altLang="en-US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⋮</a:t>
                  </a:r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𝑘_2</a:t>
                  </a:r>
                  <a:endParaRPr lang="zh-CN" altLang="en-US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3" name="文本框 22">
                  <a:extLst>
                    <a:ext uri="{FF2B5EF4-FFF2-40B4-BE49-F238E27FC236}">
                      <a16:creationId xmlns:a16="http://schemas.microsoft.com/office/drawing/2014/main" id="{8A64AD67-FC95-3B45-9AC4-67AED2DAC8B7}"/>
                    </a:ext>
                  </a:extLst>
                </xdr:cNvPr>
                <xdr:cNvSpPr txBox="1"/>
              </xdr:nvSpPr>
              <xdr:spPr>
                <a:xfrm>
                  <a:off x="4705350" y="7905750"/>
                  <a:ext cx="908050" cy="13398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21</m:t>
                                </m:r>
                              </m:sub>
                            </m:sSub>
                          </m:e>
                        </m:d>
                      </m:oMath>
                    </m:oMathPara>
                  </a14:m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22</m:t>
                                </m:r>
                              </m:sub>
                            </m:sSub>
                          </m:e>
                        </m:d>
                      </m:oMath>
                    </m:oMathPara>
                  </a14:m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⋮</m:t>
                        </m:r>
                      </m:oMath>
                    </m:oMathPara>
                  </a14:m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(</m:t>
                        </m:r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oMath>
                    </m:oMathPara>
                  </a14:m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Choice>
          <mc:Fallback xmlns="">
            <xdr:sp macro="" textlink="">
              <xdr:nvSpPr>
                <xdr:cNvPr id="23" name="文本框 22">
                  <a:extLst>
                    <a:ext uri="{FF2B5EF4-FFF2-40B4-BE49-F238E27FC236}">
                      <a16:creationId xmlns:a16="http://schemas.microsoft.com/office/drawing/2014/main" id="{8A64AD67-FC95-3B45-9AC4-67AED2DAC8B7}"/>
                    </a:ext>
                  </a:extLst>
                </xdr:cNvPr>
                <xdr:cNvSpPr txBox="1"/>
              </xdr:nvSpPr>
              <xdr:spPr>
                <a:xfrm>
                  <a:off x="4705350" y="7905750"/>
                  <a:ext cx="908050" cy="13398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− (𝐵𝛽_2 𝑤_21 )</a:t>
                  </a:r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− (𝐵𝛽_2 𝑤_22 )</a:t>
                  </a:r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a:t>⋮</a:t>
                  </a:r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− (𝐵𝛽_2 𝑤_(2𝑘_2 ))</a:t>
                  </a:r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7" name="文本框 26">
                  <a:extLst>
                    <a:ext uri="{FF2B5EF4-FFF2-40B4-BE49-F238E27FC236}">
                      <a16:creationId xmlns:a16="http://schemas.microsoft.com/office/drawing/2014/main" id="{352ADBBF-0181-EC4A-8DB0-FA0E5E5E8236}"/>
                    </a:ext>
                  </a:extLst>
                </xdr:cNvPr>
                <xdr:cNvSpPr txBox="1"/>
              </xdr:nvSpPr>
              <xdr:spPr>
                <a:xfrm>
                  <a:off x="1136650" y="9709150"/>
                  <a:ext cx="374650" cy="4254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ctr">
                  <a:noAutofit/>
                </a:bodyPr>
                <a:lstStyle/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sub>
                        </m:sSub>
                      </m:oMath>
                    </m:oMathPara>
                  </a14:m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Choice>
          <mc:Fallback xmlns="">
            <xdr:sp macro="" textlink="">
              <xdr:nvSpPr>
                <xdr:cNvPr id="27" name="文本框 26">
                  <a:extLst>
                    <a:ext uri="{FF2B5EF4-FFF2-40B4-BE49-F238E27FC236}">
                      <a16:creationId xmlns:a16="http://schemas.microsoft.com/office/drawing/2014/main" id="{352ADBBF-0181-EC4A-8DB0-FA0E5E5E8236}"/>
                    </a:ext>
                  </a:extLst>
                </xdr:cNvPr>
                <xdr:cNvSpPr txBox="1"/>
              </xdr:nvSpPr>
              <xdr:spPr>
                <a:xfrm>
                  <a:off x="1136650" y="9709150"/>
                  <a:ext cx="374650" cy="4254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ctr">
                  <a:noAutofit/>
                </a:bodyPr>
                <a:lstStyle/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𝑥_𝑝</a:t>
                  </a:r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8" name="文本框 27">
                  <a:extLst>
                    <a:ext uri="{FF2B5EF4-FFF2-40B4-BE49-F238E27FC236}">
                      <a16:creationId xmlns:a16="http://schemas.microsoft.com/office/drawing/2014/main" id="{17416436-2EE3-054A-B2AF-22E6D0EF2225}"/>
                    </a:ext>
                  </a:extLst>
                </xdr:cNvPr>
                <xdr:cNvSpPr txBox="1"/>
              </xdr:nvSpPr>
              <xdr:spPr>
                <a:xfrm>
                  <a:off x="2838450" y="9772650"/>
                  <a:ext cx="374650" cy="14160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oMath>
                    </m:oMathPara>
                  </a14:m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oMath>
                    </m:oMathPara>
                  </a14:m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zh-CN" altLang="en-US" sz="11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⋮</m:t>
                        </m:r>
                      </m:oMath>
                    </m:oMathPara>
                  </a14:m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altLang="zh-CN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US" altLang="zh-CN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sub>
                        </m:sSub>
                      </m:oMath>
                    </m:oMathPara>
                  </a14:m>
                  <a:endParaRPr lang="zh-CN" altLang="en-US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Choice>
          <mc:Fallback xmlns="">
            <xdr:sp macro="" textlink="">
              <xdr:nvSpPr>
                <xdr:cNvPr id="28" name="文本框 27">
                  <a:extLst>
                    <a:ext uri="{FF2B5EF4-FFF2-40B4-BE49-F238E27FC236}">
                      <a16:creationId xmlns:a16="http://schemas.microsoft.com/office/drawing/2014/main" id="{17416436-2EE3-054A-B2AF-22E6D0EF2225}"/>
                    </a:ext>
                  </a:extLst>
                </xdr:cNvPr>
                <xdr:cNvSpPr txBox="1"/>
              </xdr:nvSpPr>
              <xdr:spPr>
                <a:xfrm>
                  <a:off x="2838450" y="9772650"/>
                  <a:ext cx="374650" cy="14160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:r>
                    <a:rPr lang="en-US" altLang="zh-CN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1</a:t>
                  </a:r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2</a:t>
                  </a:r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zh-CN" altLang="en-US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⋮</a:t>
                  </a:r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𝑘_𝑝</a:t>
                  </a:r>
                  <a:endParaRPr lang="zh-CN" altLang="en-US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9" name="文本框 28">
                  <a:extLst>
                    <a:ext uri="{FF2B5EF4-FFF2-40B4-BE49-F238E27FC236}">
                      <a16:creationId xmlns:a16="http://schemas.microsoft.com/office/drawing/2014/main" id="{256846B1-9952-824C-B34B-852A282C9635}"/>
                    </a:ext>
                  </a:extLst>
                </xdr:cNvPr>
                <xdr:cNvSpPr txBox="1"/>
              </xdr:nvSpPr>
              <xdr:spPr>
                <a:xfrm>
                  <a:off x="4692650" y="9721850"/>
                  <a:ext cx="908050" cy="13398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oMath>
                    </m:oMathPara>
                  </a14:m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oMath>
                    </m:oMathPara>
                  </a14:m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⋮</m:t>
                        </m:r>
                      </m:oMath>
                    </m:oMathPara>
                  </a14:m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(</m:t>
                        </m:r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sub>
                            </m:sSub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oMath>
                    </m:oMathPara>
                  </a14:m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Choice>
          <mc:Fallback xmlns="">
            <xdr:sp macro="" textlink="">
              <xdr:nvSpPr>
                <xdr:cNvPr id="29" name="文本框 28">
                  <a:extLst>
                    <a:ext uri="{FF2B5EF4-FFF2-40B4-BE49-F238E27FC236}">
                      <a16:creationId xmlns:a16="http://schemas.microsoft.com/office/drawing/2014/main" id="{256846B1-9952-824C-B34B-852A282C9635}"/>
                    </a:ext>
                  </a:extLst>
                </xdr:cNvPr>
                <xdr:cNvSpPr txBox="1"/>
              </xdr:nvSpPr>
              <xdr:spPr>
                <a:xfrm>
                  <a:off x="4692650" y="9721850"/>
                  <a:ext cx="908050" cy="13398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− (𝐵𝛽_𝑝 𝑤_𝑝1 )</a:t>
                  </a:r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− (𝐵𝛽_𝑝 𝑤_𝑝2 )</a:t>
                  </a:r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a:t>⋮</a:t>
                  </a:r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− (𝐵𝛽_𝑝 𝑤_(𝑝𝑘_𝑝 ))</a:t>
                  </a:r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Fallback>
        </mc:AlternateContent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0" name="文本框 39">
                <a:extLst>
                  <a:ext uri="{FF2B5EF4-FFF2-40B4-BE49-F238E27FC236}">
                    <a16:creationId xmlns:a16="http://schemas.microsoft.com/office/drawing/2014/main" id="{208DF677-0DEA-C047-8F4A-A207F05C6D12}"/>
                  </a:ext>
                </a:extLst>
              </xdr:cNvPr>
              <xdr:cNvSpPr txBox="1"/>
            </xdr:nvSpPr>
            <xdr:spPr>
              <a:xfrm>
                <a:off x="2832100" y="9347200"/>
                <a:ext cx="374650" cy="30480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 marL="0" indent="0"/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r>
                        <a:rPr lang="zh-CN" altLang="en-US" sz="110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⋮</m:t>
                      </m:r>
                    </m:oMath>
                  </m:oMathPara>
                </a14:m>
                <a:endParaRPr lang="en-US" altLang="zh-CN" sz="1100" b="0" i="1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endParaRPr>
              </a:p>
            </xdr:txBody>
          </xdr:sp>
        </mc:Choice>
        <mc:Fallback xmlns="">
          <xdr:sp macro="" textlink="">
            <xdr:nvSpPr>
              <xdr:cNvPr id="40" name="文本框 39">
                <a:extLst>
                  <a:ext uri="{FF2B5EF4-FFF2-40B4-BE49-F238E27FC236}">
                    <a16:creationId xmlns:a16="http://schemas.microsoft.com/office/drawing/2014/main" id="{208DF677-0DEA-C047-8F4A-A207F05C6D12}"/>
                  </a:ext>
                </a:extLst>
              </xdr:cNvPr>
              <xdr:cNvSpPr txBox="1"/>
            </xdr:nvSpPr>
            <xdr:spPr>
              <a:xfrm>
                <a:off x="2832100" y="9347200"/>
                <a:ext cx="374650" cy="30480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 marL="0" indent="0"/>
                <a:r>
                  <a:rPr lang="zh-CN" altLang="en-US" sz="1100" b="0" i="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rPr>
                  <a:t>⋮</a:t>
                </a:r>
                <a:endParaRPr lang="en-US" altLang="zh-CN" sz="1100" b="0" i="1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1" name="文本框 40">
                <a:extLst>
                  <a:ext uri="{FF2B5EF4-FFF2-40B4-BE49-F238E27FC236}">
                    <a16:creationId xmlns:a16="http://schemas.microsoft.com/office/drawing/2014/main" id="{930D3665-2095-7F45-B89A-2994F2623FC9}"/>
                  </a:ext>
                </a:extLst>
              </xdr:cNvPr>
              <xdr:cNvSpPr txBox="1"/>
            </xdr:nvSpPr>
            <xdr:spPr>
              <a:xfrm>
                <a:off x="1193800" y="9347200"/>
                <a:ext cx="374650" cy="30480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 marL="0" indent="0"/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r>
                        <a:rPr lang="zh-CN" altLang="en-US" sz="110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⋮</m:t>
                      </m:r>
                    </m:oMath>
                  </m:oMathPara>
                </a14:m>
                <a:endParaRPr lang="en-US" altLang="zh-CN" sz="1100" b="0" i="1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endParaRPr>
              </a:p>
            </xdr:txBody>
          </xdr:sp>
        </mc:Choice>
        <mc:Fallback xmlns="">
          <xdr:sp macro="" textlink="">
            <xdr:nvSpPr>
              <xdr:cNvPr id="41" name="文本框 40">
                <a:extLst>
                  <a:ext uri="{FF2B5EF4-FFF2-40B4-BE49-F238E27FC236}">
                    <a16:creationId xmlns:a16="http://schemas.microsoft.com/office/drawing/2014/main" id="{930D3665-2095-7F45-B89A-2994F2623FC9}"/>
                  </a:ext>
                </a:extLst>
              </xdr:cNvPr>
              <xdr:cNvSpPr txBox="1"/>
            </xdr:nvSpPr>
            <xdr:spPr>
              <a:xfrm>
                <a:off x="1193800" y="9347200"/>
                <a:ext cx="374650" cy="30480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 marL="0" indent="0"/>
                <a:r>
                  <a:rPr lang="zh-CN" altLang="en-US" sz="1100" b="0" i="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rPr>
                  <a:t>⋮</a:t>
                </a:r>
                <a:endParaRPr lang="en-US" altLang="zh-CN" sz="1100" b="0" i="1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2" name="文本框 41">
                <a:extLst>
                  <a:ext uri="{FF2B5EF4-FFF2-40B4-BE49-F238E27FC236}">
                    <a16:creationId xmlns:a16="http://schemas.microsoft.com/office/drawing/2014/main" id="{22581AED-6B09-A24C-8379-485AD65D8527}"/>
                  </a:ext>
                </a:extLst>
              </xdr:cNvPr>
              <xdr:cNvSpPr txBox="1"/>
            </xdr:nvSpPr>
            <xdr:spPr>
              <a:xfrm>
                <a:off x="4864100" y="9334500"/>
                <a:ext cx="374650" cy="30480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 marL="0" indent="0"/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r>
                        <a:rPr lang="zh-CN" altLang="en-US" sz="110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⋮</m:t>
                      </m:r>
                    </m:oMath>
                  </m:oMathPara>
                </a14:m>
                <a:endParaRPr lang="en-US" altLang="zh-CN" sz="1100" b="0" i="1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endParaRPr>
              </a:p>
            </xdr:txBody>
          </xdr:sp>
        </mc:Choice>
        <mc:Fallback xmlns="">
          <xdr:sp macro="" textlink="">
            <xdr:nvSpPr>
              <xdr:cNvPr id="42" name="文本框 41">
                <a:extLst>
                  <a:ext uri="{FF2B5EF4-FFF2-40B4-BE49-F238E27FC236}">
                    <a16:creationId xmlns:a16="http://schemas.microsoft.com/office/drawing/2014/main" id="{22581AED-6B09-A24C-8379-485AD65D8527}"/>
                  </a:ext>
                </a:extLst>
              </xdr:cNvPr>
              <xdr:cNvSpPr txBox="1"/>
            </xdr:nvSpPr>
            <xdr:spPr>
              <a:xfrm>
                <a:off x="4864100" y="9334500"/>
                <a:ext cx="374650" cy="30480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 marL="0" indent="0"/>
                <a:r>
                  <a:rPr lang="zh-CN" altLang="en-US" sz="1100" b="0" i="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rPr>
                  <a:t>⋮</a:t>
                </a:r>
                <a:endParaRPr lang="en-US" altLang="zh-CN" sz="1100" b="0" i="1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endParaRPr>
              </a:p>
            </xdr:txBody>
          </xdr:sp>
        </mc:Fallback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1</xdr:row>
      <xdr:rowOff>190500</xdr:rowOff>
    </xdr:from>
    <xdr:to>
      <xdr:col>3</xdr:col>
      <xdr:colOff>304801</xdr:colOff>
      <xdr:row>2</xdr:row>
      <xdr:rowOff>104775</xdr:rowOff>
    </xdr:to>
    <xdr:sp macro="" textlink="">
      <xdr:nvSpPr>
        <xdr:cNvPr id="2" name="椭圆 1">
          <a:extLst>
            <a:ext uri="{FF2B5EF4-FFF2-40B4-BE49-F238E27FC236}">
              <a16:creationId xmlns:a16="http://schemas.microsoft.com/office/drawing/2014/main" id="{AB900055-8D66-4AC1-BF75-4C7DBD5B17F2}"/>
            </a:ext>
          </a:extLst>
        </xdr:cNvPr>
        <xdr:cNvSpPr/>
      </xdr:nvSpPr>
      <xdr:spPr>
        <a:xfrm>
          <a:off x="4038601" y="190500"/>
          <a:ext cx="114300" cy="1143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542926</xdr:colOff>
      <xdr:row>4</xdr:row>
      <xdr:rowOff>28575</xdr:rowOff>
    </xdr:from>
    <xdr:to>
      <xdr:col>2</xdr:col>
      <xdr:colOff>657226</xdr:colOff>
      <xdr:row>4</xdr:row>
      <xdr:rowOff>142875</xdr:rowOff>
    </xdr:to>
    <xdr:sp macro="" textlink="">
      <xdr:nvSpPr>
        <xdr:cNvPr id="3" name="椭圆 2">
          <a:extLst>
            <a:ext uri="{FF2B5EF4-FFF2-40B4-BE49-F238E27FC236}">
              <a16:creationId xmlns:a16="http://schemas.microsoft.com/office/drawing/2014/main" id="{43FCEE08-4C1B-48F1-AB7E-273846477F74}"/>
            </a:ext>
          </a:extLst>
        </xdr:cNvPr>
        <xdr:cNvSpPr/>
      </xdr:nvSpPr>
      <xdr:spPr>
        <a:xfrm>
          <a:off x="3705226" y="628650"/>
          <a:ext cx="114300" cy="1143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666751</xdr:colOff>
      <xdr:row>4</xdr:row>
      <xdr:rowOff>38100</xdr:rowOff>
    </xdr:from>
    <xdr:to>
      <xdr:col>4</xdr:col>
      <xdr:colOff>95251</xdr:colOff>
      <xdr:row>4</xdr:row>
      <xdr:rowOff>152400</xdr:rowOff>
    </xdr:to>
    <xdr:sp macro="" textlink="">
      <xdr:nvSpPr>
        <xdr:cNvPr id="4" name="椭圆 3">
          <a:extLst>
            <a:ext uri="{FF2B5EF4-FFF2-40B4-BE49-F238E27FC236}">
              <a16:creationId xmlns:a16="http://schemas.microsoft.com/office/drawing/2014/main" id="{A80F3B96-6DC8-47E9-92F0-05F905857603}"/>
            </a:ext>
          </a:extLst>
        </xdr:cNvPr>
        <xdr:cNvSpPr/>
      </xdr:nvSpPr>
      <xdr:spPr>
        <a:xfrm>
          <a:off x="4514851" y="638175"/>
          <a:ext cx="114300" cy="1143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200026</xdr:colOff>
      <xdr:row>6</xdr:row>
      <xdr:rowOff>57150</xdr:rowOff>
    </xdr:from>
    <xdr:to>
      <xdr:col>3</xdr:col>
      <xdr:colOff>314326</xdr:colOff>
      <xdr:row>6</xdr:row>
      <xdr:rowOff>171450</xdr:rowOff>
    </xdr:to>
    <xdr:sp macro="" textlink="">
      <xdr:nvSpPr>
        <xdr:cNvPr id="6" name="椭圆 5">
          <a:extLst>
            <a:ext uri="{FF2B5EF4-FFF2-40B4-BE49-F238E27FC236}">
              <a16:creationId xmlns:a16="http://schemas.microsoft.com/office/drawing/2014/main" id="{27EC0A69-FC9C-4CFF-889B-E9FD1E5C601E}"/>
            </a:ext>
          </a:extLst>
        </xdr:cNvPr>
        <xdr:cNvSpPr/>
      </xdr:nvSpPr>
      <xdr:spPr>
        <a:xfrm>
          <a:off x="4048126" y="1057275"/>
          <a:ext cx="114300" cy="1143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104776</xdr:colOff>
      <xdr:row>6</xdr:row>
      <xdr:rowOff>76200</xdr:rowOff>
    </xdr:from>
    <xdr:to>
      <xdr:col>2</xdr:col>
      <xdr:colOff>219076</xdr:colOff>
      <xdr:row>6</xdr:row>
      <xdr:rowOff>190500</xdr:rowOff>
    </xdr:to>
    <xdr:sp macro="" textlink="">
      <xdr:nvSpPr>
        <xdr:cNvPr id="7" name="椭圆 6">
          <a:extLst>
            <a:ext uri="{FF2B5EF4-FFF2-40B4-BE49-F238E27FC236}">
              <a16:creationId xmlns:a16="http://schemas.microsoft.com/office/drawing/2014/main" id="{32BFF784-BEDE-4C2C-98EE-DE48FA2849F8}"/>
            </a:ext>
          </a:extLst>
        </xdr:cNvPr>
        <xdr:cNvSpPr/>
      </xdr:nvSpPr>
      <xdr:spPr>
        <a:xfrm>
          <a:off x="3267076" y="1076325"/>
          <a:ext cx="114300" cy="1143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</xdr:col>
      <xdr:colOff>647700</xdr:colOff>
      <xdr:row>1</xdr:row>
      <xdr:rowOff>104775</xdr:rowOff>
    </xdr:from>
    <xdr:ext cx="965072" cy="283411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4C9420C7-2E76-4329-AB6C-D3DC037FDF90}"/>
            </a:ext>
          </a:extLst>
        </xdr:cNvPr>
        <xdr:cNvSpPr txBox="1"/>
      </xdr:nvSpPr>
      <xdr:spPr>
        <a:xfrm>
          <a:off x="3124200" y="104775"/>
          <a:ext cx="965072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样本</a:t>
          </a:r>
          <a:r>
            <a:rPr lang="en-US" altLang="zh-CN" sz="1100"/>
            <a:t>1,2,3,4,5</a:t>
          </a:r>
          <a:endParaRPr lang="zh-CN" altLang="en-US" sz="1100"/>
        </a:p>
      </xdr:txBody>
    </xdr:sp>
    <xdr:clientData/>
  </xdr:oneCellAnchor>
  <xdr:oneCellAnchor>
    <xdr:from>
      <xdr:col>1</xdr:col>
      <xdr:colOff>581025</xdr:colOff>
      <xdr:row>6</xdr:row>
      <xdr:rowOff>171450</xdr:rowOff>
    </xdr:from>
    <xdr:ext cx="538289" cy="474489"/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D1A84A2D-37C4-4EB9-9F04-5917C73B3D61}"/>
            </a:ext>
          </a:extLst>
        </xdr:cNvPr>
        <xdr:cNvSpPr txBox="1"/>
      </xdr:nvSpPr>
      <xdr:spPr>
        <a:xfrm>
          <a:off x="3057525" y="1171575"/>
          <a:ext cx="538289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样本</a:t>
          </a:r>
          <a:r>
            <a:rPr lang="en-US" altLang="zh-CN" sz="1100"/>
            <a:t>1</a:t>
          </a:r>
        </a:p>
        <a:p>
          <a:r>
            <a:rPr lang="zh-CN" altLang="en-US" sz="1100"/>
            <a:t>样本</a:t>
          </a:r>
          <a:r>
            <a:rPr lang="en-US" altLang="zh-CN" sz="1100"/>
            <a:t>5</a:t>
          </a:r>
          <a:endParaRPr lang="zh-CN" altLang="en-US" sz="1100"/>
        </a:p>
      </xdr:txBody>
    </xdr:sp>
    <xdr:clientData/>
  </xdr:oneCellAnchor>
  <xdr:oneCellAnchor>
    <xdr:from>
      <xdr:col>3</xdr:col>
      <xdr:colOff>38100</xdr:colOff>
      <xdr:row>6</xdr:row>
      <xdr:rowOff>190500</xdr:rowOff>
    </xdr:from>
    <xdr:ext cx="538289" cy="283411"/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B605602A-D2F2-43CF-AA2C-3EEF5CCA36B4}"/>
            </a:ext>
          </a:extLst>
        </xdr:cNvPr>
        <xdr:cNvSpPr txBox="1"/>
      </xdr:nvSpPr>
      <xdr:spPr>
        <a:xfrm>
          <a:off x="3886200" y="1190625"/>
          <a:ext cx="538289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样本</a:t>
          </a:r>
          <a:r>
            <a:rPr lang="en-US" altLang="zh-CN" sz="1100"/>
            <a:t>3</a:t>
          </a:r>
          <a:endParaRPr lang="zh-CN" altLang="en-US" sz="1100"/>
        </a:p>
      </xdr:txBody>
    </xdr:sp>
    <xdr:clientData/>
  </xdr:oneCellAnchor>
  <xdr:oneCellAnchor>
    <xdr:from>
      <xdr:col>3</xdr:col>
      <xdr:colOff>533400</xdr:colOff>
      <xdr:row>4</xdr:row>
      <xdr:rowOff>142875</xdr:rowOff>
    </xdr:from>
    <xdr:ext cx="538289" cy="474489"/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FCC0CCA7-A051-4D11-9E31-CD6BD836A80B}"/>
            </a:ext>
          </a:extLst>
        </xdr:cNvPr>
        <xdr:cNvSpPr txBox="1"/>
      </xdr:nvSpPr>
      <xdr:spPr>
        <a:xfrm>
          <a:off x="4381500" y="742950"/>
          <a:ext cx="538289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样本</a:t>
          </a:r>
          <a:r>
            <a:rPr lang="en-US" altLang="zh-CN" sz="1100"/>
            <a:t>2</a:t>
          </a:r>
        </a:p>
        <a:p>
          <a:r>
            <a:rPr lang="zh-CN" altLang="en-US" sz="1100"/>
            <a:t>样本</a:t>
          </a:r>
          <a:r>
            <a:rPr lang="en-US" altLang="zh-CN" sz="1100"/>
            <a:t>4</a:t>
          </a:r>
          <a:endParaRPr lang="zh-CN" altLang="en-US" sz="1100"/>
        </a:p>
      </xdr:txBody>
    </xdr:sp>
    <xdr:clientData/>
  </xdr:oneCellAnchor>
  <xdr:twoCellAnchor>
    <xdr:from>
      <xdr:col>2</xdr:col>
      <xdr:colOff>600076</xdr:colOff>
      <xdr:row>2</xdr:row>
      <xdr:rowOff>104775</xdr:rowOff>
    </xdr:from>
    <xdr:to>
      <xdr:col>3</xdr:col>
      <xdr:colOff>247651</xdr:colOff>
      <xdr:row>4</xdr:row>
      <xdr:rowOff>28575</xdr:rowOff>
    </xdr:to>
    <xdr:cxnSp macro="">
      <xdr:nvCxnSpPr>
        <xdr:cNvPr id="14" name="直接连接符 13">
          <a:extLst>
            <a:ext uri="{FF2B5EF4-FFF2-40B4-BE49-F238E27FC236}">
              <a16:creationId xmlns:a16="http://schemas.microsoft.com/office/drawing/2014/main" id="{19AEC8F0-622D-47D9-ADC5-89E0C856F9E9}"/>
            </a:ext>
          </a:extLst>
        </xdr:cNvPr>
        <xdr:cNvCxnSpPr>
          <a:stCxn id="2" idx="4"/>
          <a:endCxn id="3" idx="0"/>
        </xdr:cNvCxnSpPr>
      </xdr:nvCxnSpPr>
      <xdr:spPr>
        <a:xfrm flipH="1">
          <a:off x="3762376" y="304800"/>
          <a:ext cx="333375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247651</xdr:colOff>
      <xdr:row>2</xdr:row>
      <xdr:rowOff>104775</xdr:rowOff>
    </xdr:from>
    <xdr:to>
      <xdr:col>4</xdr:col>
      <xdr:colOff>38101</xdr:colOff>
      <xdr:row>4</xdr:row>
      <xdr:rowOff>38100</xdr:rowOff>
    </xdr:to>
    <xdr:cxnSp macro="">
      <xdr:nvCxnSpPr>
        <xdr:cNvPr id="15" name="直接连接符 14">
          <a:extLst>
            <a:ext uri="{FF2B5EF4-FFF2-40B4-BE49-F238E27FC236}">
              <a16:creationId xmlns:a16="http://schemas.microsoft.com/office/drawing/2014/main" id="{FB194623-C87A-42CB-AC30-394D0DCDADD9}"/>
            </a:ext>
          </a:extLst>
        </xdr:cNvPr>
        <xdr:cNvCxnSpPr>
          <a:stCxn id="2" idx="4"/>
          <a:endCxn id="4" idx="0"/>
        </xdr:cNvCxnSpPr>
      </xdr:nvCxnSpPr>
      <xdr:spPr>
        <a:xfrm>
          <a:off x="4095751" y="304800"/>
          <a:ext cx="47625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202337</xdr:colOff>
      <xdr:row>4</xdr:row>
      <xdr:rowOff>142875</xdr:rowOff>
    </xdr:from>
    <xdr:to>
      <xdr:col>2</xdr:col>
      <xdr:colOff>600076</xdr:colOff>
      <xdr:row>6</xdr:row>
      <xdr:rowOff>92939</xdr:rowOff>
    </xdr:to>
    <xdr:cxnSp macro="">
      <xdr:nvCxnSpPr>
        <xdr:cNvPr id="21" name="直接连接符 20">
          <a:extLst>
            <a:ext uri="{FF2B5EF4-FFF2-40B4-BE49-F238E27FC236}">
              <a16:creationId xmlns:a16="http://schemas.microsoft.com/office/drawing/2014/main" id="{8130D2E2-2F72-4FD8-842A-1974F03BF9B6}"/>
            </a:ext>
          </a:extLst>
        </xdr:cNvPr>
        <xdr:cNvCxnSpPr>
          <a:stCxn id="3" idx="4"/>
          <a:endCxn id="7" idx="7"/>
        </xdr:cNvCxnSpPr>
      </xdr:nvCxnSpPr>
      <xdr:spPr>
        <a:xfrm flipH="1">
          <a:off x="3364637" y="742950"/>
          <a:ext cx="397739" cy="3501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600076</xdr:colOff>
      <xdr:row>4</xdr:row>
      <xdr:rowOff>142875</xdr:rowOff>
    </xdr:from>
    <xdr:to>
      <xdr:col>3</xdr:col>
      <xdr:colOff>216765</xdr:colOff>
      <xdr:row>6</xdr:row>
      <xdr:rowOff>73889</xdr:rowOff>
    </xdr:to>
    <xdr:cxnSp macro="">
      <xdr:nvCxnSpPr>
        <xdr:cNvPr id="26" name="直接连接符 25">
          <a:extLst>
            <a:ext uri="{FF2B5EF4-FFF2-40B4-BE49-F238E27FC236}">
              <a16:creationId xmlns:a16="http://schemas.microsoft.com/office/drawing/2014/main" id="{B1ED1E4B-0CE2-4B3C-9C54-004685572F5E}"/>
            </a:ext>
          </a:extLst>
        </xdr:cNvPr>
        <xdr:cNvCxnSpPr>
          <a:stCxn id="3" idx="4"/>
          <a:endCxn id="6" idx="1"/>
        </xdr:cNvCxnSpPr>
      </xdr:nvCxnSpPr>
      <xdr:spPr>
        <a:xfrm>
          <a:off x="3762376" y="742950"/>
          <a:ext cx="302489" cy="3310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657225</xdr:colOff>
      <xdr:row>5</xdr:row>
      <xdr:rowOff>19050</xdr:rowOff>
    </xdr:from>
    <xdr:ext cx="357021" cy="264560"/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73742C7D-2138-40BE-8880-1DFA00B1C44F}"/>
            </a:ext>
          </a:extLst>
        </xdr:cNvPr>
        <xdr:cNvSpPr txBox="1"/>
      </xdr:nvSpPr>
      <xdr:spPr>
        <a:xfrm>
          <a:off x="3133725" y="819150"/>
          <a:ext cx="357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w1</a:t>
          </a:r>
          <a:endParaRPr lang="zh-CN" altLang="en-US" sz="1100"/>
        </a:p>
      </xdr:txBody>
    </xdr:sp>
    <xdr:clientData/>
  </xdr:oneCellAnchor>
  <xdr:oneCellAnchor>
    <xdr:from>
      <xdr:col>3</xdr:col>
      <xdr:colOff>76200</xdr:colOff>
      <xdr:row>5</xdr:row>
      <xdr:rowOff>19050</xdr:rowOff>
    </xdr:from>
    <xdr:ext cx="357021" cy="264560"/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7423B08E-37C4-4D32-8C44-183B758A2A08}"/>
            </a:ext>
          </a:extLst>
        </xdr:cNvPr>
        <xdr:cNvSpPr txBox="1"/>
      </xdr:nvSpPr>
      <xdr:spPr>
        <a:xfrm>
          <a:off x="3924300" y="819150"/>
          <a:ext cx="357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w2</a:t>
          </a:r>
          <a:endParaRPr lang="zh-CN" altLang="en-US" sz="1100"/>
        </a:p>
      </xdr:txBody>
    </xdr:sp>
    <xdr:clientData/>
  </xdr:oneCellAnchor>
  <xdr:oneCellAnchor>
    <xdr:from>
      <xdr:col>3</xdr:col>
      <xdr:colOff>571500</xdr:colOff>
      <xdr:row>3</xdr:row>
      <xdr:rowOff>19050</xdr:rowOff>
    </xdr:from>
    <xdr:ext cx="357021" cy="264560"/>
    <xdr:sp macro="" textlink="">
      <xdr:nvSpPr>
        <xdr:cNvPr id="30" name="文本框 29">
          <a:extLst>
            <a:ext uri="{FF2B5EF4-FFF2-40B4-BE49-F238E27FC236}">
              <a16:creationId xmlns:a16="http://schemas.microsoft.com/office/drawing/2014/main" id="{128E8352-594C-471D-A2CC-8F8BFD9EFCB7}"/>
            </a:ext>
          </a:extLst>
        </xdr:cNvPr>
        <xdr:cNvSpPr txBox="1"/>
      </xdr:nvSpPr>
      <xdr:spPr>
        <a:xfrm>
          <a:off x="4419600" y="419100"/>
          <a:ext cx="357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w3</a:t>
          </a:r>
          <a:endParaRPr lang="zh-CN" altLang="en-US" sz="1100"/>
        </a:p>
      </xdr:txBody>
    </xdr:sp>
    <xdr:clientData/>
  </xdr:oneCellAnchor>
  <xdr:twoCellAnchor>
    <xdr:from>
      <xdr:col>4</xdr:col>
      <xdr:colOff>581025</xdr:colOff>
      <xdr:row>4</xdr:row>
      <xdr:rowOff>28575</xdr:rowOff>
    </xdr:from>
    <xdr:to>
      <xdr:col>5</xdr:col>
      <xdr:colOff>428625</xdr:colOff>
      <xdr:row>6</xdr:row>
      <xdr:rowOff>95250</xdr:rowOff>
    </xdr:to>
    <xdr:sp macro="" textlink="">
      <xdr:nvSpPr>
        <xdr:cNvPr id="31" name="箭头: 右 30">
          <a:extLst>
            <a:ext uri="{FF2B5EF4-FFF2-40B4-BE49-F238E27FC236}">
              <a16:creationId xmlns:a16="http://schemas.microsoft.com/office/drawing/2014/main" id="{CDA32CC3-5480-4177-8832-8889899B4CE8}"/>
            </a:ext>
          </a:extLst>
        </xdr:cNvPr>
        <xdr:cNvSpPr/>
      </xdr:nvSpPr>
      <xdr:spPr>
        <a:xfrm>
          <a:off x="3324225" y="828675"/>
          <a:ext cx="533400" cy="466725"/>
        </a:xfrm>
        <a:prstGeom prst="righ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347662</xdr:colOff>
      <xdr:row>11</xdr:row>
      <xdr:rowOff>133350</xdr:rowOff>
    </xdr:from>
    <xdr:ext cx="1594924" cy="4621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417B76A0-66F4-4D7E-A101-6B4D7430E07A}"/>
                </a:ext>
              </a:extLst>
            </xdr:cNvPr>
            <xdr:cNvSpPr txBox="1"/>
          </xdr:nvSpPr>
          <xdr:spPr>
            <a:xfrm>
              <a:off x="2405062" y="2333625"/>
              <a:ext cx="1594924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[</m:t>
                        </m:r>
                        <m:sSub>
                          <m:sSub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d>
                          <m:d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sSub>
                          <m:sSub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sSup>
                          <m:sSup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zh-CN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]</m:t>
                        </m:r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417B76A0-66F4-4D7E-A101-6B4D7430E07A}"/>
                </a:ext>
              </a:extLst>
            </xdr:cNvPr>
            <xdr:cNvSpPr txBox="1"/>
          </xdr:nvSpPr>
          <xdr:spPr>
            <a:xfrm>
              <a:off x="2405062" y="2333625"/>
              <a:ext cx="1594924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∑24</a:t>
              </a:r>
              <a:r>
                <a:rPr lang="en-US" altLang="zh-CN" sz="1100" i="0">
                  <a:latin typeface="Cambria Math" panose="02040503050406030204" pitchFamily="18" charset="0"/>
                </a:rPr>
                <a:t>_</a:t>
              </a:r>
              <a:r>
                <a:rPr lang="zh-CN" altLang="en-US" sz="1100" i="0">
                  <a:latin typeface="Cambria Math" panose="02040503050406030204" pitchFamily="18" charset="0"/>
                </a:rPr>
                <a:t>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𝑖=1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)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^𝑛▒〖[𝑔_𝑖 𝑓_𝑡 (𝑥_𝑖 )+1/2 ℎ_𝑖 𝑓_𝑡 (𝑥_𝑖 )^2]〗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7</xdr:col>
      <xdr:colOff>57150</xdr:colOff>
      <xdr:row>12</xdr:row>
      <xdr:rowOff>104775</xdr:rowOff>
    </xdr:from>
    <xdr:to>
      <xdr:col>10</xdr:col>
      <xdr:colOff>276225</xdr:colOff>
      <xdr:row>12</xdr:row>
      <xdr:rowOff>104775</xdr:rowOff>
    </xdr:to>
    <xdr:cxnSp macro="">
      <xdr:nvCxnSpPr>
        <xdr:cNvPr id="34" name="直接箭头连接符 33">
          <a:extLst>
            <a:ext uri="{FF2B5EF4-FFF2-40B4-BE49-F238E27FC236}">
              <a16:creationId xmlns:a16="http://schemas.microsoft.com/office/drawing/2014/main" id="{7B2DAC30-1D19-4871-845D-C2C9A7726979}"/>
            </a:ext>
          </a:extLst>
        </xdr:cNvPr>
        <xdr:cNvCxnSpPr/>
      </xdr:nvCxnSpPr>
      <xdr:spPr>
        <a:xfrm>
          <a:off x="4591050" y="2505075"/>
          <a:ext cx="1333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12</xdr:row>
      <xdr:rowOff>123825</xdr:rowOff>
    </xdr:from>
    <xdr:to>
      <xdr:col>10</xdr:col>
      <xdr:colOff>419100</xdr:colOff>
      <xdr:row>16</xdr:row>
      <xdr:rowOff>152400</xdr:rowOff>
    </xdr:to>
    <xdr:cxnSp macro="">
      <xdr:nvCxnSpPr>
        <xdr:cNvPr id="36" name="直接箭头连接符 35">
          <a:extLst>
            <a:ext uri="{FF2B5EF4-FFF2-40B4-BE49-F238E27FC236}">
              <a16:creationId xmlns:a16="http://schemas.microsoft.com/office/drawing/2014/main" id="{8632B62B-9C0E-483F-A7C4-0FC7D439C965}"/>
            </a:ext>
          </a:extLst>
        </xdr:cNvPr>
        <xdr:cNvCxnSpPr/>
      </xdr:nvCxnSpPr>
      <xdr:spPr>
        <a:xfrm>
          <a:off x="6067425" y="2524125"/>
          <a:ext cx="0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304800</xdr:colOff>
      <xdr:row>14</xdr:row>
      <xdr:rowOff>142875</xdr:rowOff>
    </xdr:from>
    <xdr:ext cx="1711687" cy="474489"/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A7DF672C-FC63-43B2-B803-51EABE600ADE}"/>
            </a:ext>
          </a:extLst>
        </xdr:cNvPr>
        <xdr:cNvSpPr txBox="1"/>
      </xdr:nvSpPr>
      <xdr:spPr>
        <a:xfrm>
          <a:off x="2362200" y="2943225"/>
          <a:ext cx="1711687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1. </a:t>
          </a:r>
          <a:r>
            <a:rPr lang="zh-CN" altLang="en-US" sz="1100"/>
            <a:t>先算单个样本的</a:t>
          </a:r>
          <a:r>
            <a:rPr lang="en-US" altLang="zh-CN" sz="1100"/>
            <a:t>g,h,f(x)</a:t>
          </a:r>
        </a:p>
        <a:p>
          <a:r>
            <a:rPr lang="en-US" altLang="zh-CN" sz="1100"/>
            <a:t>2. </a:t>
          </a:r>
          <a:r>
            <a:rPr lang="zh-CN" altLang="en-US" sz="1100"/>
            <a:t>再算所有样本的和</a:t>
          </a:r>
        </a:p>
      </xdr:txBody>
    </xdr:sp>
    <xdr:clientData/>
  </xdr:oneCellAnchor>
  <xdr:twoCellAnchor>
    <xdr:from>
      <xdr:col>7</xdr:col>
      <xdr:colOff>95250</xdr:colOff>
      <xdr:row>31</xdr:row>
      <xdr:rowOff>47625</xdr:rowOff>
    </xdr:from>
    <xdr:to>
      <xdr:col>10</xdr:col>
      <xdr:colOff>333375</xdr:colOff>
      <xdr:row>31</xdr:row>
      <xdr:rowOff>47625</xdr:rowOff>
    </xdr:to>
    <xdr:cxnSp macro="">
      <xdr:nvCxnSpPr>
        <xdr:cNvPr id="38" name="直接箭头连接符 37">
          <a:extLst>
            <a:ext uri="{FF2B5EF4-FFF2-40B4-BE49-F238E27FC236}">
              <a16:creationId xmlns:a16="http://schemas.microsoft.com/office/drawing/2014/main" id="{CB5792F1-91B1-4F5B-AEDE-BC588A7A7857}"/>
            </a:ext>
          </a:extLst>
        </xdr:cNvPr>
        <xdr:cNvCxnSpPr/>
      </xdr:nvCxnSpPr>
      <xdr:spPr>
        <a:xfrm>
          <a:off x="4629150" y="5848350"/>
          <a:ext cx="1352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25</xdr:row>
      <xdr:rowOff>57150</xdr:rowOff>
    </xdr:from>
    <xdr:to>
      <xdr:col>7</xdr:col>
      <xdr:colOff>104775</xdr:colOff>
      <xdr:row>30</xdr:row>
      <xdr:rowOff>152400</xdr:rowOff>
    </xdr:to>
    <xdr:cxnSp macro="">
      <xdr:nvCxnSpPr>
        <xdr:cNvPr id="39" name="直接箭头连接符 38">
          <a:extLst>
            <a:ext uri="{FF2B5EF4-FFF2-40B4-BE49-F238E27FC236}">
              <a16:creationId xmlns:a16="http://schemas.microsoft.com/office/drawing/2014/main" id="{0175C823-9B8A-4C88-B615-4568D864DAA2}"/>
            </a:ext>
          </a:extLst>
        </xdr:cNvPr>
        <xdr:cNvCxnSpPr/>
      </xdr:nvCxnSpPr>
      <xdr:spPr>
        <a:xfrm>
          <a:off x="4638675" y="4657725"/>
          <a:ext cx="0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33337</xdr:colOff>
      <xdr:row>23</xdr:row>
      <xdr:rowOff>180975</xdr:rowOff>
    </xdr:from>
    <xdr:ext cx="1952201" cy="514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文本框 42">
              <a:extLst>
                <a:ext uri="{FF2B5EF4-FFF2-40B4-BE49-F238E27FC236}">
                  <a16:creationId xmlns:a16="http://schemas.microsoft.com/office/drawing/2014/main" id="{B056F022-F71F-498D-A397-99F5B03CC994}"/>
                </a:ext>
              </a:extLst>
            </xdr:cNvPr>
            <xdr:cNvSpPr txBox="1"/>
          </xdr:nvSpPr>
          <xdr:spPr>
            <a:xfrm>
              <a:off x="2090737" y="4381500"/>
              <a:ext cx="1952201" cy="514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sty m:val="p"/>
                            <m:brk m:alnAt="23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j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pHide m:val="on"/>
                                    <m:ctrlPr>
                                      <a:rPr lang="en-US" altLang="zh-CN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7"/>
                                      </m:rPr>
                                      <a:rPr lang="en-US" altLang="zh-CN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en-US" altLang="zh-CN" sz="1100" b="0" i="1">
                                        <a:latin typeface="Cambria Math" panose="02040503050406030204" pitchFamily="18" charset="0"/>
                                      </a:rPr>
                                      <m:t>∈</m:t>
                                    </m:r>
                                    <m:sSub>
                                      <m:sSubPr>
                                        <m:ctrlPr>
                                          <a:rPr lang="en-US" altLang="zh-CN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100" b="0" i="1">
                                            <a:latin typeface="Cambria Math" panose="02040503050406030204" pitchFamily="18" charset="0"/>
                                          </a:rPr>
                                          <m:t>𝐼</m:t>
                                        </m:r>
                                      </m:e>
                                      <m:sub>
                                        <m:r>
                                          <a:rPr lang="en-US" altLang="zh-CN" sz="1100" b="0" i="1">
                                            <a:latin typeface="Cambria Math" panose="02040503050406030204" pitchFamily="18" charset="0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sub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altLang="zh-CN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100" b="0" i="1">
                                            <a:latin typeface="Cambria Math" panose="02040503050406030204" pitchFamily="18" charset="0"/>
                                          </a:rPr>
                                          <m:t>𝑔</m:t>
                                        </m:r>
                                      </m:e>
                                      <m:sub>
                                        <m:r>
                                          <a:rPr lang="en-US" altLang="zh-CN" sz="11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pHide m:val="on"/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7"/>
                                      </m:r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∈</m:t>
                                    </m:r>
                                    <m:sSub>
                                      <m:sSubPr>
                                        <m:ctrlPr>
                                          <a:rPr lang="en-US" altLang="zh-CN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𝐼</m:t>
                                        </m:r>
                                      </m:e>
                                      <m:sub>
                                        <m:r>
                                          <a:rPr lang="en-US" altLang="zh-CN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sub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altLang="zh-CN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zh-CN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  <m:sSubSup>
                              <m:sSubSup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  <m:sup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43" name="文本框 42">
              <a:extLst>
                <a:ext uri="{FF2B5EF4-FFF2-40B4-BE49-F238E27FC236}">
                  <a16:creationId xmlns:a16="http://schemas.microsoft.com/office/drawing/2014/main" id="{B056F022-F71F-498D-A397-99F5B03CC994}"/>
                </a:ext>
              </a:extLst>
            </xdr:cNvPr>
            <xdr:cNvSpPr txBox="1"/>
          </xdr:nvSpPr>
          <xdr:spPr>
            <a:xfrm>
              <a:off x="2090737" y="4381500"/>
              <a:ext cx="1952201" cy="514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∑24</a:t>
              </a:r>
              <a:r>
                <a:rPr lang="en-US" altLang="zh-CN" sz="1100" i="0">
                  <a:latin typeface="Cambria Math" panose="02040503050406030204" pitchFamily="18" charset="0"/>
                </a:rPr>
                <a:t>_</a:t>
              </a:r>
              <a:r>
                <a:rPr lang="zh-CN" altLang="en-US" sz="1100" i="0">
                  <a:latin typeface="Cambria Math" panose="02040503050406030204" pitchFamily="18" charset="0"/>
                </a:rPr>
                <a:t>(</a:t>
              </a:r>
              <a:r>
                <a:rPr lang="en-US" altLang="zh-CN" sz="1100" i="0">
                  <a:latin typeface="Cambria Math" panose="02040503050406030204" pitchFamily="18" charset="0"/>
                </a:rPr>
                <a:t>j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=1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)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^𝑇▒[(∑8_(𝑖∈𝐼_𝑗)▒𝑔_𝑖 )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𝑤_𝑗+(∑_(𝑖∈𝐼_𝑗)▒ℎ_𝑖 ) 𝑤_𝑗^2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]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285750</xdr:colOff>
      <xdr:row>27</xdr:row>
      <xdr:rowOff>66675</xdr:rowOff>
    </xdr:from>
    <xdr:ext cx="1763944" cy="474489"/>
    <xdr:sp macro="" textlink="">
      <xdr:nvSpPr>
        <xdr:cNvPr id="44" name="文本框 43">
          <a:extLst>
            <a:ext uri="{FF2B5EF4-FFF2-40B4-BE49-F238E27FC236}">
              <a16:creationId xmlns:a16="http://schemas.microsoft.com/office/drawing/2014/main" id="{77900206-804F-4E5D-88F4-E82EAF12CD51}"/>
            </a:ext>
          </a:extLst>
        </xdr:cNvPr>
        <xdr:cNvSpPr txBox="1"/>
      </xdr:nvSpPr>
      <xdr:spPr>
        <a:xfrm>
          <a:off x="2343150" y="5467350"/>
          <a:ext cx="1763944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1. </a:t>
          </a:r>
          <a:r>
            <a:rPr lang="zh-CN" altLang="en-US" sz="1100"/>
            <a:t>先算单个叶节点的</a:t>
          </a:r>
          <a:r>
            <a:rPr lang="en-US" altLang="zh-CN" sz="1100"/>
            <a:t>g,h,w</a:t>
          </a:r>
        </a:p>
        <a:p>
          <a:r>
            <a:rPr lang="en-US" altLang="zh-CN" sz="1100"/>
            <a:t>2. </a:t>
          </a:r>
          <a:r>
            <a:rPr lang="zh-CN" altLang="en-US" sz="1100"/>
            <a:t>再算所有叶节点的和</a:t>
          </a:r>
        </a:p>
      </xdr:txBody>
    </xdr:sp>
    <xdr:clientData/>
  </xdr:oneCellAnchor>
  <xdr:twoCellAnchor>
    <xdr:from>
      <xdr:col>5</xdr:col>
      <xdr:colOff>533399</xdr:colOff>
      <xdr:row>18</xdr:row>
      <xdr:rowOff>171450</xdr:rowOff>
    </xdr:from>
    <xdr:to>
      <xdr:col>6</xdr:col>
      <xdr:colOff>333374</xdr:colOff>
      <xdr:row>23</xdr:row>
      <xdr:rowOff>57150</xdr:rowOff>
    </xdr:to>
    <xdr:sp macro="" textlink="">
      <xdr:nvSpPr>
        <xdr:cNvPr id="45" name="箭头: 上下 44">
          <a:extLst>
            <a:ext uri="{FF2B5EF4-FFF2-40B4-BE49-F238E27FC236}">
              <a16:creationId xmlns:a16="http://schemas.microsoft.com/office/drawing/2014/main" id="{B271C5CA-F944-45B6-831C-90D0C70E8BF5}"/>
            </a:ext>
          </a:extLst>
        </xdr:cNvPr>
        <xdr:cNvSpPr/>
      </xdr:nvSpPr>
      <xdr:spPr>
        <a:xfrm>
          <a:off x="3962399" y="3771900"/>
          <a:ext cx="485775" cy="885825"/>
        </a:xfrm>
        <a:prstGeom prst="upDown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等价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F6BA-0295-7A45-B659-BC49B697865D}">
  <dimension ref="B1:K32"/>
  <sheetViews>
    <sheetView workbookViewId="0">
      <selection activeCell="O7" sqref="O7"/>
    </sheetView>
  </sheetViews>
  <sheetFormatPr defaultColWidth="10.875" defaultRowHeight="15.75" x14ac:dyDescent="0.25"/>
  <cols>
    <col min="1" max="2" width="10.875" style="1"/>
    <col min="3" max="3" width="23.875" style="1" customWidth="1"/>
    <col min="4" max="4" width="16.875" style="1" customWidth="1"/>
    <col min="5" max="16384" width="10.875" style="1"/>
  </cols>
  <sheetData>
    <row r="1" spans="2:11" ht="16.5" thickBot="1" x14ac:dyDescent="0.3"/>
    <row r="2" spans="2:11" ht="23.1" customHeight="1" x14ac:dyDescent="0.25">
      <c r="B2" s="5" t="s">
        <v>0</v>
      </c>
      <c r="C2" s="6" t="s">
        <v>1</v>
      </c>
      <c r="D2" s="7" t="s">
        <v>2</v>
      </c>
      <c r="E2" s="2"/>
      <c r="H2" s="2" t="s">
        <v>3</v>
      </c>
      <c r="I2" s="2" t="s">
        <v>5</v>
      </c>
      <c r="J2" s="2" t="s">
        <v>7</v>
      </c>
      <c r="K2" s="2" t="s">
        <v>8</v>
      </c>
    </row>
    <row r="3" spans="2:11" ht="18.95" customHeight="1" x14ac:dyDescent="0.25">
      <c r="B3" s="8">
        <f>B4+Sheet2!$Z$7</f>
        <v>80</v>
      </c>
      <c r="C3" s="3" t="str">
        <f t="shared" ref="C3:C10" si="0">E3*100&amp;" : 100"</f>
        <v>0.625 : 100</v>
      </c>
      <c r="D3" s="30">
        <f t="shared" ref="D3:D5" si="1">E3/(1+E3)</f>
        <v>6.2111801242236021E-3</v>
      </c>
      <c r="E3" s="2">
        <f>E4/2</f>
        <v>6.2500000000000003E-3</v>
      </c>
      <c r="H3" s="2">
        <v>19</v>
      </c>
      <c r="I3" s="2">
        <v>3</v>
      </c>
      <c r="J3" s="2" t="s">
        <v>12</v>
      </c>
      <c r="K3" s="2">
        <v>1</v>
      </c>
    </row>
    <row r="4" spans="2:11" ht="18.95" customHeight="1" x14ac:dyDescent="0.25">
      <c r="B4" s="9">
        <f>B5+Sheet2!$Z$7</f>
        <v>70</v>
      </c>
      <c r="C4" s="3" t="str">
        <f t="shared" si="0"/>
        <v>1.25 : 100</v>
      </c>
      <c r="D4" s="31">
        <f t="shared" si="1"/>
        <v>1.234567901234568E-2</v>
      </c>
      <c r="E4" s="2">
        <f>E5/2</f>
        <v>1.2500000000000001E-2</v>
      </c>
      <c r="H4" s="2">
        <v>20</v>
      </c>
      <c r="I4" s="2">
        <v>1</v>
      </c>
      <c r="J4" s="2" t="s">
        <v>12</v>
      </c>
      <c r="K4" s="2">
        <v>1</v>
      </c>
    </row>
    <row r="5" spans="2:11" ht="18.95" customHeight="1" x14ac:dyDescent="0.25">
      <c r="B5" s="9">
        <f>B6+Sheet2!$Z$7</f>
        <v>60</v>
      </c>
      <c r="C5" s="3" t="str">
        <f t="shared" si="0"/>
        <v>2.5 : 100</v>
      </c>
      <c r="D5" s="31">
        <f t="shared" si="1"/>
        <v>2.4390243902439029E-2</v>
      </c>
      <c r="E5" s="2">
        <f>E6/2</f>
        <v>2.5000000000000001E-2</v>
      </c>
      <c r="H5" s="2">
        <v>21</v>
      </c>
      <c r="I5" s="2">
        <v>2</v>
      </c>
      <c r="J5" s="2" t="s">
        <v>12</v>
      </c>
      <c r="K5" s="2">
        <v>1</v>
      </c>
    </row>
    <row r="6" spans="2:11" ht="18.95" customHeight="1" x14ac:dyDescent="0.25">
      <c r="B6" s="34">
        <f>Sheet2!Z6</f>
        <v>50</v>
      </c>
      <c r="C6" s="35" t="str">
        <f t="shared" si="0"/>
        <v>5 : 100</v>
      </c>
      <c r="D6" s="33">
        <f>E6/(1+E6)</f>
        <v>4.7619047619047616E-2</v>
      </c>
      <c r="E6" s="2">
        <f>Sheet2!Z8</f>
        <v>0.05</v>
      </c>
      <c r="H6" s="2">
        <v>22</v>
      </c>
      <c r="I6" s="2">
        <v>-1</v>
      </c>
      <c r="J6" s="2" t="s">
        <v>12</v>
      </c>
      <c r="K6" s="2">
        <v>1</v>
      </c>
    </row>
    <row r="7" spans="2:11" ht="18.95" customHeight="1" x14ac:dyDescent="0.25">
      <c r="B7" s="9">
        <f>B6-Sheet2!$Z$7</f>
        <v>40</v>
      </c>
      <c r="C7" s="3" t="str">
        <f t="shared" si="0"/>
        <v>10 : 100</v>
      </c>
      <c r="D7" s="31">
        <f t="shared" ref="D7:D10" si="2">E7/(1+E7)</f>
        <v>9.0909090909090912E-2</v>
      </c>
      <c r="E7" s="2">
        <f>E6*2</f>
        <v>0.1</v>
      </c>
      <c r="H7" s="2">
        <v>23</v>
      </c>
      <c r="I7" s="2">
        <v>0</v>
      </c>
      <c r="J7" s="2" t="s">
        <v>12</v>
      </c>
      <c r="K7" s="2">
        <v>1</v>
      </c>
    </row>
    <row r="8" spans="2:11" ht="18.95" customHeight="1" x14ac:dyDescent="0.25">
      <c r="B8" s="9">
        <f>B7-Sheet2!$Z$7</f>
        <v>30</v>
      </c>
      <c r="C8" s="3" t="str">
        <f t="shared" si="0"/>
        <v>20 : 100</v>
      </c>
      <c r="D8" s="31">
        <f t="shared" si="2"/>
        <v>0.16666666666666669</v>
      </c>
      <c r="E8" s="2">
        <f>E7*2</f>
        <v>0.2</v>
      </c>
      <c r="H8" s="2">
        <v>24</v>
      </c>
      <c r="I8" s="2">
        <v>5</v>
      </c>
      <c r="J8" s="2" t="s">
        <v>12</v>
      </c>
      <c r="K8" s="2">
        <v>0</v>
      </c>
    </row>
    <row r="9" spans="2:11" ht="18.95" customHeight="1" x14ac:dyDescent="0.25">
      <c r="B9" s="9">
        <f>B8-Sheet2!$Z$7</f>
        <v>20</v>
      </c>
      <c r="C9" s="3" t="str">
        <f t="shared" si="0"/>
        <v>40 : 100</v>
      </c>
      <c r="D9" s="31">
        <f t="shared" si="2"/>
        <v>0.28571428571428575</v>
      </c>
      <c r="E9" s="2">
        <f>E8*2</f>
        <v>0.4</v>
      </c>
      <c r="H9" s="2">
        <v>25</v>
      </c>
      <c r="I9" s="2">
        <v>1</v>
      </c>
      <c r="J9" s="2" t="s">
        <v>12</v>
      </c>
      <c r="K9" s="2">
        <v>1</v>
      </c>
    </row>
    <row r="10" spans="2:11" ht="18.95" customHeight="1" thickBot="1" x14ac:dyDescent="0.3">
      <c r="B10" s="10">
        <f>B9-Sheet2!$Z$7</f>
        <v>10</v>
      </c>
      <c r="C10" s="4" t="str">
        <f t="shared" si="0"/>
        <v>80 : 100</v>
      </c>
      <c r="D10" s="32">
        <f t="shared" si="2"/>
        <v>0.44444444444444448</v>
      </c>
      <c r="E10" s="2">
        <f>E9*2</f>
        <v>0.8</v>
      </c>
      <c r="H10" s="2">
        <v>26</v>
      </c>
      <c r="I10" s="2">
        <v>2</v>
      </c>
      <c r="J10" s="2" t="s">
        <v>12</v>
      </c>
      <c r="K10" s="2">
        <v>1</v>
      </c>
    </row>
    <row r="11" spans="2:11" ht="18.95" customHeight="1" x14ac:dyDescent="0.25">
      <c r="E11" s="2"/>
      <c r="H11" s="2">
        <v>27</v>
      </c>
      <c r="I11" s="2">
        <v>1</v>
      </c>
      <c r="J11" s="2" t="s">
        <v>10</v>
      </c>
      <c r="K11" s="2">
        <v>1</v>
      </c>
    </row>
    <row r="12" spans="2:11" x14ac:dyDescent="0.25">
      <c r="H12" s="2">
        <v>28</v>
      </c>
      <c r="I12" s="2">
        <v>2</v>
      </c>
      <c r="J12" s="2" t="s">
        <v>10</v>
      </c>
      <c r="K12" s="2">
        <v>0</v>
      </c>
    </row>
    <row r="13" spans="2:11" x14ac:dyDescent="0.25">
      <c r="H13" s="2">
        <v>29</v>
      </c>
      <c r="I13" s="2">
        <v>1</v>
      </c>
      <c r="J13" s="2" t="s">
        <v>10</v>
      </c>
      <c r="K13" s="2">
        <v>0</v>
      </c>
    </row>
    <row r="14" spans="2:11" x14ac:dyDescent="0.25">
      <c r="H14" s="2">
        <v>30</v>
      </c>
      <c r="I14" s="2">
        <v>2</v>
      </c>
      <c r="J14" s="2" t="s">
        <v>10</v>
      </c>
      <c r="K14" s="2">
        <v>0</v>
      </c>
    </row>
    <row r="15" spans="2:11" x14ac:dyDescent="0.25">
      <c r="H15" s="2">
        <v>33</v>
      </c>
      <c r="I15" s="2">
        <v>6</v>
      </c>
      <c r="J15" s="2" t="s">
        <v>10</v>
      </c>
      <c r="K15" s="2">
        <v>1</v>
      </c>
    </row>
    <row r="16" spans="2:11" x14ac:dyDescent="0.25">
      <c r="H16" s="2">
        <v>34</v>
      </c>
      <c r="I16" s="2">
        <v>5</v>
      </c>
      <c r="J16" s="2" t="s">
        <v>10</v>
      </c>
      <c r="K16" s="2">
        <v>0</v>
      </c>
    </row>
    <row r="17" spans="8:11" x14ac:dyDescent="0.25">
      <c r="H17" s="2">
        <v>35</v>
      </c>
      <c r="I17" s="2">
        <v>6</v>
      </c>
      <c r="J17" s="2" t="s">
        <v>12</v>
      </c>
      <c r="K17" s="2">
        <v>0</v>
      </c>
    </row>
    <row r="18" spans="8:11" x14ac:dyDescent="0.25">
      <c r="H18" s="2">
        <v>36</v>
      </c>
      <c r="I18" s="2">
        <v>5</v>
      </c>
      <c r="J18" s="2" t="s">
        <v>12</v>
      </c>
      <c r="K18" s="2">
        <v>0</v>
      </c>
    </row>
    <row r="19" spans="8:11" x14ac:dyDescent="0.25">
      <c r="H19" s="2">
        <v>37</v>
      </c>
      <c r="I19" s="2">
        <v>6</v>
      </c>
      <c r="J19" s="2" t="s">
        <v>10</v>
      </c>
      <c r="K19" s="2">
        <v>0</v>
      </c>
    </row>
    <row r="20" spans="8:11" x14ac:dyDescent="0.25">
      <c r="H20" s="2">
        <v>38</v>
      </c>
      <c r="I20" s="2">
        <v>5</v>
      </c>
      <c r="J20" s="2" t="s">
        <v>10</v>
      </c>
      <c r="K20" s="2">
        <v>0</v>
      </c>
    </row>
    <row r="21" spans="8:11" x14ac:dyDescent="0.25">
      <c r="H21" s="2">
        <v>48</v>
      </c>
      <c r="I21" s="2">
        <v>4</v>
      </c>
      <c r="J21" s="2" t="s">
        <v>10</v>
      </c>
      <c r="K21" s="2">
        <v>1</v>
      </c>
    </row>
    <row r="22" spans="8:11" x14ac:dyDescent="0.25">
      <c r="H22" s="2">
        <v>49</v>
      </c>
      <c r="I22" s="2">
        <v>3</v>
      </c>
      <c r="J22" s="2" t="s">
        <v>14</v>
      </c>
      <c r="K22" s="2">
        <v>1</v>
      </c>
    </row>
    <row r="23" spans="8:11" x14ac:dyDescent="0.25">
      <c r="H23" s="2">
        <v>50</v>
      </c>
      <c r="I23" s="2">
        <v>4</v>
      </c>
      <c r="J23" s="2" t="s">
        <v>10</v>
      </c>
      <c r="K23" s="2">
        <v>0</v>
      </c>
    </row>
    <row r="24" spans="8:11" x14ac:dyDescent="0.25">
      <c r="H24" s="2">
        <v>51</v>
      </c>
      <c r="I24" s="2">
        <v>3</v>
      </c>
      <c r="J24" s="2" t="s">
        <v>14</v>
      </c>
      <c r="K24" s="2">
        <v>0</v>
      </c>
    </row>
    <row r="25" spans="8:11" x14ac:dyDescent="0.25">
      <c r="H25" s="2">
        <v>52</v>
      </c>
      <c r="I25" s="2">
        <v>4</v>
      </c>
      <c r="J25" s="2" t="s">
        <v>14</v>
      </c>
      <c r="K25" s="2">
        <v>0</v>
      </c>
    </row>
    <row r="26" spans="8:11" x14ac:dyDescent="0.25">
      <c r="H26" s="2">
        <v>53</v>
      </c>
      <c r="I26" s="2">
        <v>3</v>
      </c>
      <c r="J26" s="2" t="s">
        <v>14</v>
      </c>
      <c r="K26" s="2">
        <v>0</v>
      </c>
    </row>
    <row r="27" spans="8:11" x14ac:dyDescent="0.25">
      <c r="H27" s="2">
        <v>56</v>
      </c>
      <c r="I27" s="2">
        <v>-1</v>
      </c>
      <c r="J27" s="2" t="s">
        <v>14</v>
      </c>
      <c r="K27" s="2">
        <v>1</v>
      </c>
    </row>
    <row r="28" spans="8:11" x14ac:dyDescent="0.25">
      <c r="H28" s="2">
        <v>57</v>
      </c>
      <c r="I28" s="2">
        <v>0</v>
      </c>
      <c r="J28" s="2" t="s">
        <v>14</v>
      </c>
      <c r="K28" s="2">
        <v>1</v>
      </c>
    </row>
    <row r="29" spans="8:11" x14ac:dyDescent="0.25">
      <c r="H29" s="2">
        <v>58</v>
      </c>
      <c r="I29" s="2">
        <v>-1</v>
      </c>
      <c r="J29" s="2" t="s">
        <v>14</v>
      </c>
      <c r="K29" s="2">
        <v>1</v>
      </c>
    </row>
    <row r="30" spans="8:11" x14ac:dyDescent="0.25">
      <c r="H30" s="2">
        <v>59</v>
      </c>
      <c r="I30" s="2">
        <v>0</v>
      </c>
      <c r="J30" s="2" t="s">
        <v>14</v>
      </c>
      <c r="K30" s="2">
        <v>1</v>
      </c>
    </row>
    <row r="31" spans="8:11" x14ac:dyDescent="0.25">
      <c r="H31" s="2">
        <v>60</v>
      </c>
      <c r="I31" s="2">
        <v>-1</v>
      </c>
      <c r="J31" s="2" t="s">
        <v>14</v>
      </c>
      <c r="K31" s="2">
        <v>0</v>
      </c>
    </row>
    <row r="32" spans="8:11" x14ac:dyDescent="0.25">
      <c r="H32" s="2">
        <v>61</v>
      </c>
      <c r="I32" s="2">
        <v>0</v>
      </c>
      <c r="J32" s="2" t="s">
        <v>14</v>
      </c>
      <c r="K32" s="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BA35-6D5E-9C44-85C5-CBED5BAA450E}">
  <dimension ref="A2:AQ38"/>
  <sheetViews>
    <sheetView topLeftCell="M1" zoomScaleNormal="100" workbookViewId="0">
      <selection activeCell="AD4" sqref="AD4"/>
    </sheetView>
  </sheetViews>
  <sheetFormatPr defaultColWidth="10.875" defaultRowHeight="15.75" x14ac:dyDescent="0.25"/>
  <cols>
    <col min="1" max="5" width="10.875" style="2"/>
    <col min="6" max="6" width="14.5" style="2" bestFit="1" customWidth="1"/>
    <col min="7" max="7" width="13.375" style="2" bestFit="1" customWidth="1"/>
    <col min="8" max="11" width="10.875" style="2"/>
    <col min="12" max="12" width="14.5" style="2" bestFit="1" customWidth="1"/>
    <col min="13" max="13" width="10" style="2" bestFit="1" customWidth="1"/>
    <col min="14" max="15" width="12" style="2" bestFit="1" customWidth="1"/>
    <col min="16" max="16" width="17.5" style="2" bestFit="1" customWidth="1"/>
    <col min="17" max="17" width="14.125" style="2" bestFit="1" customWidth="1"/>
    <col min="18" max="18" width="9.5" style="2" bestFit="1" customWidth="1"/>
    <col min="19" max="19" width="11.125" style="2" bestFit="1" customWidth="1"/>
    <col min="20" max="24" width="10.875" style="2"/>
    <col min="25" max="25" width="18.625" style="2" bestFit="1" customWidth="1"/>
    <col min="26" max="26" width="10.5" style="2" bestFit="1" customWidth="1"/>
    <col min="27" max="27" width="11.375" style="2" bestFit="1" customWidth="1"/>
    <col min="28" max="28" width="10.875" style="2"/>
    <col min="29" max="29" width="15.625" style="2" bestFit="1" customWidth="1"/>
    <col min="30" max="30" width="12" style="2" bestFit="1" customWidth="1"/>
    <col min="31" max="31" width="10.875" style="2"/>
    <col min="32" max="32" width="11.125" style="2" customWidth="1"/>
    <col min="33" max="33" width="26.125" style="2" customWidth="1"/>
    <col min="34" max="34" width="12" style="2" bestFit="1" customWidth="1"/>
    <col min="35" max="36" width="5" style="2" bestFit="1" customWidth="1"/>
    <col min="37" max="37" width="11.125" style="2" bestFit="1" customWidth="1"/>
    <col min="38" max="38" width="9.875" style="2" customWidth="1"/>
    <col min="39" max="39" width="10.125" style="2" bestFit="1" customWidth="1"/>
    <col min="40" max="40" width="11" style="2" bestFit="1" customWidth="1"/>
    <col min="41" max="41" width="12.5" style="2" bestFit="1" customWidth="1"/>
    <col min="42" max="42" width="6" style="2" bestFit="1" customWidth="1"/>
    <col min="43" max="16384" width="10.875" style="2"/>
  </cols>
  <sheetData>
    <row r="2" spans="1:43" x14ac:dyDescent="0.25">
      <c r="A2" s="2" t="s">
        <v>3</v>
      </c>
      <c r="B2" s="2" t="s">
        <v>5</v>
      </c>
      <c r="C2" s="2" t="s">
        <v>7</v>
      </c>
      <c r="D2" s="2" t="s">
        <v>8</v>
      </c>
      <c r="F2" s="2" t="s">
        <v>68</v>
      </c>
      <c r="G2" s="2" t="s">
        <v>69</v>
      </c>
      <c r="H2" s="2" t="s">
        <v>70</v>
      </c>
      <c r="I2" s="2" t="s">
        <v>8</v>
      </c>
      <c r="T2" s="2" t="s">
        <v>30</v>
      </c>
      <c r="U2" s="2" t="s">
        <v>31</v>
      </c>
      <c r="V2" s="2" t="s">
        <v>32</v>
      </c>
      <c r="W2" s="2" t="s">
        <v>8</v>
      </c>
      <c r="AB2" s="2" t="s">
        <v>8</v>
      </c>
      <c r="AC2" s="2" t="s">
        <v>76</v>
      </c>
      <c r="AD2" s="2" t="s">
        <v>75</v>
      </c>
    </row>
    <row r="3" spans="1:43" ht="16.5" thickBot="1" x14ac:dyDescent="0.3">
      <c r="A3" s="2">
        <v>19</v>
      </c>
      <c r="B3" s="2">
        <v>3</v>
      </c>
      <c r="C3" s="2" t="s">
        <v>12</v>
      </c>
      <c r="D3" s="2">
        <v>1</v>
      </c>
      <c r="F3" s="2" t="s">
        <v>77</v>
      </c>
      <c r="G3" s="2" t="s">
        <v>78</v>
      </c>
      <c r="H3" s="2" t="s">
        <v>11</v>
      </c>
      <c r="I3" s="2">
        <v>1</v>
      </c>
      <c r="N3" s="2" t="s">
        <v>19</v>
      </c>
      <c r="O3" s="2" t="s">
        <v>20</v>
      </c>
      <c r="P3" s="2" t="s">
        <v>22</v>
      </c>
      <c r="R3" s="1"/>
      <c r="S3" s="1"/>
      <c r="T3" s="14">
        <f t="shared" ref="T3:T32" si="0">VLOOKUP(F3,$L$7:$Q$11,6,FALSE)</f>
        <v>1.791759469228055</v>
      </c>
      <c r="U3" s="14">
        <f t="shared" ref="U3:U32" si="1">VLOOKUP(G3,$L$12:$Q$14,6,FALSE)</f>
        <v>0.31845373111853459</v>
      </c>
      <c r="V3" s="14">
        <f t="shared" ref="V3:V32" si="2">VLOOKUP(H3,$L$15:$Q$17,6,FALSE)</f>
        <v>0.84729786038720367</v>
      </c>
      <c r="W3" s="2">
        <v>1</v>
      </c>
      <c r="X3" s="14"/>
      <c r="Y3" s="1"/>
      <c r="Z3" s="1"/>
      <c r="AA3" s="1"/>
      <c r="AB3" s="2">
        <v>1</v>
      </c>
      <c r="AC3" s="13">
        <f>$Z$19+$Z$16*T3+$Z$17*U3+$Z$18*V3</f>
        <v>1.5352635867822118</v>
      </c>
      <c r="AD3" s="13">
        <f>EXP(AC3)/(1+EXP(AC3))</f>
        <v>0.82277513491802823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3" x14ac:dyDescent="0.25">
      <c r="A4" s="2">
        <v>20</v>
      </c>
      <c r="B4" s="2">
        <v>1</v>
      </c>
      <c r="C4" s="2" t="s">
        <v>12</v>
      </c>
      <c r="D4" s="2">
        <v>1</v>
      </c>
      <c r="F4" s="2" t="s">
        <v>77</v>
      </c>
      <c r="G4" s="2" t="s">
        <v>78</v>
      </c>
      <c r="H4" s="2" t="s">
        <v>11</v>
      </c>
      <c r="I4" s="2">
        <v>1</v>
      </c>
      <c r="N4" s="2">
        <v>15</v>
      </c>
      <c r="O4" s="2">
        <v>15</v>
      </c>
      <c r="P4" s="2">
        <f>N4/O4</f>
        <v>1</v>
      </c>
      <c r="R4" s="1"/>
      <c r="S4" s="1"/>
      <c r="T4" s="14">
        <f t="shared" si="0"/>
        <v>1.791759469228055</v>
      </c>
      <c r="U4" s="14">
        <f t="shared" si="1"/>
        <v>0.31845373111853459</v>
      </c>
      <c r="V4" s="14">
        <f t="shared" si="2"/>
        <v>0.84729786038720367</v>
      </c>
      <c r="W4" s="2">
        <v>1</v>
      </c>
      <c r="X4" s="14"/>
      <c r="Y4" s="1"/>
      <c r="Z4" s="1"/>
      <c r="AA4" s="1"/>
      <c r="AB4" s="2">
        <v>1</v>
      </c>
      <c r="AC4" s="13">
        <f t="shared" ref="AC4:AC32" si="3">$Z$19+$Z$16*T4+$Z$17*U4+$Z$18*V4</f>
        <v>1.5352635867822118</v>
      </c>
      <c r="AD4" s="13">
        <f t="shared" ref="AD4:AD32" si="4">EXP(AC4)/(1+EXP(AC4))</f>
        <v>0.82277513491802823</v>
      </c>
      <c r="AF4" s="20" t="s">
        <v>37</v>
      </c>
      <c r="AG4" s="21" t="s">
        <v>38</v>
      </c>
      <c r="AH4" s="22" t="s">
        <v>0</v>
      </c>
      <c r="AI4" s="1"/>
      <c r="AJ4" s="1"/>
      <c r="AK4" s="1"/>
      <c r="AL4" s="1"/>
      <c r="AM4" s="1"/>
      <c r="AN4" s="1"/>
      <c r="AO4" s="1"/>
      <c r="AP4" s="1"/>
    </row>
    <row r="5" spans="1:43" x14ac:dyDescent="0.25">
      <c r="A5" s="2">
        <v>21</v>
      </c>
      <c r="B5" s="2">
        <v>2</v>
      </c>
      <c r="C5" s="2" t="s">
        <v>12</v>
      </c>
      <c r="D5" s="2">
        <v>1</v>
      </c>
      <c r="F5" s="2" t="s">
        <v>77</v>
      </c>
      <c r="G5" s="2" t="s">
        <v>78</v>
      </c>
      <c r="H5" s="2" t="s">
        <v>11</v>
      </c>
      <c r="I5" s="2">
        <v>1</v>
      </c>
      <c r="R5" s="1"/>
      <c r="S5" s="1"/>
      <c r="T5" s="14">
        <f t="shared" si="0"/>
        <v>1.791759469228055</v>
      </c>
      <c r="U5" s="14">
        <f t="shared" si="1"/>
        <v>0.31845373111853459</v>
      </c>
      <c r="V5" s="14">
        <f t="shared" si="2"/>
        <v>0.84729786038720367</v>
      </c>
      <c r="W5" s="2">
        <v>1</v>
      </c>
      <c r="X5" s="14"/>
      <c r="Y5" s="1"/>
      <c r="Z5" s="1"/>
      <c r="AA5" s="1"/>
      <c r="AB5" s="2">
        <v>1</v>
      </c>
      <c r="AC5" s="13">
        <f t="shared" si="3"/>
        <v>1.5352635867822118</v>
      </c>
      <c r="AD5" s="13">
        <f t="shared" si="4"/>
        <v>0.82277513491802823</v>
      </c>
      <c r="AF5" s="37" t="s">
        <v>3</v>
      </c>
      <c r="AG5" s="17" t="s">
        <v>40</v>
      </c>
      <c r="AH5" s="24">
        <f>($Z$11-$Z$10*$Z$19)-($Z$10*$Z$16*Q7)</f>
        <v>-8.5330871990972437</v>
      </c>
      <c r="AI5" s="28">
        <f>($Z$11-$Z$10*$Z$19)</f>
        <v>6.9249885552152719</v>
      </c>
      <c r="AJ5" s="28">
        <f>($Z$10*$Z$16*Q7)</f>
        <v>15.458075754312516</v>
      </c>
      <c r="AK5" s="1"/>
      <c r="AL5" s="1"/>
      <c r="AM5" s="1"/>
      <c r="AN5" s="1"/>
      <c r="AO5" s="1"/>
      <c r="AP5" s="1"/>
    </row>
    <row r="6" spans="1:43" x14ac:dyDescent="0.25">
      <c r="A6" s="2">
        <v>22</v>
      </c>
      <c r="B6" s="2">
        <v>-1</v>
      </c>
      <c r="C6" s="2" t="s">
        <v>12</v>
      </c>
      <c r="D6" s="2">
        <v>1</v>
      </c>
      <c r="F6" s="2" t="s">
        <v>77</v>
      </c>
      <c r="G6" s="2" t="s">
        <v>79</v>
      </c>
      <c r="H6" s="2" t="s">
        <v>11</v>
      </c>
      <c r="I6" s="2">
        <v>1</v>
      </c>
      <c r="K6" s="2" t="s">
        <v>37</v>
      </c>
      <c r="L6" s="2" t="s">
        <v>71</v>
      </c>
      <c r="M6" s="2" t="s">
        <v>16</v>
      </c>
      <c r="N6" s="2" t="s">
        <v>17</v>
      </c>
      <c r="O6" s="2" t="s">
        <v>18</v>
      </c>
      <c r="P6" s="2" t="s">
        <v>21</v>
      </c>
      <c r="Q6" s="2" t="s">
        <v>15</v>
      </c>
      <c r="R6" s="2" t="s">
        <v>23</v>
      </c>
      <c r="S6" s="1"/>
      <c r="T6" s="14">
        <f t="shared" si="0"/>
        <v>1.791759469228055</v>
      </c>
      <c r="U6" s="14">
        <f t="shared" si="1"/>
        <v>1.0986122886681098</v>
      </c>
      <c r="V6" s="14">
        <f t="shared" si="2"/>
        <v>0.84729786038720367</v>
      </c>
      <c r="W6" s="2">
        <v>1</v>
      </c>
      <c r="X6" s="14"/>
      <c r="Y6" s="11" t="s">
        <v>25</v>
      </c>
      <c r="Z6" s="2">
        <v>50</v>
      </c>
      <c r="AA6" s="1"/>
      <c r="AB6" s="2">
        <v>1</v>
      </c>
      <c r="AC6" s="13">
        <f t="shared" si="3"/>
        <v>2.0462674419771836</v>
      </c>
      <c r="AD6" s="13">
        <f t="shared" si="4"/>
        <v>0.88556992083899344</v>
      </c>
      <c r="AF6" s="38"/>
      <c r="AG6" s="18" t="s">
        <v>42</v>
      </c>
      <c r="AH6" s="25">
        <f>($Z$11-$Z$10*$Z$19)-($Z$10*$Z$16*Q8)</f>
        <v>6.9249885552152719</v>
      </c>
      <c r="AI6" s="28">
        <f t="shared" ref="AI6:AI16" si="5">($Z$11-$Z$10*$Z$19)</f>
        <v>6.9249885552152719</v>
      </c>
      <c r="AJ6" s="28">
        <f>($Z$10*$Z$16*Q8)</f>
        <v>0</v>
      </c>
      <c r="AK6" s="1"/>
      <c r="AL6" s="1"/>
      <c r="AM6" s="1"/>
      <c r="AN6" s="1"/>
      <c r="AO6" s="1"/>
      <c r="AP6" s="1"/>
      <c r="AQ6" s="1"/>
    </row>
    <row r="7" spans="1:43" x14ac:dyDescent="0.25">
      <c r="A7" s="2">
        <v>23</v>
      </c>
      <c r="B7" s="2">
        <v>0</v>
      </c>
      <c r="C7" s="2" t="s">
        <v>12</v>
      </c>
      <c r="D7" s="2">
        <v>1</v>
      </c>
      <c r="F7" s="2" t="s">
        <v>77</v>
      </c>
      <c r="G7" s="2" t="s">
        <v>78</v>
      </c>
      <c r="H7" s="2" t="s">
        <v>11</v>
      </c>
      <c r="I7" s="2">
        <v>1</v>
      </c>
      <c r="K7" s="2" t="s">
        <v>3</v>
      </c>
      <c r="L7" s="11" t="s">
        <v>77</v>
      </c>
      <c r="M7" s="2">
        <f>COUNTIFS($F$3:$F$32,"="&amp;L7)</f>
        <v>7</v>
      </c>
      <c r="N7" s="2">
        <f>SUMIFS($I$3:$I$32,$F$3:$F$32,"="&amp;L7)</f>
        <v>6</v>
      </c>
      <c r="O7" s="2">
        <f>M7-N7</f>
        <v>1</v>
      </c>
      <c r="P7" s="2">
        <f>N7/O7</f>
        <v>6</v>
      </c>
      <c r="Q7" s="14">
        <f>LN(P7/$P$4)</f>
        <v>1.791759469228055</v>
      </c>
      <c r="R7" s="14">
        <f>(N7/$N$4-O7/$O$4)*Q7</f>
        <v>0.59725315640935173</v>
      </c>
      <c r="S7" s="1"/>
      <c r="T7" s="14">
        <f t="shared" si="0"/>
        <v>1.791759469228055</v>
      </c>
      <c r="U7" s="14">
        <f t="shared" si="1"/>
        <v>0.31845373111853459</v>
      </c>
      <c r="V7" s="14">
        <f t="shared" si="2"/>
        <v>0.84729786038720367</v>
      </c>
      <c r="W7" s="2">
        <v>1</v>
      </c>
      <c r="X7" s="14"/>
      <c r="Y7" s="11" t="s">
        <v>26</v>
      </c>
      <c r="Z7" s="2">
        <v>10</v>
      </c>
      <c r="AB7" s="2">
        <v>1</v>
      </c>
      <c r="AC7" s="13">
        <f t="shared" si="3"/>
        <v>1.5352635867822118</v>
      </c>
      <c r="AD7" s="13">
        <f t="shared" si="4"/>
        <v>0.82277513491802823</v>
      </c>
      <c r="AF7" s="38"/>
      <c r="AG7" s="18" t="s">
        <v>46</v>
      </c>
      <c r="AH7" s="25">
        <f>($Z$11-$Z$10*$Z$19)-($Z$10*$Z$16*Q9)</f>
        <v>16.403064309527785</v>
      </c>
      <c r="AI7" s="28">
        <f t="shared" si="5"/>
        <v>6.9249885552152719</v>
      </c>
      <c r="AJ7" s="28">
        <f>($Z$10*$Z$16*Q9)</f>
        <v>-9.4780757543125151</v>
      </c>
    </row>
    <row r="8" spans="1:43" x14ac:dyDescent="0.25">
      <c r="A8" s="2">
        <v>24</v>
      </c>
      <c r="B8" s="2">
        <v>5</v>
      </c>
      <c r="C8" s="2" t="s">
        <v>12</v>
      </c>
      <c r="D8" s="2">
        <v>0</v>
      </c>
      <c r="F8" s="2" t="s">
        <v>77</v>
      </c>
      <c r="G8" s="2" t="s">
        <v>80</v>
      </c>
      <c r="H8" s="2" t="s">
        <v>11</v>
      </c>
      <c r="I8" s="2">
        <v>0</v>
      </c>
      <c r="K8" s="2" t="s">
        <v>3</v>
      </c>
      <c r="L8" s="11" t="s">
        <v>81</v>
      </c>
      <c r="M8" s="2">
        <f t="shared" ref="M8:M11" si="6">COUNTIFS($F$3:$F$32,"="&amp;L8)</f>
        <v>4</v>
      </c>
      <c r="N8" s="2">
        <f t="shared" ref="N8:N11" si="7">SUMIFS($I$3:$I$32,$F$3:$F$32,"="&amp;L8)</f>
        <v>2</v>
      </c>
      <c r="O8" s="2">
        <f t="shared" ref="O8:O11" si="8">M8-N8</f>
        <v>2</v>
      </c>
      <c r="P8" s="2">
        <f t="shared" ref="P8:P9" si="9">N8/O8</f>
        <v>1</v>
      </c>
      <c r="Q8" s="2">
        <f>LN(P8/$P$4)</f>
        <v>0</v>
      </c>
      <c r="R8" s="2">
        <f t="shared" ref="R8:R11" si="10">(N8/$N$4-O8/$O$4)*Q8</f>
        <v>0</v>
      </c>
      <c r="S8" s="1"/>
      <c r="T8" s="14">
        <f t="shared" si="0"/>
        <v>1.791759469228055</v>
      </c>
      <c r="U8" s="14">
        <f t="shared" si="1"/>
        <v>-1.791759469228055</v>
      </c>
      <c r="V8" s="14">
        <f t="shared" si="2"/>
        <v>0.84729786038720367</v>
      </c>
      <c r="W8" s="2">
        <v>0</v>
      </c>
      <c r="X8" s="14"/>
      <c r="Y8" s="11" t="s">
        <v>29</v>
      </c>
      <c r="Z8" s="12">
        <f>1/20</f>
        <v>0.05</v>
      </c>
      <c r="AB8" s="2">
        <v>0</v>
      </c>
      <c r="AC8" s="13">
        <f t="shared" si="3"/>
        <v>0.15307394055519552</v>
      </c>
      <c r="AD8" s="13">
        <f t="shared" si="4"/>
        <v>0.53819393539669214</v>
      </c>
      <c r="AF8" s="38"/>
      <c r="AG8" s="18" t="s">
        <v>44</v>
      </c>
      <c r="AH8" s="25">
        <f>($Z$11-$Z$10*$Z$19)-($Z$10*$Z$16*Q10)</f>
        <v>16.403064309527785</v>
      </c>
      <c r="AI8" s="28">
        <f t="shared" si="5"/>
        <v>6.9249885552152719</v>
      </c>
      <c r="AJ8" s="28">
        <f>($Z$10*$Z$16*Q10)</f>
        <v>-9.4780757543125151</v>
      </c>
    </row>
    <row r="9" spans="1:43" x14ac:dyDescent="0.25">
      <c r="A9" s="2">
        <v>25</v>
      </c>
      <c r="B9" s="2">
        <v>1</v>
      </c>
      <c r="C9" s="2" t="s">
        <v>12</v>
      </c>
      <c r="D9" s="2">
        <v>1</v>
      </c>
      <c r="F9" s="2" t="s">
        <v>77</v>
      </c>
      <c r="G9" s="2" t="s">
        <v>78</v>
      </c>
      <c r="H9" s="2" t="s">
        <v>11</v>
      </c>
      <c r="I9" s="2">
        <v>1</v>
      </c>
      <c r="K9" s="2" t="s">
        <v>3</v>
      </c>
      <c r="L9" s="11" t="s">
        <v>82</v>
      </c>
      <c r="M9" s="2">
        <f t="shared" si="6"/>
        <v>4</v>
      </c>
      <c r="N9" s="2">
        <f t="shared" si="7"/>
        <v>1</v>
      </c>
      <c r="O9" s="2">
        <f t="shared" si="8"/>
        <v>3</v>
      </c>
      <c r="P9" s="14">
        <f t="shared" si="9"/>
        <v>0.33333333333333331</v>
      </c>
      <c r="Q9" s="14">
        <f>LN(P9/$P$4)</f>
        <v>-1.0986122886681098</v>
      </c>
      <c r="R9" s="14">
        <f t="shared" si="10"/>
        <v>0.14648163848908133</v>
      </c>
      <c r="S9" s="1"/>
      <c r="T9" s="14">
        <f t="shared" si="0"/>
        <v>1.791759469228055</v>
      </c>
      <c r="U9" s="14">
        <f t="shared" si="1"/>
        <v>0.31845373111853459</v>
      </c>
      <c r="V9" s="14">
        <f t="shared" si="2"/>
        <v>0.84729786038720367</v>
      </c>
      <c r="W9" s="2">
        <v>1</v>
      </c>
      <c r="X9" s="14"/>
      <c r="Y9" s="11"/>
      <c r="AB9" s="2">
        <v>1</v>
      </c>
      <c r="AC9" s="13">
        <f t="shared" si="3"/>
        <v>1.5352635867822118</v>
      </c>
      <c r="AD9" s="13">
        <f t="shared" si="4"/>
        <v>0.82277513491802823</v>
      </c>
      <c r="AF9" s="39"/>
      <c r="AG9" s="15" t="s">
        <v>43</v>
      </c>
      <c r="AH9" s="26">
        <f>($Z$11-$Z$10*$Z$19)-($Z$10*$Z$16*Q11)</f>
        <v>4.4430643095277862</v>
      </c>
      <c r="AI9" s="28">
        <f t="shared" si="5"/>
        <v>6.9249885552152719</v>
      </c>
      <c r="AJ9" s="28">
        <f>($Z$10*$Z$16*Q11)</f>
        <v>2.4819242456874857</v>
      </c>
    </row>
    <row r="10" spans="1:43" x14ac:dyDescent="0.25">
      <c r="A10" s="2">
        <v>26</v>
      </c>
      <c r="B10" s="2">
        <v>2</v>
      </c>
      <c r="C10" s="2" t="s">
        <v>12</v>
      </c>
      <c r="D10" s="2">
        <v>1</v>
      </c>
      <c r="F10" s="2" t="s">
        <v>81</v>
      </c>
      <c r="G10" s="2" t="s">
        <v>78</v>
      </c>
      <c r="H10" s="2" t="s">
        <v>11</v>
      </c>
      <c r="I10" s="2">
        <v>1</v>
      </c>
      <c r="K10" s="2" t="s">
        <v>3</v>
      </c>
      <c r="L10" s="11" t="s">
        <v>83</v>
      </c>
      <c r="M10" s="2">
        <f t="shared" si="6"/>
        <v>8</v>
      </c>
      <c r="N10" s="2">
        <f t="shared" si="7"/>
        <v>2</v>
      </c>
      <c r="O10" s="2">
        <f t="shared" si="8"/>
        <v>6</v>
      </c>
      <c r="P10" s="14">
        <f t="shared" ref="P10:P11" si="11">N10/O10</f>
        <v>0.33333333333333331</v>
      </c>
      <c r="Q10" s="14">
        <f t="shared" ref="Q10:Q17" si="12">LN(P10/$P$4)</f>
        <v>-1.0986122886681098</v>
      </c>
      <c r="R10" s="14">
        <f t="shared" si="10"/>
        <v>0.29296327697816266</v>
      </c>
      <c r="S10" s="1"/>
      <c r="T10" s="2">
        <f t="shared" si="0"/>
        <v>0</v>
      </c>
      <c r="U10" s="14">
        <f t="shared" si="1"/>
        <v>0.31845373111853459</v>
      </c>
      <c r="V10" s="14">
        <f t="shared" si="2"/>
        <v>0.84729786038720367</v>
      </c>
      <c r="W10" s="2">
        <v>1</v>
      </c>
      <c r="X10" s="14"/>
      <c r="Y10" s="11" t="s">
        <v>28</v>
      </c>
      <c r="Z10" s="14">
        <f>Z7/LN(2)</f>
        <v>14.426950408889635</v>
      </c>
      <c r="AB10" s="2">
        <v>1</v>
      </c>
      <c r="AC10" s="13">
        <f t="shared" si="3"/>
        <v>0.4637914241838349</v>
      </c>
      <c r="AD10" s="13">
        <f t="shared" si="4"/>
        <v>0.61391322103819645</v>
      </c>
      <c r="AF10" s="38" t="s">
        <v>5</v>
      </c>
      <c r="AG10" s="19" t="s">
        <v>48</v>
      </c>
      <c r="AH10" s="25">
        <f>($Z$11-$Z$10*$Z$19)-($Z$10*$Z$17*Q12)</f>
        <v>-3.456515824508303</v>
      </c>
      <c r="AI10" s="28">
        <f t="shared" si="5"/>
        <v>6.9249885552152719</v>
      </c>
      <c r="AJ10" s="28">
        <f>($Z$10*$Z$17*Q12)</f>
        <v>10.381504379723575</v>
      </c>
    </row>
    <row r="11" spans="1:43" x14ac:dyDescent="0.25">
      <c r="A11" s="2">
        <v>27</v>
      </c>
      <c r="B11" s="2">
        <v>1</v>
      </c>
      <c r="C11" s="2" t="s">
        <v>10</v>
      </c>
      <c r="D11" s="2">
        <v>1</v>
      </c>
      <c r="F11" s="2" t="s">
        <v>81</v>
      </c>
      <c r="G11" s="2" t="s">
        <v>78</v>
      </c>
      <c r="H11" s="2" t="s">
        <v>9</v>
      </c>
      <c r="I11" s="2">
        <v>1</v>
      </c>
      <c r="K11" s="2" t="s">
        <v>3</v>
      </c>
      <c r="L11" s="11" t="s">
        <v>84</v>
      </c>
      <c r="M11" s="2">
        <f t="shared" si="6"/>
        <v>7</v>
      </c>
      <c r="N11" s="2">
        <f t="shared" si="7"/>
        <v>4</v>
      </c>
      <c r="O11" s="2">
        <f t="shared" si="8"/>
        <v>3</v>
      </c>
      <c r="P11" s="14">
        <f t="shared" si="11"/>
        <v>1.3333333333333333</v>
      </c>
      <c r="Q11" s="14">
        <f t="shared" si="12"/>
        <v>0.28768207245178085</v>
      </c>
      <c r="R11" s="14">
        <f t="shared" si="10"/>
        <v>1.9178804830118718E-2</v>
      </c>
      <c r="S11" s="1"/>
      <c r="T11" s="2">
        <f t="shared" si="0"/>
        <v>0</v>
      </c>
      <c r="U11" s="14">
        <f t="shared" si="1"/>
        <v>0.31845373111853459</v>
      </c>
      <c r="V11" s="14">
        <f t="shared" si="2"/>
        <v>-0.84729786038720367</v>
      </c>
      <c r="W11" s="2">
        <v>1</v>
      </c>
      <c r="X11" s="14"/>
      <c r="Y11" s="11" t="s">
        <v>27</v>
      </c>
      <c r="Z11" s="14">
        <f>Z6+Z10*LN(Z8)</f>
        <v>6.7807190511263755</v>
      </c>
      <c r="AB11" s="2">
        <v>1</v>
      </c>
      <c r="AC11" s="13">
        <f t="shared" si="3"/>
        <v>-6.6617036418554626E-2</v>
      </c>
      <c r="AD11" s="13">
        <f t="shared" si="4"/>
        <v>0.48335189722688754</v>
      </c>
      <c r="AF11" s="38"/>
      <c r="AG11" s="19" t="s">
        <v>50</v>
      </c>
      <c r="AH11" s="25">
        <f>($Z$11-$Z$10*$Z$19)-($Z$10*$Z$17*Q13)</f>
        <v>3.9157114531409749</v>
      </c>
      <c r="AI11" s="28">
        <f t="shared" si="5"/>
        <v>6.9249885552152719</v>
      </c>
      <c r="AJ11" s="28">
        <f>($Z$10*$Z$17*Q13)</f>
        <v>3.009277102074297</v>
      </c>
    </row>
    <row r="12" spans="1:43" x14ac:dyDescent="0.25">
      <c r="A12" s="2">
        <v>28</v>
      </c>
      <c r="B12" s="2">
        <v>2</v>
      </c>
      <c r="C12" s="2" t="s">
        <v>10</v>
      </c>
      <c r="D12" s="2">
        <v>0</v>
      </c>
      <c r="F12" s="2" t="s">
        <v>81</v>
      </c>
      <c r="G12" s="2" t="s">
        <v>78</v>
      </c>
      <c r="H12" s="2" t="s">
        <v>9</v>
      </c>
      <c r="I12" s="2">
        <v>0</v>
      </c>
      <c r="K12" s="2" t="s">
        <v>4</v>
      </c>
      <c r="L12" s="11" t="s">
        <v>79</v>
      </c>
      <c r="M12" s="2">
        <f>COUNTIFS($G$3:$G$32,"="&amp;L12)</f>
        <v>4</v>
      </c>
      <c r="N12" s="2">
        <f>SUMIFS($I$3:$I$32,$G$3:$G$32,"="&amp;L12)</f>
        <v>3</v>
      </c>
      <c r="O12" s="2">
        <f t="shared" ref="O12:O17" si="13">M12-N12</f>
        <v>1</v>
      </c>
      <c r="P12" s="2">
        <f>N12/O12</f>
        <v>3</v>
      </c>
      <c r="Q12" s="14">
        <f t="shared" si="12"/>
        <v>1.0986122886681098</v>
      </c>
      <c r="R12" s="14">
        <f>(N12/$N$4-O12/$O$4)*Q12</f>
        <v>0.14648163848908133</v>
      </c>
      <c r="T12" s="2">
        <f t="shared" si="0"/>
        <v>0</v>
      </c>
      <c r="U12" s="14">
        <f t="shared" si="1"/>
        <v>0.31845373111853459</v>
      </c>
      <c r="V12" s="14">
        <f t="shared" si="2"/>
        <v>-0.84729786038720367</v>
      </c>
      <c r="W12" s="2">
        <v>0</v>
      </c>
      <c r="X12" s="14"/>
      <c r="AB12" s="2">
        <v>0</v>
      </c>
      <c r="AC12" s="13">
        <f t="shared" si="3"/>
        <v>-6.6617036418554626E-2</v>
      </c>
      <c r="AD12" s="13">
        <f t="shared" si="4"/>
        <v>0.48335189722688754</v>
      </c>
      <c r="AF12" s="38"/>
      <c r="AG12" s="19" t="s">
        <v>51</v>
      </c>
      <c r="AH12" s="25">
        <f>($Z$11-$Z$10*$Z$19)-($Z$10*$Z$17*Q14)</f>
        <v>23.856492934938846</v>
      </c>
      <c r="AI12" s="28">
        <f t="shared" si="5"/>
        <v>6.9249885552152719</v>
      </c>
      <c r="AJ12" s="28">
        <f>($Z$10*$Z$17*Q14)</f>
        <v>-16.931504379723574</v>
      </c>
    </row>
    <row r="13" spans="1:43" x14ac:dyDescent="0.25">
      <c r="A13" s="2">
        <v>29</v>
      </c>
      <c r="B13" s="2">
        <v>1</v>
      </c>
      <c r="C13" s="2" t="s">
        <v>10</v>
      </c>
      <c r="D13" s="2">
        <v>0</v>
      </c>
      <c r="F13" s="2" t="s">
        <v>81</v>
      </c>
      <c r="G13" s="2" t="s">
        <v>78</v>
      </c>
      <c r="H13" s="2" t="s">
        <v>9</v>
      </c>
      <c r="I13" s="2">
        <v>0</v>
      </c>
      <c r="K13" s="2" t="s">
        <v>4</v>
      </c>
      <c r="L13" s="11" t="s">
        <v>78</v>
      </c>
      <c r="M13" s="2">
        <f t="shared" ref="M13:M14" si="14">COUNTIFS($G$3:$G$32,"="&amp;L13)</f>
        <v>19</v>
      </c>
      <c r="N13" s="2">
        <f t="shared" ref="N13:N14" si="15">SUMIFS($I$3:$I$32,$G$3:$G$32,"="&amp;L13)</f>
        <v>11</v>
      </c>
      <c r="O13" s="2">
        <f t="shared" si="13"/>
        <v>8</v>
      </c>
      <c r="P13" s="14">
        <f t="shared" ref="P13:P14" si="16">N13/O13</f>
        <v>1.375</v>
      </c>
      <c r="Q13" s="14">
        <f t="shared" si="12"/>
        <v>0.31845373111853459</v>
      </c>
      <c r="R13" s="14">
        <f t="shared" ref="R13:R14" si="17">(N13/$N$4-O13/$O$4)*Q13</f>
        <v>6.3690746223706907E-2</v>
      </c>
      <c r="T13" s="2">
        <f t="shared" si="0"/>
        <v>0</v>
      </c>
      <c r="U13" s="14">
        <f t="shared" si="1"/>
        <v>0.31845373111853459</v>
      </c>
      <c r="V13" s="14">
        <f t="shared" si="2"/>
        <v>-0.84729786038720367</v>
      </c>
      <c r="W13" s="2">
        <v>0</v>
      </c>
      <c r="X13" s="14"/>
      <c r="Y13" s="11" t="s">
        <v>59</v>
      </c>
      <c r="AB13" s="2">
        <v>0</v>
      </c>
      <c r="AC13" s="13">
        <f t="shared" si="3"/>
        <v>-6.6617036418554626E-2</v>
      </c>
      <c r="AD13" s="13">
        <f t="shared" si="4"/>
        <v>0.48335189722688754</v>
      </c>
      <c r="AF13" s="38"/>
      <c r="AG13" s="19"/>
      <c r="AH13" s="25"/>
      <c r="AI13" s="28"/>
      <c r="AJ13" s="28"/>
    </row>
    <row r="14" spans="1:43" x14ac:dyDescent="0.25">
      <c r="A14" s="2">
        <v>30</v>
      </c>
      <c r="B14" s="2">
        <v>2</v>
      </c>
      <c r="C14" s="2" t="s">
        <v>10</v>
      </c>
      <c r="D14" s="2">
        <v>0</v>
      </c>
      <c r="F14" s="2" t="s">
        <v>82</v>
      </c>
      <c r="G14" s="2" t="s">
        <v>78</v>
      </c>
      <c r="H14" s="2" t="s">
        <v>9</v>
      </c>
      <c r="I14" s="2">
        <v>0</v>
      </c>
      <c r="K14" s="2" t="s">
        <v>4</v>
      </c>
      <c r="L14" s="11" t="s">
        <v>80</v>
      </c>
      <c r="M14" s="2">
        <f t="shared" si="14"/>
        <v>7</v>
      </c>
      <c r="N14" s="2">
        <f t="shared" si="15"/>
        <v>1</v>
      </c>
      <c r="O14" s="2">
        <f t="shared" si="13"/>
        <v>6</v>
      </c>
      <c r="P14" s="14">
        <f t="shared" si="16"/>
        <v>0.16666666666666666</v>
      </c>
      <c r="Q14" s="14">
        <f t="shared" si="12"/>
        <v>-1.791759469228055</v>
      </c>
      <c r="R14" s="14">
        <f t="shared" si="17"/>
        <v>0.59725315640935173</v>
      </c>
      <c r="T14" s="14">
        <f t="shared" si="0"/>
        <v>-1.0986122886681098</v>
      </c>
      <c r="U14" s="14">
        <f t="shared" si="1"/>
        <v>0.31845373111853459</v>
      </c>
      <c r="V14" s="14">
        <f t="shared" si="2"/>
        <v>-0.84729786038720367</v>
      </c>
      <c r="W14" s="2">
        <v>0</v>
      </c>
      <c r="X14" s="14"/>
      <c r="Y14" s="11" t="s">
        <v>57</v>
      </c>
      <c r="AB14" s="2">
        <v>0</v>
      </c>
      <c r="AC14" s="13">
        <f t="shared" si="3"/>
        <v>-0.7235871850420843</v>
      </c>
      <c r="AD14" s="13">
        <f t="shared" si="4"/>
        <v>0.32660354997211538</v>
      </c>
      <c r="AF14" s="37" t="s">
        <v>7</v>
      </c>
      <c r="AG14" s="16" t="s">
        <v>53</v>
      </c>
      <c r="AH14" s="24">
        <f>($Z$11-$Z$10*$Z$19)-($Z$10*$Z$18*Q15)</f>
        <v>10.751076833998354</v>
      </c>
      <c r="AI14" s="28">
        <f t="shared" si="5"/>
        <v>6.9249885552152719</v>
      </c>
      <c r="AJ14" s="28">
        <f>($Z$10*$Z$18*Q15)</f>
        <v>-3.8260882787830828</v>
      </c>
    </row>
    <row r="15" spans="1:43" x14ac:dyDescent="0.25">
      <c r="A15" s="2">
        <v>33</v>
      </c>
      <c r="B15" s="2">
        <v>6</v>
      </c>
      <c r="C15" s="2" t="s">
        <v>10</v>
      </c>
      <c r="D15" s="2">
        <v>1</v>
      </c>
      <c r="F15" s="2" t="s">
        <v>82</v>
      </c>
      <c r="G15" s="2" t="s">
        <v>80</v>
      </c>
      <c r="H15" s="2" t="s">
        <v>9</v>
      </c>
      <c r="I15" s="2">
        <v>1</v>
      </c>
      <c r="K15" s="2" t="s">
        <v>6</v>
      </c>
      <c r="L15" s="11" t="s">
        <v>9</v>
      </c>
      <c r="M15" s="2">
        <f>COUNTIFS($H$3:$H$32,"="&amp;L15)</f>
        <v>10</v>
      </c>
      <c r="N15" s="2">
        <v>3</v>
      </c>
      <c r="O15" s="2">
        <f t="shared" si="13"/>
        <v>7</v>
      </c>
      <c r="P15" s="14">
        <f>N15/O15</f>
        <v>0.42857142857142855</v>
      </c>
      <c r="Q15" s="14">
        <f t="shared" si="12"/>
        <v>-0.84729786038720367</v>
      </c>
      <c r="R15" s="14">
        <f>(N15/$N$4-O15/$O$4)*Q15</f>
        <v>0.22594609610325431</v>
      </c>
      <c r="T15" s="14">
        <f t="shared" si="0"/>
        <v>-1.0986122886681098</v>
      </c>
      <c r="U15" s="14">
        <f t="shared" si="1"/>
        <v>-1.791759469228055</v>
      </c>
      <c r="V15" s="14">
        <f t="shared" si="2"/>
        <v>-0.84729786038720367</v>
      </c>
      <c r="W15" s="2">
        <v>1</v>
      </c>
      <c r="X15" s="14"/>
      <c r="Y15" s="11" t="s">
        <v>58</v>
      </c>
      <c r="AB15" s="2">
        <v>1</v>
      </c>
      <c r="AC15" s="13">
        <f t="shared" si="3"/>
        <v>-2.1057768312691003</v>
      </c>
      <c r="AD15" s="13">
        <f t="shared" si="4"/>
        <v>0.10853661040143198</v>
      </c>
      <c r="AF15" s="38"/>
      <c r="AG15" s="19" t="s">
        <v>54</v>
      </c>
      <c r="AH15" s="25">
        <f>($Z$11-$Z$10*$Z$19)-($Z$10*$Z$18*Q16)</f>
        <v>6.9249885552152719</v>
      </c>
      <c r="AI15" s="28">
        <f t="shared" si="5"/>
        <v>6.9249885552152719</v>
      </c>
      <c r="AJ15" s="28">
        <f>($Z$10*$Z$18*Q16)</f>
        <v>0</v>
      </c>
    </row>
    <row r="16" spans="1:43" ht="16.5" thickBot="1" x14ac:dyDescent="0.3">
      <c r="A16" s="2">
        <v>34</v>
      </c>
      <c r="B16" s="2">
        <v>5</v>
      </c>
      <c r="C16" s="2" t="s">
        <v>10</v>
      </c>
      <c r="D16" s="2">
        <v>0</v>
      </c>
      <c r="F16" s="2" t="s">
        <v>82</v>
      </c>
      <c r="G16" s="2" t="s">
        <v>80</v>
      </c>
      <c r="H16" s="2" t="s">
        <v>9</v>
      </c>
      <c r="I16" s="2">
        <v>0</v>
      </c>
      <c r="K16" s="2" t="s">
        <v>6</v>
      </c>
      <c r="L16" s="11" t="s">
        <v>13</v>
      </c>
      <c r="M16" s="2">
        <f t="shared" ref="M16:M17" si="18">COUNTIFS($H$3:$H$32,"="&amp;L16)</f>
        <v>10</v>
      </c>
      <c r="N16" s="2">
        <v>5</v>
      </c>
      <c r="O16" s="2">
        <f t="shared" si="13"/>
        <v>5</v>
      </c>
      <c r="P16" s="2">
        <f t="shared" ref="P16:P17" si="19">N16/O16</f>
        <v>1</v>
      </c>
      <c r="Q16" s="2">
        <f t="shared" si="12"/>
        <v>0</v>
      </c>
      <c r="R16" s="2">
        <f t="shared" ref="R16:R17" si="20">(N16/$N$4-O16/$O$4)*Q16</f>
        <v>0</v>
      </c>
      <c r="T16" s="14">
        <f t="shared" si="0"/>
        <v>-1.0986122886681098</v>
      </c>
      <c r="U16" s="14">
        <f t="shared" si="1"/>
        <v>-1.791759469228055</v>
      </c>
      <c r="V16" s="14">
        <f t="shared" si="2"/>
        <v>-0.84729786038720367</v>
      </c>
      <c r="W16" s="2">
        <v>0</v>
      </c>
      <c r="X16" s="14"/>
      <c r="Y16" s="11" t="s">
        <v>36</v>
      </c>
      <c r="Z16" s="2">
        <v>0.59799999999999998</v>
      </c>
      <c r="AB16" s="2">
        <v>0</v>
      </c>
      <c r="AC16" s="13">
        <f t="shared" si="3"/>
        <v>-2.1057768312691003</v>
      </c>
      <c r="AD16" s="13">
        <f t="shared" si="4"/>
        <v>0.10853661040143198</v>
      </c>
      <c r="AF16" s="40"/>
      <c r="AG16" s="23" t="s">
        <v>56</v>
      </c>
      <c r="AH16" s="27">
        <f>($Z$11-$Z$10*$Z$19)-($Z$10*$Z$18*Q17)</f>
        <v>3.0989002764321891</v>
      </c>
      <c r="AI16" s="28">
        <f t="shared" si="5"/>
        <v>6.9249885552152719</v>
      </c>
      <c r="AJ16" s="28">
        <f>($Z$10*$Z$18*Q17)</f>
        <v>3.8260882787830828</v>
      </c>
    </row>
    <row r="17" spans="1:34" x14ac:dyDescent="0.25">
      <c r="A17" s="2">
        <v>35</v>
      </c>
      <c r="B17" s="2">
        <v>6</v>
      </c>
      <c r="C17" s="2" t="s">
        <v>12</v>
      </c>
      <c r="D17" s="2">
        <v>0</v>
      </c>
      <c r="F17" s="2" t="s">
        <v>82</v>
      </c>
      <c r="G17" s="2" t="s">
        <v>80</v>
      </c>
      <c r="H17" s="2" t="s">
        <v>11</v>
      </c>
      <c r="I17" s="2">
        <v>0</v>
      </c>
      <c r="K17" s="2" t="s">
        <v>6</v>
      </c>
      <c r="L17" s="11" t="s">
        <v>11</v>
      </c>
      <c r="M17" s="2">
        <f t="shared" si="18"/>
        <v>10</v>
      </c>
      <c r="N17" s="2">
        <v>7</v>
      </c>
      <c r="O17" s="2">
        <f t="shared" si="13"/>
        <v>3</v>
      </c>
      <c r="P17" s="14">
        <f t="shared" si="19"/>
        <v>2.3333333333333335</v>
      </c>
      <c r="Q17" s="14">
        <f t="shared" si="12"/>
        <v>0.84729786038720367</v>
      </c>
      <c r="R17" s="14">
        <f t="shared" si="20"/>
        <v>0.22594609610325431</v>
      </c>
      <c r="T17" s="14">
        <f t="shared" si="0"/>
        <v>-1.0986122886681098</v>
      </c>
      <c r="U17" s="14">
        <f t="shared" si="1"/>
        <v>-1.791759469228055</v>
      </c>
      <c r="V17" s="14">
        <f t="shared" si="2"/>
        <v>0.84729786038720367</v>
      </c>
      <c r="W17" s="2">
        <v>0</v>
      </c>
      <c r="X17" s="14"/>
      <c r="Y17" s="11" t="s">
        <v>35</v>
      </c>
      <c r="Z17" s="2">
        <v>0.65500000000000003</v>
      </c>
      <c r="AB17" s="2">
        <v>0</v>
      </c>
      <c r="AC17" s="13">
        <f t="shared" si="3"/>
        <v>-1.5753683706667108</v>
      </c>
      <c r="AD17" s="13">
        <f t="shared" si="4"/>
        <v>0.17145243419542339</v>
      </c>
      <c r="AG17" s="11"/>
    </row>
    <row r="18" spans="1:34" x14ac:dyDescent="0.25">
      <c r="A18" s="2">
        <v>36</v>
      </c>
      <c r="B18" s="2">
        <v>5</v>
      </c>
      <c r="C18" s="2" t="s">
        <v>12</v>
      </c>
      <c r="D18" s="2">
        <v>0</v>
      </c>
      <c r="F18" s="2" t="s">
        <v>83</v>
      </c>
      <c r="G18" s="2" t="s">
        <v>80</v>
      </c>
      <c r="H18" s="2" t="s">
        <v>11</v>
      </c>
      <c r="I18" s="2">
        <v>0</v>
      </c>
      <c r="R18" s="1"/>
      <c r="T18" s="14">
        <f t="shared" si="0"/>
        <v>-1.0986122886681098</v>
      </c>
      <c r="U18" s="14">
        <f t="shared" si="1"/>
        <v>-1.791759469228055</v>
      </c>
      <c r="V18" s="14">
        <f t="shared" si="2"/>
        <v>0.84729786038720367</v>
      </c>
      <c r="W18" s="2">
        <v>0</v>
      </c>
      <c r="X18" s="14"/>
      <c r="Y18" s="11" t="s">
        <v>34</v>
      </c>
      <c r="Z18" s="2">
        <v>0.313</v>
      </c>
      <c r="AB18" s="2">
        <v>0</v>
      </c>
      <c r="AC18" s="13">
        <f t="shared" si="3"/>
        <v>-1.5753683706667108</v>
      </c>
      <c r="AD18" s="13">
        <f t="shared" si="4"/>
        <v>0.17145243419542339</v>
      </c>
      <c r="AG18" s="11"/>
    </row>
    <row r="19" spans="1:34" x14ac:dyDescent="0.25">
      <c r="A19" s="2">
        <v>37</v>
      </c>
      <c r="B19" s="2">
        <v>6</v>
      </c>
      <c r="C19" s="2" t="s">
        <v>10</v>
      </c>
      <c r="D19" s="2">
        <v>0</v>
      </c>
      <c r="F19" s="2" t="s">
        <v>83</v>
      </c>
      <c r="G19" s="2" t="s">
        <v>80</v>
      </c>
      <c r="H19" s="2" t="s">
        <v>9</v>
      </c>
      <c r="I19" s="2">
        <v>0</v>
      </c>
      <c r="M19" s="2" t="s">
        <v>72</v>
      </c>
      <c r="N19" s="2" t="s">
        <v>73</v>
      </c>
      <c r="O19" s="2" t="s">
        <v>74</v>
      </c>
      <c r="R19" s="2" t="s">
        <v>24</v>
      </c>
      <c r="T19" s="14">
        <f t="shared" si="0"/>
        <v>-1.0986122886681098</v>
      </c>
      <c r="U19" s="14">
        <f t="shared" si="1"/>
        <v>-1.791759469228055</v>
      </c>
      <c r="V19" s="14">
        <f t="shared" si="2"/>
        <v>-0.84729786038720367</v>
      </c>
      <c r="W19" s="2">
        <v>0</v>
      </c>
      <c r="X19" s="14"/>
      <c r="Y19" s="11" t="s">
        <v>33</v>
      </c>
      <c r="Z19" s="2">
        <v>-0.01</v>
      </c>
      <c r="AB19" s="2">
        <v>0</v>
      </c>
      <c r="AC19" s="13">
        <f t="shared" si="3"/>
        <v>-2.1057768312691003</v>
      </c>
      <c r="AD19" s="13">
        <f t="shared" si="4"/>
        <v>0.10853661040143198</v>
      </c>
      <c r="AF19" s="36" t="s">
        <v>64</v>
      </c>
      <c r="AG19" s="36"/>
      <c r="AH19" s="36"/>
    </row>
    <row r="20" spans="1:34" x14ac:dyDescent="0.25">
      <c r="A20" s="2">
        <v>38</v>
      </c>
      <c r="B20" s="2">
        <v>5</v>
      </c>
      <c r="C20" s="2" t="s">
        <v>10</v>
      </c>
      <c r="D20" s="2">
        <v>0</v>
      </c>
      <c r="F20" s="2" t="s">
        <v>83</v>
      </c>
      <c r="G20" s="2" t="s">
        <v>80</v>
      </c>
      <c r="H20" s="2" t="s">
        <v>9</v>
      </c>
      <c r="I20" s="2">
        <v>0</v>
      </c>
      <c r="K20" s="2" t="s">
        <v>3</v>
      </c>
      <c r="M20" s="2">
        <f>SUM(M7:M11)</f>
        <v>30</v>
      </c>
      <c r="N20" s="2">
        <f>SUM(N7:N11)</f>
        <v>15</v>
      </c>
      <c r="O20" s="2">
        <f>SUM(O7:O11)</f>
        <v>15</v>
      </c>
      <c r="R20" s="14">
        <f>SUM(R7:R11)</f>
        <v>1.0558768767067144</v>
      </c>
      <c r="T20" s="14">
        <f t="shared" si="0"/>
        <v>-1.0986122886681098</v>
      </c>
      <c r="U20" s="14">
        <f t="shared" si="1"/>
        <v>-1.791759469228055</v>
      </c>
      <c r="V20" s="14">
        <f t="shared" si="2"/>
        <v>-0.84729786038720367</v>
      </c>
      <c r="W20" s="2">
        <v>0</v>
      </c>
      <c r="X20" s="14"/>
      <c r="AB20" s="2">
        <v>0</v>
      </c>
      <c r="AC20" s="13">
        <f t="shared" si="3"/>
        <v>-2.1057768312691003</v>
      </c>
      <c r="AD20" s="13">
        <f t="shared" si="4"/>
        <v>0.10853661040143198</v>
      </c>
      <c r="AF20" s="2" t="s">
        <v>61</v>
      </c>
      <c r="AG20" s="11" t="s">
        <v>62</v>
      </c>
      <c r="AH20" s="2" t="s">
        <v>63</v>
      </c>
    </row>
    <row r="21" spans="1:34" x14ac:dyDescent="0.25">
      <c r="A21" s="2">
        <v>48</v>
      </c>
      <c r="B21" s="2">
        <v>4</v>
      </c>
      <c r="C21" s="2" t="s">
        <v>10</v>
      </c>
      <c r="D21" s="2">
        <v>1</v>
      </c>
      <c r="F21" s="2" t="s">
        <v>83</v>
      </c>
      <c r="G21" s="2" t="s">
        <v>78</v>
      </c>
      <c r="H21" s="2" t="s">
        <v>9</v>
      </c>
      <c r="I21" s="2">
        <v>1</v>
      </c>
      <c r="K21" s="2" t="s">
        <v>5</v>
      </c>
      <c r="M21" s="2">
        <f>SUM(M12:M14)</f>
        <v>30</v>
      </c>
      <c r="N21" s="2">
        <f>SUM(N12:N14)</f>
        <v>15</v>
      </c>
      <c r="O21" s="2">
        <f>SUM(O12:O14)</f>
        <v>15</v>
      </c>
      <c r="R21" s="14">
        <f>SUM(R12:R14)</f>
        <v>0.80742554112213993</v>
      </c>
      <c r="T21" s="14">
        <f t="shared" si="0"/>
        <v>-1.0986122886681098</v>
      </c>
      <c r="U21" s="14">
        <f t="shared" si="1"/>
        <v>0.31845373111853459</v>
      </c>
      <c r="V21" s="14">
        <f t="shared" si="2"/>
        <v>-0.84729786038720367</v>
      </c>
      <c r="W21" s="2">
        <v>1</v>
      </c>
      <c r="X21" s="14"/>
      <c r="AB21" s="2">
        <v>1</v>
      </c>
      <c r="AC21" s="13">
        <f t="shared" si="3"/>
        <v>-0.7235871850420843</v>
      </c>
      <c r="AD21" s="13">
        <f t="shared" si="4"/>
        <v>0.32660354997211538</v>
      </c>
      <c r="AF21" s="2" t="s">
        <v>3</v>
      </c>
      <c r="AG21" s="11" t="s">
        <v>45</v>
      </c>
      <c r="AH21" s="29">
        <f>VLOOKUP(AG21,$AG$5:$AH$16,2,FALSE)</f>
        <v>16.403064309527785</v>
      </c>
    </row>
    <row r="22" spans="1:34" x14ac:dyDescent="0.25">
      <c r="A22" s="2">
        <v>49</v>
      </c>
      <c r="B22" s="2">
        <v>3</v>
      </c>
      <c r="C22" s="2" t="s">
        <v>14</v>
      </c>
      <c r="D22" s="2">
        <v>1</v>
      </c>
      <c r="F22" s="2" t="s">
        <v>83</v>
      </c>
      <c r="G22" s="2" t="s">
        <v>78</v>
      </c>
      <c r="H22" s="2" t="s">
        <v>13</v>
      </c>
      <c r="I22" s="2">
        <v>1</v>
      </c>
      <c r="K22" s="2" t="s">
        <v>7</v>
      </c>
      <c r="M22" s="2">
        <f>SUM(M15:M17)</f>
        <v>30</v>
      </c>
      <c r="N22" s="2">
        <f>SUM(N15:N17)</f>
        <v>15</v>
      </c>
      <c r="O22" s="2">
        <f>SUM(O15:O17)</f>
        <v>15</v>
      </c>
      <c r="R22" s="14">
        <f>SUM(R15:R17)</f>
        <v>0.45189219220650861</v>
      </c>
      <c r="T22" s="14">
        <f t="shared" si="0"/>
        <v>-1.0986122886681098</v>
      </c>
      <c r="U22" s="14">
        <f t="shared" si="1"/>
        <v>0.31845373111853459</v>
      </c>
      <c r="V22" s="2">
        <f t="shared" si="2"/>
        <v>0</v>
      </c>
      <c r="W22" s="2">
        <v>1</v>
      </c>
      <c r="AB22" s="2">
        <v>1</v>
      </c>
      <c r="AC22" s="13">
        <f t="shared" si="3"/>
        <v>-0.45838295474088953</v>
      </c>
      <c r="AD22" s="13">
        <f t="shared" si="4"/>
        <v>0.38736950197670383</v>
      </c>
      <c r="AF22" s="2" t="s">
        <v>5</v>
      </c>
      <c r="AG22" s="11" t="s">
        <v>51</v>
      </c>
      <c r="AH22" s="29">
        <f t="shared" ref="AH22:AH23" si="21">VLOOKUP(AG22,$AG$5:$AH$16,2,FALSE)</f>
        <v>23.856492934938846</v>
      </c>
    </row>
    <row r="23" spans="1:34" x14ac:dyDescent="0.25">
      <c r="A23" s="2">
        <v>50</v>
      </c>
      <c r="B23" s="2">
        <v>4</v>
      </c>
      <c r="C23" s="2" t="s">
        <v>10</v>
      </c>
      <c r="D23" s="2">
        <v>0</v>
      </c>
      <c r="F23" s="2" t="s">
        <v>83</v>
      </c>
      <c r="G23" s="2" t="s">
        <v>78</v>
      </c>
      <c r="H23" s="2" t="s">
        <v>9</v>
      </c>
      <c r="I23" s="2">
        <v>0</v>
      </c>
      <c r="T23" s="14">
        <f t="shared" si="0"/>
        <v>-1.0986122886681098</v>
      </c>
      <c r="U23" s="14">
        <f t="shared" si="1"/>
        <v>0.31845373111853459</v>
      </c>
      <c r="V23" s="14">
        <f t="shared" si="2"/>
        <v>-0.84729786038720367</v>
      </c>
      <c r="W23" s="2">
        <v>0</v>
      </c>
      <c r="X23" s="14"/>
      <c r="AB23" s="2">
        <v>0</v>
      </c>
      <c r="AC23" s="13">
        <f t="shared" si="3"/>
        <v>-0.7235871850420843</v>
      </c>
      <c r="AD23" s="13">
        <f t="shared" si="4"/>
        <v>0.32660354997211538</v>
      </c>
      <c r="AF23" s="2" t="s">
        <v>7</v>
      </c>
      <c r="AG23" s="11" t="s">
        <v>52</v>
      </c>
      <c r="AH23" s="29">
        <f t="shared" si="21"/>
        <v>10.751076833998354</v>
      </c>
    </row>
    <row r="24" spans="1:34" x14ac:dyDescent="0.25">
      <c r="A24" s="2">
        <v>51</v>
      </c>
      <c r="B24" s="2">
        <v>3</v>
      </c>
      <c r="C24" s="2" t="s">
        <v>14</v>
      </c>
      <c r="D24" s="2">
        <v>0</v>
      </c>
      <c r="F24" s="2" t="s">
        <v>83</v>
      </c>
      <c r="G24" s="2" t="s">
        <v>78</v>
      </c>
      <c r="H24" s="2" t="s">
        <v>13</v>
      </c>
      <c r="I24" s="2">
        <v>0</v>
      </c>
      <c r="T24" s="14">
        <f t="shared" si="0"/>
        <v>-1.0986122886681098</v>
      </c>
      <c r="U24" s="14">
        <f t="shared" si="1"/>
        <v>0.31845373111853459</v>
      </c>
      <c r="V24" s="2">
        <f t="shared" si="2"/>
        <v>0</v>
      </c>
      <c r="W24" s="2">
        <v>0</v>
      </c>
      <c r="AB24" s="2">
        <v>0</v>
      </c>
      <c r="AC24" s="13">
        <f t="shared" si="3"/>
        <v>-0.45838295474088953</v>
      </c>
      <c r="AD24" s="13">
        <f t="shared" si="4"/>
        <v>0.38736950197670383</v>
      </c>
      <c r="AF24" s="2" t="s">
        <v>60</v>
      </c>
      <c r="AH24" s="29">
        <f>SUM(AH21:AH23)</f>
        <v>51.010634078464989</v>
      </c>
    </row>
    <row r="25" spans="1:34" x14ac:dyDescent="0.25">
      <c r="A25" s="2">
        <v>52</v>
      </c>
      <c r="B25" s="2">
        <v>4</v>
      </c>
      <c r="C25" s="2" t="s">
        <v>14</v>
      </c>
      <c r="D25" s="2">
        <v>0</v>
      </c>
      <c r="F25" s="2" t="s">
        <v>83</v>
      </c>
      <c r="G25" s="2" t="s">
        <v>78</v>
      </c>
      <c r="H25" s="2" t="s">
        <v>13</v>
      </c>
      <c r="I25" s="2">
        <v>0</v>
      </c>
      <c r="T25" s="14">
        <f t="shared" si="0"/>
        <v>-1.0986122886681098</v>
      </c>
      <c r="U25" s="14">
        <f t="shared" si="1"/>
        <v>0.31845373111853459</v>
      </c>
      <c r="V25" s="2">
        <f t="shared" si="2"/>
        <v>0</v>
      </c>
      <c r="W25" s="2">
        <v>0</v>
      </c>
      <c r="AB25" s="2">
        <v>0</v>
      </c>
      <c r="AC25" s="13">
        <f t="shared" si="3"/>
        <v>-0.45838295474088953</v>
      </c>
      <c r="AD25" s="13">
        <f t="shared" si="4"/>
        <v>0.38736950197670383</v>
      </c>
    </row>
    <row r="26" spans="1:34" x14ac:dyDescent="0.25">
      <c r="A26" s="2">
        <v>53</v>
      </c>
      <c r="B26" s="2">
        <v>3</v>
      </c>
      <c r="C26" s="2" t="s">
        <v>14</v>
      </c>
      <c r="D26" s="2">
        <v>0</v>
      </c>
      <c r="F26" s="2" t="s">
        <v>84</v>
      </c>
      <c r="G26" s="2" t="s">
        <v>78</v>
      </c>
      <c r="H26" s="2" t="s">
        <v>13</v>
      </c>
      <c r="I26" s="2">
        <v>0</v>
      </c>
      <c r="T26" s="14">
        <f t="shared" si="0"/>
        <v>0.28768207245178085</v>
      </c>
      <c r="U26" s="14">
        <f t="shared" si="1"/>
        <v>0.31845373111853459</v>
      </c>
      <c r="V26" s="2">
        <f t="shared" si="2"/>
        <v>0</v>
      </c>
      <c r="W26" s="2">
        <v>0</v>
      </c>
      <c r="AB26" s="2">
        <v>0</v>
      </c>
      <c r="AC26" s="13">
        <f t="shared" si="3"/>
        <v>0.37062107320880511</v>
      </c>
      <c r="AD26" s="13">
        <f t="shared" si="4"/>
        <v>0.59160904308722295</v>
      </c>
      <c r="AF26" s="36" t="s">
        <v>65</v>
      </c>
      <c r="AG26" s="36"/>
      <c r="AH26" s="36"/>
    </row>
    <row r="27" spans="1:34" x14ac:dyDescent="0.25">
      <c r="A27" s="2">
        <v>56</v>
      </c>
      <c r="B27" s="2">
        <v>-1</v>
      </c>
      <c r="C27" s="2" t="s">
        <v>14</v>
      </c>
      <c r="D27" s="2">
        <v>1</v>
      </c>
      <c r="F27" s="2" t="s">
        <v>84</v>
      </c>
      <c r="G27" s="2" t="s">
        <v>79</v>
      </c>
      <c r="H27" s="2" t="s">
        <v>13</v>
      </c>
      <c r="I27" s="2">
        <v>1</v>
      </c>
      <c r="T27" s="14">
        <f t="shared" si="0"/>
        <v>0.28768207245178085</v>
      </c>
      <c r="U27" s="14">
        <f t="shared" si="1"/>
        <v>1.0986122886681098</v>
      </c>
      <c r="V27" s="2">
        <f t="shared" si="2"/>
        <v>0</v>
      </c>
      <c r="W27" s="2">
        <v>1</v>
      </c>
      <c r="AB27" s="2">
        <v>1</v>
      </c>
      <c r="AC27" s="13">
        <f t="shared" si="3"/>
        <v>0.88162492840377693</v>
      </c>
      <c r="AD27" s="13">
        <f t="shared" si="4"/>
        <v>0.7071588329818107</v>
      </c>
      <c r="AF27" s="2" t="s">
        <v>61</v>
      </c>
      <c r="AG27" s="11" t="s">
        <v>62</v>
      </c>
      <c r="AH27" s="2" t="s">
        <v>63</v>
      </c>
    </row>
    <row r="28" spans="1:34" x14ac:dyDescent="0.25">
      <c r="A28" s="2">
        <v>57</v>
      </c>
      <c r="B28" s="2">
        <v>0</v>
      </c>
      <c r="C28" s="2" t="s">
        <v>14</v>
      </c>
      <c r="D28" s="2">
        <v>1</v>
      </c>
      <c r="F28" s="2" t="s">
        <v>84</v>
      </c>
      <c r="G28" s="2" t="s">
        <v>78</v>
      </c>
      <c r="H28" s="2" t="s">
        <v>13</v>
      </c>
      <c r="I28" s="2">
        <v>1</v>
      </c>
      <c r="T28" s="14">
        <f t="shared" si="0"/>
        <v>0.28768207245178085</v>
      </c>
      <c r="U28" s="14">
        <f t="shared" si="1"/>
        <v>0.31845373111853459</v>
      </c>
      <c r="V28" s="2">
        <f t="shared" si="2"/>
        <v>0</v>
      </c>
      <c r="W28" s="2">
        <v>1</v>
      </c>
      <c r="AB28" s="2">
        <v>1</v>
      </c>
      <c r="AC28" s="13">
        <f t="shared" si="3"/>
        <v>0.37062107320880511</v>
      </c>
      <c r="AD28" s="13">
        <f t="shared" si="4"/>
        <v>0.59160904308722295</v>
      </c>
      <c r="AF28" s="2" t="s">
        <v>3</v>
      </c>
      <c r="AG28" s="11" t="s">
        <v>39</v>
      </c>
      <c r="AH28" s="29">
        <f>VLOOKUP(AG28,$AG$5:$AH$16,2,FALSE)</f>
        <v>-8.5330871990972437</v>
      </c>
    </row>
    <row r="29" spans="1:34" x14ac:dyDescent="0.25">
      <c r="A29" s="2">
        <v>58</v>
      </c>
      <c r="B29" s="2">
        <v>-1</v>
      </c>
      <c r="C29" s="2" t="s">
        <v>14</v>
      </c>
      <c r="D29" s="2">
        <v>1</v>
      </c>
      <c r="F29" s="2" t="s">
        <v>84</v>
      </c>
      <c r="G29" s="2" t="s">
        <v>79</v>
      </c>
      <c r="H29" s="2" t="s">
        <v>13</v>
      </c>
      <c r="I29" s="2">
        <v>1</v>
      </c>
      <c r="T29" s="14">
        <f t="shared" si="0"/>
        <v>0.28768207245178085</v>
      </c>
      <c r="U29" s="14">
        <f t="shared" si="1"/>
        <v>1.0986122886681098</v>
      </c>
      <c r="V29" s="2">
        <f t="shared" si="2"/>
        <v>0</v>
      </c>
      <c r="W29" s="2">
        <v>1</v>
      </c>
      <c r="AB29" s="2">
        <v>1</v>
      </c>
      <c r="AC29" s="13">
        <f t="shared" si="3"/>
        <v>0.88162492840377693</v>
      </c>
      <c r="AD29" s="13">
        <f t="shared" si="4"/>
        <v>0.7071588329818107</v>
      </c>
      <c r="AF29" s="2" t="s">
        <v>5</v>
      </c>
      <c r="AG29" s="11" t="s">
        <v>47</v>
      </c>
      <c r="AH29" s="29">
        <f t="shared" ref="AH29:AH30" si="22">VLOOKUP(AG29,$AG$5:$AH$16,2,FALSE)</f>
        <v>-3.456515824508303</v>
      </c>
    </row>
    <row r="30" spans="1:34" x14ac:dyDescent="0.25">
      <c r="A30" s="2">
        <v>59</v>
      </c>
      <c r="B30" s="2">
        <v>0</v>
      </c>
      <c r="C30" s="2" t="s">
        <v>14</v>
      </c>
      <c r="D30" s="2">
        <v>1</v>
      </c>
      <c r="F30" s="2" t="s">
        <v>84</v>
      </c>
      <c r="G30" s="2" t="s">
        <v>78</v>
      </c>
      <c r="H30" s="2" t="s">
        <v>13</v>
      </c>
      <c r="I30" s="2">
        <v>1</v>
      </c>
      <c r="T30" s="14">
        <f t="shared" si="0"/>
        <v>0.28768207245178085</v>
      </c>
      <c r="U30" s="14">
        <f t="shared" si="1"/>
        <v>0.31845373111853459</v>
      </c>
      <c r="V30" s="2">
        <f t="shared" si="2"/>
        <v>0</v>
      </c>
      <c r="W30" s="2">
        <v>1</v>
      </c>
      <c r="AB30" s="2">
        <v>1</v>
      </c>
      <c r="AC30" s="13">
        <f t="shared" si="3"/>
        <v>0.37062107320880511</v>
      </c>
      <c r="AD30" s="13">
        <f t="shared" si="4"/>
        <v>0.59160904308722295</v>
      </c>
      <c r="AF30" s="2" t="s">
        <v>7</v>
      </c>
      <c r="AG30" s="11" t="s">
        <v>55</v>
      </c>
      <c r="AH30" s="29">
        <f t="shared" si="22"/>
        <v>3.0989002764321891</v>
      </c>
    </row>
    <row r="31" spans="1:34" x14ac:dyDescent="0.25">
      <c r="A31" s="2">
        <v>60</v>
      </c>
      <c r="B31" s="2">
        <v>-1</v>
      </c>
      <c r="C31" s="2" t="s">
        <v>14</v>
      </c>
      <c r="D31" s="2">
        <v>0</v>
      </c>
      <c r="F31" s="2" t="s">
        <v>84</v>
      </c>
      <c r="G31" s="2" t="s">
        <v>79</v>
      </c>
      <c r="H31" s="2" t="s">
        <v>13</v>
      </c>
      <c r="I31" s="2">
        <v>0</v>
      </c>
      <c r="T31" s="14">
        <f t="shared" si="0"/>
        <v>0.28768207245178085</v>
      </c>
      <c r="U31" s="14">
        <f t="shared" si="1"/>
        <v>1.0986122886681098</v>
      </c>
      <c r="V31" s="2">
        <f t="shared" si="2"/>
        <v>0</v>
      </c>
      <c r="W31" s="2">
        <v>0</v>
      </c>
      <c r="AB31" s="2">
        <v>0</v>
      </c>
      <c r="AC31" s="13">
        <f t="shared" si="3"/>
        <v>0.88162492840377693</v>
      </c>
      <c r="AD31" s="13">
        <f t="shared" si="4"/>
        <v>0.7071588329818107</v>
      </c>
      <c r="AF31" s="2" t="s">
        <v>60</v>
      </c>
      <c r="AH31" s="29">
        <f>SUM(AH28:AH30)</f>
        <v>-8.8907027471733571</v>
      </c>
    </row>
    <row r="32" spans="1:34" x14ac:dyDescent="0.25">
      <c r="A32" s="2">
        <v>61</v>
      </c>
      <c r="B32" s="2">
        <v>0</v>
      </c>
      <c r="C32" s="2" t="s">
        <v>14</v>
      </c>
      <c r="D32" s="2">
        <v>0</v>
      </c>
      <c r="F32" s="2" t="s">
        <v>84</v>
      </c>
      <c r="G32" s="2" t="s">
        <v>78</v>
      </c>
      <c r="H32" s="2" t="s">
        <v>13</v>
      </c>
      <c r="I32" s="2">
        <v>0</v>
      </c>
      <c r="T32" s="14">
        <f t="shared" si="0"/>
        <v>0.28768207245178085</v>
      </c>
      <c r="U32" s="14">
        <f t="shared" si="1"/>
        <v>0.31845373111853459</v>
      </c>
      <c r="V32" s="2">
        <f t="shared" si="2"/>
        <v>0</v>
      </c>
      <c r="W32" s="2">
        <v>0</v>
      </c>
      <c r="AB32" s="2">
        <v>0</v>
      </c>
      <c r="AC32" s="13">
        <f t="shared" si="3"/>
        <v>0.37062107320880511</v>
      </c>
      <c r="AD32" s="13">
        <f t="shared" si="4"/>
        <v>0.59160904308722295</v>
      </c>
    </row>
    <row r="33" spans="32:38" x14ac:dyDescent="0.25">
      <c r="AF33" s="36" t="s">
        <v>66</v>
      </c>
      <c r="AG33" s="36"/>
      <c r="AH33" s="36"/>
    </row>
    <row r="34" spans="32:38" x14ac:dyDescent="0.25">
      <c r="AF34" s="2" t="s">
        <v>61</v>
      </c>
      <c r="AG34" s="11" t="s">
        <v>62</v>
      </c>
      <c r="AH34" s="2" t="s">
        <v>63</v>
      </c>
    </row>
    <row r="35" spans="32:38" x14ac:dyDescent="0.25">
      <c r="AF35" s="2" t="s">
        <v>3</v>
      </c>
      <c r="AG35" s="11" t="s">
        <v>41</v>
      </c>
      <c r="AH35" s="29">
        <f>VLOOKUP(AG35,$AG$5:$AH$16,2,FALSE)</f>
        <v>6.9249885552152719</v>
      </c>
    </row>
    <row r="36" spans="32:38" x14ac:dyDescent="0.25">
      <c r="AF36" s="2" t="s">
        <v>5</v>
      </c>
      <c r="AG36" s="11" t="s">
        <v>49</v>
      </c>
      <c r="AH36" s="29">
        <f t="shared" ref="AH36:AH37" si="23">VLOOKUP(AG36,$AG$5:$AH$16,2,FALSE)</f>
        <v>3.9157114531409749</v>
      </c>
    </row>
    <row r="37" spans="32:38" x14ac:dyDescent="0.25">
      <c r="AF37" s="2" t="s">
        <v>7</v>
      </c>
      <c r="AG37" s="11" t="s">
        <v>52</v>
      </c>
      <c r="AH37" s="29">
        <f t="shared" si="23"/>
        <v>10.751076833998354</v>
      </c>
      <c r="AK37" s="2" t="s">
        <v>67</v>
      </c>
      <c r="AL37" s="2">
        <v>0.3</v>
      </c>
    </row>
    <row r="38" spans="32:38" x14ac:dyDescent="0.25">
      <c r="AF38" s="2" t="s">
        <v>60</v>
      </c>
      <c r="AH38" s="29">
        <f>SUM(AH35:AH37)</f>
        <v>21.591776842354601</v>
      </c>
      <c r="AL38" s="29">
        <f>Z11-Z10*LN(AL37/(1-AL37))</f>
        <v>19.004643264490852</v>
      </c>
    </row>
  </sheetData>
  <mergeCells count="6">
    <mergeCell ref="AF33:AH33"/>
    <mergeCell ref="AF5:AF9"/>
    <mergeCell ref="AF10:AF13"/>
    <mergeCell ref="AF14:AF16"/>
    <mergeCell ref="AF19:AH19"/>
    <mergeCell ref="AF26:AH26"/>
  </mergeCells>
  <phoneticPr fontId="1" type="noConversion"/>
  <pageMargins left="0.7" right="0.7" top="0.75" bottom="0.75" header="0.3" footer="0.3"/>
  <pageSetup paperSize="9" orientation="portrait" r:id="rId1"/>
  <ignoredErrors>
    <ignoredError sqref="N20:N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5621-8E9B-4213-85B6-5C41C8BB03A6}">
  <dimension ref="A1"/>
  <sheetViews>
    <sheetView workbookViewId="0">
      <selection activeCell="A9" sqref="A9"/>
    </sheetView>
  </sheetViews>
  <sheetFormatPr defaultColWidth="12.625" defaultRowHeight="15.75" x14ac:dyDescent="0.25"/>
  <cols>
    <col min="1" max="16384" width="12.625" style="1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EEB5-1CDB-46FF-8267-F2232DD46836}">
  <dimension ref="G3:K31"/>
  <sheetViews>
    <sheetView tabSelected="1" topLeftCell="A11" zoomScaleNormal="100" workbookViewId="0">
      <selection activeCell="C16" sqref="C16"/>
    </sheetView>
  </sheetViews>
  <sheetFormatPr defaultRowHeight="15.75" x14ac:dyDescent="0.25"/>
  <cols>
    <col min="1" max="6" width="9" style="1"/>
    <col min="7" max="7" width="5.5" style="1" bestFit="1" customWidth="1"/>
    <col min="8" max="10" width="4.875" style="1" customWidth="1"/>
    <col min="11" max="11" width="7.5" style="1" bestFit="1" customWidth="1"/>
    <col min="12" max="16384" width="9" style="1"/>
  </cols>
  <sheetData>
    <row r="3" spans="7:11" x14ac:dyDescent="0.25">
      <c r="G3" s="41"/>
      <c r="H3" s="41">
        <v>1</v>
      </c>
      <c r="I3" s="41">
        <v>2</v>
      </c>
      <c r="J3" s="41">
        <v>3</v>
      </c>
      <c r="K3" s="42" t="s">
        <v>85</v>
      </c>
    </row>
    <row r="4" spans="7:11" x14ac:dyDescent="0.25">
      <c r="G4" s="41">
        <v>1</v>
      </c>
      <c r="H4" s="43" t="s">
        <v>87</v>
      </c>
      <c r="I4" s="44"/>
      <c r="J4" s="44"/>
    </row>
    <row r="5" spans="7:11" x14ac:dyDescent="0.25">
      <c r="G5" s="41">
        <v>2</v>
      </c>
      <c r="H5" s="44"/>
      <c r="I5" s="44"/>
      <c r="J5" s="44" t="s">
        <v>87</v>
      </c>
    </row>
    <row r="6" spans="7:11" x14ac:dyDescent="0.25">
      <c r="G6" s="41">
        <v>3</v>
      </c>
      <c r="H6" s="44"/>
      <c r="I6" s="44" t="s">
        <v>87</v>
      </c>
      <c r="J6" s="44"/>
    </row>
    <row r="7" spans="7:11" x14ac:dyDescent="0.25">
      <c r="G7" s="41">
        <v>4</v>
      </c>
      <c r="H7" s="44"/>
      <c r="I7" s="44"/>
      <c r="J7" s="44" t="s">
        <v>87</v>
      </c>
    </row>
    <row r="8" spans="7:11" x14ac:dyDescent="0.25">
      <c r="G8" s="41">
        <v>5</v>
      </c>
      <c r="H8" s="44" t="s">
        <v>87</v>
      </c>
      <c r="I8" s="44"/>
      <c r="J8" s="44"/>
    </row>
    <row r="9" spans="7:11" x14ac:dyDescent="0.25">
      <c r="G9" s="42" t="s">
        <v>86</v>
      </c>
    </row>
    <row r="12" spans="7:11" x14ac:dyDescent="0.25">
      <c r="G12" s="41"/>
      <c r="H12" s="41">
        <v>1</v>
      </c>
      <c r="I12" s="41">
        <v>2</v>
      </c>
      <c r="J12" s="41">
        <v>3</v>
      </c>
      <c r="K12" s="42" t="s">
        <v>85</v>
      </c>
    </row>
    <row r="13" spans="7:11" x14ac:dyDescent="0.25">
      <c r="G13" s="41">
        <v>1</v>
      </c>
      <c r="H13" s="43" t="s">
        <v>87</v>
      </c>
      <c r="I13" s="44"/>
      <c r="J13" s="44"/>
    </row>
    <row r="14" spans="7:11" x14ac:dyDescent="0.25">
      <c r="G14" s="41">
        <v>2</v>
      </c>
      <c r="H14" s="44"/>
      <c r="I14" s="44"/>
      <c r="J14" s="44" t="s">
        <v>87</v>
      </c>
    </row>
    <row r="15" spans="7:11" x14ac:dyDescent="0.25">
      <c r="G15" s="41">
        <v>3</v>
      </c>
      <c r="H15" s="44"/>
      <c r="I15" s="44" t="s">
        <v>87</v>
      </c>
      <c r="J15" s="44"/>
    </row>
    <row r="16" spans="7:11" x14ac:dyDescent="0.25">
      <c r="G16" s="41">
        <v>4</v>
      </c>
      <c r="H16" s="44"/>
      <c r="I16" s="44"/>
      <c r="J16" s="44" t="s">
        <v>87</v>
      </c>
    </row>
    <row r="17" spans="7:11" x14ac:dyDescent="0.25">
      <c r="G17" s="41">
        <v>5</v>
      </c>
      <c r="H17" s="44" t="s">
        <v>87</v>
      </c>
      <c r="I17" s="44"/>
      <c r="J17" s="44"/>
    </row>
    <row r="18" spans="7:11" x14ac:dyDescent="0.25">
      <c r="G18" s="42" t="s">
        <v>86</v>
      </c>
    </row>
    <row r="25" spans="7:11" x14ac:dyDescent="0.25">
      <c r="G25" s="41"/>
      <c r="H25" s="41">
        <v>1</v>
      </c>
      <c r="I25" s="41">
        <v>2</v>
      </c>
      <c r="J25" s="41">
        <v>3</v>
      </c>
      <c r="K25" s="42" t="s">
        <v>85</v>
      </c>
    </row>
    <row r="26" spans="7:11" x14ac:dyDescent="0.25">
      <c r="G26" s="41">
        <v>1</v>
      </c>
      <c r="H26" s="43" t="s">
        <v>87</v>
      </c>
      <c r="I26" s="44"/>
      <c r="J26" s="44"/>
    </row>
    <row r="27" spans="7:11" x14ac:dyDescent="0.25">
      <c r="G27" s="41">
        <v>2</v>
      </c>
      <c r="H27" s="44"/>
      <c r="I27" s="44"/>
      <c r="J27" s="44" t="s">
        <v>87</v>
      </c>
    </row>
    <row r="28" spans="7:11" x14ac:dyDescent="0.25">
      <c r="G28" s="41">
        <v>3</v>
      </c>
      <c r="H28" s="44"/>
      <c r="I28" s="44" t="s">
        <v>87</v>
      </c>
      <c r="J28" s="44"/>
    </row>
    <row r="29" spans="7:11" x14ac:dyDescent="0.25">
      <c r="G29" s="41">
        <v>4</v>
      </c>
      <c r="H29" s="44"/>
      <c r="I29" s="44"/>
      <c r="J29" s="44" t="s">
        <v>87</v>
      </c>
    </row>
    <row r="30" spans="7:11" x14ac:dyDescent="0.25">
      <c r="G30" s="41">
        <v>5</v>
      </c>
      <c r="H30" s="44" t="s">
        <v>87</v>
      </c>
      <c r="I30" s="44"/>
      <c r="J30" s="44"/>
    </row>
    <row r="31" spans="7:11" x14ac:dyDescent="0.25">
      <c r="G31" s="42" t="s">
        <v>86</v>
      </c>
    </row>
  </sheetData>
  <phoneticPr fontId="1" type="noConversion"/>
  <pageMargins left="0.7" right="0.7" top="0.75" bottom="0.75" header="0.3" footer="0.3"/>
  <pageSetup paperSize="9" scale="7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LR</vt:lpstr>
      <vt:lpstr>XGBoost</vt:lpstr>
      <vt:lpstr>XGBoost!Print_Area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2019-05-17T06:13:56Z</dcterms:created>
  <dcterms:modified xsi:type="dcterms:W3CDTF">2019-06-13T07:05:01Z</dcterms:modified>
</cp:coreProperties>
</file>