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tables/table30.xml" ContentType="application/vnd.openxmlformats-officedocument.spreadsheetml.table+xml"/>
  <Override PartName="/xl/drawings/drawing3.xml" ContentType="application/vnd.openxmlformats-officedocument.drawing+xml"/>
  <Override PartName="/xl/tables/table31.xml" ContentType="application/vnd.openxmlformats-officedocument.spreadsheetml.table+xml"/>
  <Override PartName="/xl/tables/table32.xml" ContentType="application/vnd.openxmlformats-officedocument.spreadsheetml.table+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5.xml" ContentType="application/vnd.openxmlformats-officedocument.drawing+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ogers\Documents\MyDesktemp\WealthFinPilot\Version_0\"/>
    </mc:Choice>
  </mc:AlternateContent>
  <xr:revisionPtr revIDLastSave="0" documentId="13_ncr:1_{125B897D-921F-4C84-9463-DB3414B53459}" xr6:coauthVersionLast="47" xr6:coauthVersionMax="47" xr10:uidLastSave="{00000000-0000-0000-0000-000000000000}"/>
  <bookViews>
    <workbookView xWindow="-110" yWindow="-110" windowWidth="19420" windowHeight="10300" tabRatio="608" firstSheet="8" activeTab="8" xr2:uid="{63AB22CF-C345-4620-BD14-DB2F2247DB81}"/>
  </bookViews>
  <sheets>
    <sheet name="Sheet1" sheetId="1" state="hidden" r:id="rId1"/>
    <sheet name="Input" sheetId="2" state="hidden" r:id="rId2"/>
    <sheet name="Master" sheetId="45" state="hidden" r:id="rId3"/>
    <sheet name="Data Base" sheetId="4" state="hidden" r:id="rId4"/>
    <sheet name="WB_Data" sheetId="3" state="hidden" r:id="rId5"/>
    <sheet name="Analyse" sheetId="48" state="hidden" r:id="rId6"/>
    <sheet name="ControlChart" sheetId="27" state="hidden" r:id="rId7"/>
    <sheet name="Library" sheetId="42" state="hidden" r:id="rId8"/>
    <sheet name="DashBoard" sheetId="5" r:id="rId9"/>
    <sheet name="Data Entry" sheetId="43" r:id="rId10"/>
    <sheet name="Budget1" sheetId="34" state="hidden" r:id="rId11"/>
    <sheet name="TamponBudget1" sheetId="7" state="hidden" r:id="rId12"/>
    <sheet name="A_Budget1" sheetId="35" state="hidden" r:id="rId13"/>
    <sheet name="ControlChart_Budget1" sheetId="36" state="hidden" r:id="rId14"/>
    <sheet name="Budget2" sheetId="37" state="hidden" r:id="rId15"/>
    <sheet name="TamponBudget2" sheetId="41" state="hidden" r:id="rId16"/>
    <sheet name="A_Budget2" sheetId="38" state="hidden" r:id="rId17"/>
    <sheet name="ControlChart_Budget2" sheetId="40" state="hidden" r:id="rId18"/>
  </sheets>
  <functionGroups builtInGroupCount="19"/>
  <definedNames>
    <definedName name="_xlcn.WorksheetConnection_Finance.xlsxDataTable" hidden="1">DataTable[]</definedName>
    <definedName name="_xlcn.WorksheetConnection_Finance_Test.xlsmMaster" hidden="1">Master[]</definedName>
    <definedName name="_xlcn.WorksheetConnection_Finance_v1.5.xlsmExtrap" hidden="1">ExtrapBudget1[]</definedName>
    <definedName name="_xlcn.WorksheetConnection_Finance_v2.11.xlsmDataBudget2" hidden="1">DataBudget2[]</definedName>
    <definedName name="_xlcn.WorksheetConnection_Finance_v2.8.xlsmBudget1Data" hidden="1">DataBudget1[]</definedName>
    <definedName name="_xlcn.WorksheetConnection_WealthFinPilot_Retest14.xlsmMaster_1" hidden="1">Master_1[]</definedName>
    <definedName name="_xlcn.WorksheetConnection_WealthFinPilot_v01.1.xlsmMonth" hidden="1">Month[]</definedName>
    <definedName name="_xleta.GETPIVOTDATA" hidden="1" xlm="1">#NAME?</definedName>
    <definedName name="_xleta.IF" hidden="1" xlm="1">#NAME?</definedName>
    <definedName name="_xleta.MATCH" hidden="1" xlm="1">#NAME?</definedName>
    <definedName name="_xleta.SUM" hidden="1" xlm="1">#NAME?</definedName>
    <definedName name="Bank">tbCCY[Bank]</definedName>
    <definedName name="Birth">Sheet1!$BD$1:$BD$150</definedName>
    <definedName name="CELIY">CELI[Année]</definedName>
    <definedName name="DataLanguage">tbCCY[Language]</definedName>
    <definedName name="DateEntree">"Rectangle 5384"</definedName>
    <definedName name="EPAnnée">DTEP[Année]</definedName>
    <definedName name="ExternalData_1" localSheetId="2" hidden="1">Master!$A$1:$I$113</definedName>
    <definedName name="HouseUser">#REF!</definedName>
    <definedName name="Librarymm">tbLibrarymm[]</definedName>
    <definedName name="ListBudget">Budget[Budget]</definedName>
    <definedName name="Modulechoice">WB_Data!$EN$2:$EN$4</definedName>
    <definedName name="RefInc">TbREFIncome[Income]</definedName>
    <definedName name="Slicer_Année">#N/A</definedName>
    <definedName name="Slicer_Année1">#N/A</definedName>
    <definedName name="Slicer_Année2">#N/A</definedName>
    <definedName name="Slicer_Année3">#N/A</definedName>
    <definedName name="Slicer_Année4">#N/A</definedName>
    <definedName name="Slicer_Cat_2">#N/A</definedName>
    <definedName name="Slicer_Cat_21">#N/A</definedName>
    <definedName name="Slicer_Cat_22">#N/A</definedName>
    <definedName name="Slicer_Cat_23">#N/A</definedName>
    <definedName name="Slicer_Cat_24">#N/A</definedName>
    <definedName name="Slicer_Cat_25">#N/A</definedName>
    <definedName name="Slicer_Cat_26">#N/A</definedName>
    <definedName name="Slicer_Cat_3">#N/A</definedName>
    <definedName name="Slicer_Cat_31">#N/A</definedName>
    <definedName name="Slicer_Cat_34">#N/A</definedName>
    <definedName name="Slicer_Cat_35">#N/A</definedName>
    <definedName name="Slicer_Cat_36">#N/A</definedName>
    <definedName name="Slicer_Cat_37">#N/A</definedName>
    <definedName name="Slicer_Cat_38">#N/A</definedName>
    <definedName name="Slicer_Mois__Name">#N/A</definedName>
    <definedName name="Slicer_Mois__Name1">#N/A</definedName>
    <definedName name="Slicer_Mois__Name2">#N/A</definedName>
    <definedName name="Slicer_Mois__Quarter">#N/A</definedName>
    <definedName name="Slicer_Mois__Quarter1">#N/A</definedName>
    <definedName name="Slicer_Mois__Quarter2">#N/A</definedName>
    <definedName name="Slicer_Mois__Quarter3">#N/A</definedName>
    <definedName name="SuperCat">WB_Data!$EG$2:$EG$3</definedName>
    <definedName name="SYMB">tbCCY[Currency]</definedName>
    <definedName name="YearEP">Sheet1!$BD$76:$BD$150</definedName>
  </definedNames>
  <calcPr calcId="191029"/>
  <pivotCaches>
    <pivotCache cacheId="0" r:id="rId19"/>
    <pivotCache cacheId="1" r:id="rId20"/>
    <pivotCache cacheId="2" r:id="rId21"/>
    <pivotCache cacheId="3" r:id="rId22"/>
    <pivotCache cacheId="4" r:id="rId23"/>
    <pivotCache cacheId="5" r:id="rId24"/>
    <pivotCache cacheId="6" r:id="rId25"/>
    <pivotCache cacheId="7" r:id="rId26"/>
    <pivotCache cacheId="8" r:id="rId27"/>
    <pivotCache cacheId="9" r:id="rId28"/>
    <pivotCache cacheId="10" r:id="rId29"/>
    <pivotCache cacheId="11" r:id="rId30"/>
    <pivotCache cacheId="12" r:id="rId31"/>
    <pivotCache cacheId="13" r:id="rId32"/>
    <pivotCache cacheId="14" r:id="rId33"/>
    <pivotCache cacheId="15" r:id="rId34"/>
    <pivotCache cacheId="16" r:id="rId35"/>
    <pivotCache cacheId="17" r:id="rId36"/>
    <pivotCache cacheId="18" r:id="rId37"/>
    <pivotCache cacheId="19" r:id="rId38"/>
    <pivotCache cacheId="20" r:id="rId39"/>
    <pivotCache cacheId="21" r:id="rId40"/>
    <pivotCache cacheId="22" r:id="rId41"/>
    <pivotCache cacheId="23" r:id="rId42"/>
    <pivotCache cacheId="24" r:id="rId43"/>
    <pivotCache cacheId="25" r:id="rId44"/>
    <pivotCache cacheId="26" r:id="rId45"/>
    <pivotCache cacheId="27" r:id="rId46"/>
    <pivotCache cacheId="28" r:id="rId47"/>
    <pivotCache cacheId="29" r:id="rId48"/>
    <pivotCache cacheId="30" r:id="rId49"/>
  </pivotCaches>
  <extLst>
    <ext xmlns:x14="http://schemas.microsoft.com/office/spreadsheetml/2009/9/main" uri="{876F7934-8845-4945-9796-88D515C7AA90}">
      <x14:pivotCaches>
        <pivotCache cacheId="31" r:id="rId50"/>
        <pivotCache cacheId="32" r:id="rId51"/>
        <pivotCache cacheId="33" r:id="rId52"/>
        <pivotCache cacheId="34" r:id="rId53"/>
        <pivotCache cacheId="35" r:id="rId54"/>
        <pivotCache cacheId="36" r:id="rId55"/>
        <pivotCache cacheId="37" r:id="rId56"/>
      </x14:pivotCaches>
    </ext>
    <ext xmlns:x14="http://schemas.microsoft.com/office/spreadsheetml/2009/9/main" uri="{BBE1A952-AA13-448e-AADC-164F8A28A991}">
      <x14:slicerCaches>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onth" name="Month" connection="WorksheetConnection_WealthFinPilot_v01.1.xlsm!Month"/>
          <x15:modelTable id="Master_1" name="Master_1" connection="WorksheetConnection_WealthFinPilot_Retest14.xlsm!Master_1"/>
          <x15:modelTable id="Budget1Data" name="Budget1Data" connection="WorksheetConnection_Finance_v2.8.xlsm!Budget1Data"/>
          <x15:modelTable id="DataBudget2" name="DataBudget2" connection="WorksheetConnection_Finance_v2.11.xlsm!DataBudget2"/>
          <x15:modelTable id="Extrap" name="Extrap" connection="WorksheetConnection_Finance_v1.5.xlsm!Extrap"/>
          <x15:modelTable id="Master" name="Master" connection="WorksheetConnection_Finance_Test.xlsm!Master"/>
          <x15:modelTable id="DataTable" name="DataTable" connection="WorksheetConnection_Finance.xlsx!DataTable"/>
        </x15:modelTables>
        <x15:modelRelationships>
          <x15:modelRelationship fromTable="Master" fromColumn="Mois (Month)" toTable="Month" toColumn="Mois"/>
          <x15:modelRelationship fromTable="Extrap" fromColumn="Mois (Month)" toTable="Month" toColumn="Mois"/>
          <x15:modelRelationship fromTable="Budget1Data" fromColumn="Mois (Month)" toTable="Month" toColumn="Mois"/>
          <x15:modelRelationship fromTable="DataBudget2" fromColumn="Mois (Month)" toTable="Month" toColumn="Mois"/>
        </x15:modelRelationships>
        <x15:extLst>
          <ext xmlns:x16="http://schemas.microsoft.com/office/spreadsheetml/2014/11/main" uri="{9835A34E-60A6-4A7C-AAB8-D5F71C897F49}">
            <x16:modelTimeGroupings>
              <x16:modelTimeGrouping tableName="Master" columnName="Mois" columnId="Mois">
                <x16:calculatedTimeColumn columnName="Mois (Year)" columnId="Mois (Year)" contentType="years" isSelected="0"/>
                <x16:calculatedTimeColumn columnName="Mois (Quarter)" columnId="Mois (Quarter)" contentType="quarters" isSelected="0"/>
                <x16:calculatedTimeColumn columnName="Mois (Month Index)" columnId="Mois (Month Index)" contentType="monthsindex" isSelected="1"/>
                <x16:calculatedTimeColumn columnName="Mois (Month)" columnId="Mois (Month)" contentType="months" isSelected="1"/>
              </x16:modelTimeGrouping>
              <x16:modelTimeGrouping tableName="Extrap" columnName="Mois" columnId="Mois">
                <x16:calculatedTimeColumn columnName="Mois (Year)" columnId="Mois (Year)" contentType="years" isSelected="1"/>
                <x16:calculatedTimeColumn columnName="Mois (Quarter)" columnId="Mois (Quarter)" contentType="quarters" isSelected="1"/>
                <x16:calculatedTimeColumn columnName="Mois (Month Index)" columnId="Mois (Month Index)" contentType="monthsindex" isSelected="1"/>
                <x16:calculatedTimeColumn columnName="Mois (Month)" columnId="Mois (Month)" contentType="months" isSelected="1"/>
              </x16:modelTimeGrouping>
              <x16:modelTimeGrouping tableName="Budget1Data" columnName="Mois" columnId="Mois">
                <x16:calculatedTimeColumn columnName="Mois (Year)" columnId="Mois (Year)" contentType="years" isSelected="1"/>
                <x16:calculatedTimeColumn columnName="Mois (Quarter)" columnId="Mois (Quarter)" contentType="quarters" isSelected="1"/>
                <x16:calculatedTimeColumn columnName="Mois (Month Index)" columnId="Mois (Month Index)" contentType="monthsindex" isSelected="1"/>
                <x16:calculatedTimeColumn columnName="Mois (Month)" columnId="Mois (Month)" contentType="months" isSelected="1"/>
              </x16:modelTimeGrouping>
              <x16:modelTimeGrouping tableName="DataBudget2" columnName="Mois" columnId="Mois">
                <x16:calculatedTimeColumn columnName="Mois (Year)" columnId="Mois (Year)" contentType="years" isSelected="1"/>
                <x16:calculatedTimeColumn columnName="Mois (Quarter)" columnId="Mois (Quarter)" contentType="quarters" isSelected="1"/>
                <x16:calculatedTimeColumn columnName="Mois (Month Index)" columnId="Mois (Month Index)" contentType="monthsindex" isSelected="1"/>
                <x16:calculatedTimeColumn columnName="Mois (Month)" columnId="Mois (Month)" contentType="months" isSelected="1"/>
              </x16:modelTimeGrouping>
              <x16:modelTimeGrouping tableName="Master_1" columnName="Mois" columnId="Mois">
                <x16:calculatedTimeColumn columnName="Mois (Year)" columnId="Mois (Year)" contentType="years" isSelected="1"/>
                <x16:calculatedTimeColumn columnName="Mois (Quarter)" columnId="Mois (Quarter)" contentType="quarters" isSelected="1"/>
                <x16:calculatedTimeColumn columnName="Mois (Month Index)" columnId="Mois (Month Index)" contentType="monthsindex" isSelected="1"/>
                <x16:calculatedTimeColumn columnName="Mois (Month)" columnId="Mois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42" l="1"/>
  <c r="D2" i="42"/>
  <c r="E2" i="42"/>
  <c r="F2" i="42"/>
  <c r="B2" i="42"/>
  <c r="ER19" i="40"/>
  <c r="ER20" i="40"/>
  <c r="ER21" i="40"/>
  <c r="ER22" i="40"/>
  <c r="ER23" i="40"/>
  <c r="ER24" i="40"/>
  <c r="ER25" i="40"/>
  <c r="ER26" i="40"/>
  <c r="ER27" i="40"/>
  <c r="ER28" i="40"/>
  <c r="ER29" i="40"/>
  <c r="ER19" i="36"/>
  <c r="ER20" i="36"/>
  <c r="ER21" i="36"/>
  <c r="ER22" i="36"/>
  <c r="ER23" i="36"/>
  <c r="ER24" i="36"/>
  <c r="ER25" i="36"/>
  <c r="ER26" i="36"/>
  <c r="ER27" i="36"/>
  <c r="ER28" i="36"/>
  <c r="ER29" i="36"/>
  <c r="Q3" i="41"/>
  <c r="AA2" i="41"/>
  <c r="AA3" i="41"/>
  <c r="AA4" i="41"/>
  <c r="AA5" i="41"/>
  <c r="AA6" i="41"/>
  <c r="AA7" i="41"/>
  <c r="AA8" i="41"/>
  <c r="AA9" i="41"/>
  <c r="AA10" i="41"/>
  <c r="AA11" i="41"/>
  <c r="P2" i="41"/>
  <c r="H41" i="41" s="1"/>
  <c r="P3" i="41"/>
  <c r="H33" i="41" s="1"/>
  <c r="P4" i="41"/>
  <c r="H24" i="41" s="1"/>
  <c r="P5" i="41"/>
  <c r="H15" i="41" s="1"/>
  <c r="P6" i="41"/>
  <c r="H6" i="41" s="1"/>
  <c r="P7" i="41"/>
  <c r="H82" i="41" s="1"/>
  <c r="P8" i="41"/>
  <c r="H28" i="41" s="1"/>
  <c r="P9" i="41"/>
  <c r="H19" i="41" s="1"/>
  <c r="P10" i="41"/>
  <c r="H10" i="41" s="1"/>
  <c r="P11" i="41"/>
  <c r="H86" i="41" s="1"/>
  <c r="B20" i="27"/>
  <c r="A29" i="48"/>
  <c r="AP2" i="3"/>
  <c r="Q3" i="7"/>
  <c r="AA2" i="7"/>
  <c r="AA3" i="7"/>
  <c r="AA4" i="7"/>
  <c r="AA5" i="7"/>
  <c r="AA6" i="7"/>
  <c r="AA7" i="7"/>
  <c r="AA8" i="7"/>
  <c r="AA9" i="7"/>
  <c r="AA10" i="7"/>
  <c r="AA11" i="7"/>
  <c r="P2" i="7"/>
  <c r="H33" i="7" s="1"/>
  <c r="P3" i="7"/>
  <c r="H34" i="7" s="1"/>
  <c r="P4" i="7"/>
  <c r="H14" i="7" s="1"/>
  <c r="P5" i="7"/>
  <c r="H5" i="7" s="1"/>
  <c r="P6" i="7"/>
  <c r="H45" i="7" s="1"/>
  <c r="P7" i="7"/>
  <c r="H46" i="7" s="1"/>
  <c r="P8" i="7"/>
  <c r="H18" i="7" s="1"/>
  <c r="P9" i="7"/>
  <c r="H9" i="7" s="1"/>
  <c r="P10" i="7"/>
  <c r="H49" i="7" s="1"/>
  <c r="P11" i="7"/>
  <c r="H22" i="7" s="1"/>
  <c r="CG3" i="27" a="1"/>
  <c r="CG3" i="27" s="1"/>
  <c r="CF2" i="27"/>
  <c r="CF1" i="27"/>
  <c r="BV12" i="27"/>
  <c r="BU12" i="27"/>
  <c r="BC2" i="27" a="1"/>
  <c r="BC2" i="27" s="1"/>
  <c r="BC3" i="27" a="1"/>
  <c r="BC3" i="27" s="1"/>
  <c r="BC4" i="27" a="1"/>
  <c r="BC4" i="27" s="1"/>
  <c r="BC5" i="27" a="1"/>
  <c r="BC5" i="27" s="1"/>
  <c r="BC6" i="27" a="1"/>
  <c r="BC6" i="27" s="1"/>
  <c r="BC7" i="27" a="1"/>
  <c r="BC7" i="27" s="1"/>
  <c r="BC8" i="27" a="1"/>
  <c r="BC8" i="27" s="1"/>
  <c r="BC9" i="27" a="1"/>
  <c r="BC9" i="27" s="1"/>
  <c r="BC10" i="27" a="1"/>
  <c r="BC10" i="27" s="1"/>
  <c r="BC11" i="27" a="1"/>
  <c r="BC11" i="27" s="1"/>
  <c r="BC12" i="27" a="1"/>
  <c r="BC12" i="27" s="1"/>
  <c r="BC13" i="27" a="1"/>
  <c r="BC13" i="27" s="1"/>
  <c r="BC1" i="27" a="1"/>
  <c r="BC1" i="27" s="1"/>
  <c r="AV34" i="27"/>
  <c r="AU34" i="27"/>
  <c r="AS34" i="27"/>
  <c r="AU17" i="27"/>
  <c r="AV17" i="27"/>
  <c r="AS17" i="27"/>
  <c r="AU1" i="27"/>
  <c r="AV1" i="27"/>
  <c r="AS1" i="27"/>
  <c r="AF2" i="27" a="1"/>
  <c r="AF2" i="27" s="1"/>
  <c r="AF3" i="27" a="1"/>
  <c r="AF3" i="27" s="1"/>
  <c r="AF4" i="27" a="1"/>
  <c r="AF4" i="27" s="1"/>
  <c r="AF5" i="27" a="1"/>
  <c r="AF5" i="27" s="1"/>
  <c r="AF6" i="27" a="1"/>
  <c r="AF6" i="27" s="1"/>
  <c r="AF7" i="27" a="1"/>
  <c r="AF7" i="27" s="1"/>
  <c r="AF8" i="27" a="1"/>
  <c r="AF8" i="27" s="1"/>
  <c r="AF9" i="27" a="1"/>
  <c r="AF9" i="27" s="1"/>
  <c r="AF10" i="27" a="1"/>
  <c r="AF10" i="27" s="1"/>
  <c r="AF11" i="27" a="1"/>
  <c r="AF11" i="27" s="1"/>
  <c r="AF12" i="27" a="1"/>
  <c r="AF12" i="27" s="1"/>
  <c r="AF13" i="27" a="1"/>
  <c r="AF13" i="27" s="1"/>
  <c r="AF14" i="27" a="1"/>
  <c r="AF14" i="27" s="1"/>
  <c r="AF15" i="27" a="1"/>
  <c r="AF15" i="27" s="1"/>
  <c r="AF16" i="27" a="1"/>
  <c r="AF16" i="27" s="1"/>
  <c r="AF1" i="27" a="1"/>
  <c r="AF1" i="27" s="1"/>
  <c r="AD2" i="27"/>
  <c r="AD1" i="27"/>
  <c r="J2" i="27" a="1"/>
  <c r="J2" i="27" s="1"/>
  <c r="J3" i="27" a="1"/>
  <c r="J3" i="27" s="1"/>
  <c r="J4" i="27" a="1"/>
  <c r="J4" i="27" s="1"/>
  <c r="J5" i="27" a="1"/>
  <c r="J5" i="27" s="1"/>
  <c r="J6" i="27" a="1"/>
  <c r="J6" i="27" s="1"/>
  <c r="J7" i="27" a="1"/>
  <c r="J7" i="27" s="1"/>
  <c r="J8" i="27" a="1"/>
  <c r="J8" i="27" s="1"/>
  <c r="J9" i="27" a="1"/>
  <c r="J9" i="27" s="1"/>
  <c r="J10" i="27" a="1"/>
  <c r="J10" i="27" s="1"/>
  <c r="J11" i="27" a="1"/>
  <c r="J11" i="27" s="1"/>
  <c r="J12" i="27" a="1"/>
  <c r="J12" i="27" s="1"/>
  <c r="J13" i="27" a="1"/>
  <c r="J13" i="27" s="1"/>
  <c r="J14" i="27" a="1"/>
  <c r="J14" i="27" s="1"/>
  <c r="J15" i="27" a="1"/>
  <c r="J15" i="27" s="1"/>
  <c r="J16" i="27" a="1"/>
  <c r="J16" i="27" s="1"/>
  <c r="J1" i="27" a="1"/>
  <c r="J1" i="27" s="1"/>
  <c r="M17" i="27"/>
  <c r="BX12" i="27"/>
  <c r="CG1" i="27"/>
  <c r="CH2" i="27"/>
  <c r="AH10" i="27" a="1"/>
  <c r="H31" i="41" l="1"/>
  <c r="H49" i="41"/>
  <c r="H14" i="41"/>
  <c r="H67" i="41"/>
  <c r="H63" i="41"/>
  <c r="H45" i="41"/>
  <c r="H27" i="41"/>
  <c r="H9" i="41"/>
  <c r="H76" i="41"/>
  <c r="H58" i="41"/>
  <c r="H40" i="41"/>
  <c r="H23" i="41"/>
  <c r="H5" i="41"/>
  <c r="H72" i="41"/>
  <c r="H54" i="41"/>
  <c r="H36" i="41"/>
  <c r="H18" i="41"/>
  <c r="H103" i="41"/>
  <c r="H90" i="41"/>
  <c r="H81" i="41"/>
  <c r="H111" i="41"/>
  <c r="H107" i="41"/>
  <c r="H102" i="41"/>
  <c r="H98" i="41"/>
  <c r="H93" i="41"/>
  <c r="H89" i="41"/>
  <c r="H84" i="41"/>
  <c r="H80" i="41"/>
  <c r="H75" i="41"/>
  <c r="H71" i="41"/>
  <c r="H66" i="41"/>
  <c r="H62" i="41"/>
  <c r="H57" i="41"/>
  <c r="H53" i="41"/>
  <c r="H48" i="41"/>
  <c r="H44" i="41"/>
  <c r="H39" i="41"/>
  <c r="H35" i="41"/>
  <c r="H30" i="41"/>
  <c r="H26" i="41"/>
  <c r="H21" i="41"/>
  <c r="H17" i="41"/>
  <c r="H13" i="41"/>
  <c r="H8" i="41"/>
  <c r="H4" i="41"/>
  <c r="H112" i="41"/>
  <c r="H99" i="41"/>
  <c r="H85" i="41"/>
  <c r="H110" i="41"/>
  <c r="H106" i="41"/>
  <c r="H101" i="41"/>
  <c r="H97" i="41"/>
  <c r="H92" i="41"/>
  <c r="H88" i="41"/>
  <c r="H83" i="41"/>
  <c r="H79" i="41"/>
  <c r="H74" i="41"/>
  <c r="H70" i="41"/>
  <c r="H65" i="41"/>
  <c r="H61" i="41"/>
  <c r="H56" i="41"/>
  <c r="H52" i="41"/>
  <c r="H47" i="41"/>
  <c r="H43" i="41"/>
  <c r="H38" i="41"/>
  <c r="H34" i="41"/>
  <c r="H29" i="41"/>
  <c r="H25" i="41"/>
  <c r="H20" i="41"/>
  <c r="H16" i="41"/>
  <c r="H11" i="41"/>
  <c r="H7" i="41"/>
  <c r="H3" i="41"/>
  <c r="H108" i="41"/>
  <c r="H94" i="41"/>
  <c r="H113" i="41"/>
  <c r="H109" i="41"/>
  <c r="H104" i="41"/>
  <c r="H100" i="41"/>
  <c r="H95" i="41"/>
  <c r="H91" i="41"/>
  <c r="H78" i="41"/>
  <c r="H73" i="41"/>
  <c r="H69" i="41"/>
  <c r="H64" i="41"/>
  <c r="H60" i="41"/>
  <c r="H55" i="41"/>
  <c r="H51" i="41"/>
  <c r="H46" i="41"/>
  <c r="H42" i="41"/>
  <c r="H37" i="41"/>
  <c r="H96" i="41"/>
  <c r="H87" i="41"/>
  <c r="H59" i="41"/>
  <c r="H68" i="41"/>
  <c r="H32" i="41"/>
  <c r="H50" i="41"/>
  <c r="H22" i="41"/>
  <c r="H2" i="41"/>
  <c r="H12" i="41"/>
  <c r="H105" i="41"/>
  <c r="H77" i="41"/>
  <c r="H76" i="7"/>
  <c r="H13" i="7"/>
  <c r="H101" i="7"/>
  <c r="H52" i="7"/>
  <c r="H92" i="7"/>
  <c r="H28" i="7"/>
  <c r="H65" i="7"/>
  <c r="H104" i="7"/>
  <c r="H93" i="7"/>
  <c r="H77" i="7"/>
  <c r="H68" i="7"/>
  <c r="H56" i="7"/>
  <c r="H32" i="7"/>
  <c r="H17" i="7"/>
  <c r="H100" i="7"/>
  <c r="H89" i="7"/>
  <c r="H73" i="7"/>
  <c r="H64" i="7"/>
  <c r="H41" i="7"/>
  <c r="H24" i="7"/>
  <c r="H8" i="7"/>
  <c r="H105" i="7"/>
  <c r="H96" i="7"/>
  <c r="H88" i="7"/>
  <c r="H72" i="7"/>
  <c r="H61" i="7"/>
  <c r="H37" i="7"/>
  <c r="H21" i="7"/>
  <c r="H112" i="7"/>
  <c r="H108" i="7"/>
  <c r="H84" i="7"/>
  <c r="H80" i="7"/>
  <c r="H60" i="7"/>
  <c r="H48" i="7"/>
  <c r="H44" i="7"/>
  <c r="H40" i="7"/>
  <c r="H36" i="7"/>
  <c r="H20" i="7"/>
  <c r="H16" i="7"/>
  <c r="H12" i="7"/>
  <c r="H4" i="7"/>
  <c r="H111" i="7"/>
  <c r="H107" i="7"/>
  <c r="H103" i="7"/>
  <c r="H99" i="7"/>
  <c r="H95" i="7"/>
  <c r="H91" i="7"/>
  <c r="H87" i="7"/>
  <c r="H83" i="7"/>
  <c r="H79" i="7"/>
  <c r="H75" i="7"/>
  <c r="H71" i="7"/>
  <c r="H67" i="7"/>
  <c r="H63" i="7"/>
  <c r="H59" i="7"/>
  <c r="H55" i="7"/>
  <c r="H51" i="7"/>
  <c r="H47" i="7"/>
  <c r="H43" i="7"/>
  <c r="H39" i="7"/>
  <c r="H35" i="7"/>
  <c r="H31" i="7"/>
  <c r="H27" i="7"/>
  <c r="H23" i="7"/>
  <c r="H19" i="7"/>
  <c r="H15" i="7"/>
  <c r="H11" i="7"/>
  <c r="H7" i="7"/>
  <c r="H3" i="7"/>
  <c r="H114" i="7"/>
  <c r="H110" i="7"/>
  <c r="H106" i="7"/>
  <c r="H102" i="7"/>
  <c r="H98" i="7"/>
  <c r="H94" i="7"/>
  <c r="H90" i="7"/>
  <c r="H86" i="7"/>
  <c r="H82" i="7"/>
  <c r="H78" i="7"/>
  <c r="H74" i="7"/>
  <c r="H70" i="7"/>
  <c r="H66" i="7"/>
  <c r="H62" i="7"/>
  <c r="H58" i="7"/>
  <c r="H54" i="7"/>
  <c r="H50" i="7"/>
  <c r="H42" i="7"/>
  <c r="H38" i="7"/>
  <c r="H30" i="7"/>
  <c r="H26" i="7"/>
  <c r="H10" i="7"/>
  <c r="H6" i="7"/>
  <c r="H2" i="7"/>
  <c r="H113" i="7"/>
  <c r="H109" i="7"/>
  <c r="H97" i="7"/>
  <c r="H85" i="7"/>
  <c r="H81" i="7"/>
  <c r="H69" i="7"/>
  <c r="H57" i="7"/>
  <c r="H53" i="7"/>
  <c r="H29" i="7"/>
  <c r="H25" i="7"/>
  <c r="AH10" i="27"/>
  <c r="K6" i="27" a="1"/>
  <c r="K14" i="27" a="1"/>
  <c r="AH1" i="27" a="1"/>
  <c r="AG13" i="27" a="1"/>
  <c r="AH4" i="27" a="1"/>
  <c r="AG12" i="27" a="1"/>
  <c r="K7" i="27" a="1"/>
  <c r="K13" i="27" a="1"/>
  <c r="AG8" i="27" a="1"/>
  <c r="BW12" i="27"/>
  <c r="AG3" i="27" a="1"/>
  <c r="CG2" i="27"/>
  <c r="K12" i="27" a="1"/>
  <c r="K8" i="27" a="1"/>
  <c r="AH9" i="27" a="1"/>
  <c r="CH1" i="27"/>
  <c r="AG1" i="27" a="1"/>
  <c r="AH8" i="27" a="1"/>
  <c r="K15" i="27" a="1"/>
  <c r="AG11" i="27" a="1"/>
  <c r="AG4" i="27" a="1"/>
  <c r="K1" i="27" a="1"/>
  <c r="AG16" i="27" a="1"/>
  <c r="AG9" i="27" a="1"/>
  <c r="K5" i="27" a="1"/>
  <c r="AH12" i="27" a="1"/>
  <c r="K4" i="27" a="1"/>
  <c r="AH2" i="27" a="1"/>
  <c r="K3" i="27" a="1"/>
  <c r="K11" i="27" a="1"/>
  <c r="AG14" i="27" a="1"/>
  <c r="AG7" i="27" a="1"/>
  <c r="AG2" i="27" a="1"/>
  <c r="AH13" i="27" a="1"/>
  <c r="AH5" i="27" a="1"/>
  <c r="AH11" i="27" a="1"/>
  <c r="AH3" i="27" a="1"/>
  <c r="K16" i="27" a="1"/>
  <c r="AG15" i="27" a="1"/>
  <c r="AH14" i="27" a="1"/>
  <c r="AH6" i="27" a="1"/>
  <c r="AG5" i="27" a="1"/>
  <c r="K9" i="27" a="1"/>
  <c r="AH7" i="27" a="1"/>
  <c r="N17" i="27"/>
  <c r="K10" i="27" a="1"/>
  <c r="AH16" i="27" a="1"/>
  <c r="AG6" i="27" a="1"/>
  <c r="AH15" i="27" a="1"/>
  <c r="AG10" i="27" a="1"/>
  <c r="K2" i="27" a="1"/>
  <c r="AG9" i="27" l="1"/>
  <c r="AH15" i="27"/>
  <c r="K7" i="27"/>
  <c r="O7" i="27" s="1"/>
  <c r="AH2" i="27"/>
  <c r="BW13" i="27"/>
  <c r="K10" i="27"/>
  <c r="O10" i="27" s="1"/>
  <c r="AG10" i="27"/>
  <c r="AH4" i="27"/>
  <c r="AH7" i="27"/>
  <c r="AG4" i="27"/>
  <c r="K6" i="27"/>
  <c r="O6" i="27" s="1"/>
  <c r="AG14" i="27"/>
  <c r="K2" i="27"/>
  <c r="O2" i="27" s="1"/>
  <c r="AH9" i="27"/>
  <c r="K9" i="27"/>
  <c r="O9" i="27" s="1"/>
  <c r="AH3" i="27"/>
  <c r="K13" i="27"/>
  <c r="O13" i="27" s="1"/>
  <c r="AH5" i="27"/>
  <c r="AH12" i="27"/>
  <c r="AG12" i="27"/>
  <c r="K14" i="27"/>
  <c r="O14" i="27" s="1"/>
  <c r="AG15" i="27"/>
  <c r="AG2" i="27"/>
  <c r="AH1" i="27"/>
  <c r="K1" i="27"/>
  <c r="O1" i="27" s="1"/>
  <c r="AG3" i="27"/>
  <c r="AH13" i="27"/>
  <c r="K11" i="27"/>
  <c r="O11" i="27" s="1"/>
  <c r="K4" i="27"/>
  <c r="O4" i="27" s="1"/>
  <c r="AH6" i="27"/>
  <c r="K15" i="27"/>
  <c r="O15" i="27" s="1"/>
  <c r="AG16" i="27"/>
  <c r="AH8" i="27"/>
  <c r="K8" i="27"/>
  <c r="O8" i="27" s="1"/>
  <c r="AG8" i="27"/>
  <c r="K3" i="27"/>
  <c r="O3" i="27" s="1"/>
  <c r="AG5" i="27"/>
  <c r="AH11" i="27"/>
  <c r="K12" i="27"/>
  <c r="O12" i="27" s="1"/>
  <c r="AH14" i="27"/>
  <c r="AG6" i="27"/>
  <c r="AG1" i="27"/>
  <c r="AH16" i="27"/>
  <c r="K16" i="27"/>
  <c r="O16" i="27" s="1"/>
  <c r="AG7" i="27"/>
  <c r="AG13" i="27"/>
  <c r="K5" i="27"/>
  <c r="O5" i="27" s="1"/>
  <c r="AG11" i="27"/>
  <c r="C29" i="48" l="1"/>
  <c r="B29" i="48"/>
  <c r="C27" i="48" a="1"/>
  <c r="C27" i="48" s="1"/>
  <c r="B27" i="48" a="1"/>
  <c r="B27" i="48" s="1"/>
  <c r="BS1" i="27" l="1"/>
  <c r="B33" i="27"/>
  <c r="BT2" i="27"/>
  <c r="BT1" i="27"/>
  <c r="BS2" i="27"/>
  <c r="C33" i="27"/>
  <c r="AU3" i="38"/>
  <c r="AU4" i="38" s="1"/>
  <c r="ES14" i="40" s="1"/>
  <c r="AU3" i="35"/>
  <c r="AU4" i="35" s="1"/>
  <c r="AR3" i="38"/>
  <c r="EU14" i="40" s="1"/>
  <c r="AR3" i="35"/>
  <c r="EU14" i="36" s="1"/>
  <c r="ET14" i="36" s="1"/>
  <c r="AX2" i="3"/>
  <c r="B30" i="48"/>
  <c r="C30" i="48"/>
  <c r="B31" i="48" l="1"/>
  <c r="B28" i="48" s="1"/>
  <c r="C31" i="48"/>
  <c r="C28" i="48" s="1"/>
  <c r="ES14" i="36"/>
  <c r="ER18" i="40"/>
  <c r="ER2" i="40"/>
  <c r="ER3" i="40"/>
  <c r="ER4" i="40"/>
  <c r="ER5" i="40"/>
  <c r="ER6" i="40"/>
  <c r="ER7" i="40"/>
  <c r="ER8" i="40"/>
  <c r="ER9" i="40"/>
  <c r="ER10" i="40"/>
  <c r="ER11" i="40"/>
  <c r="ER12" i="40"/>
  <c r="ER13" i="40"/>
  <c r="ER18" i="36"/>
  <c r="ER2" i="36"/>
  <c r="ER3" i="36"/>
  <c r="ER4" i="36"/>
  <c r="ER5" i="36"/>
  <c r="ER6" i="36"/>
  <c r="ER7" i="36"/>
  <c r="ER8" i="36"/>
  <c r="ER9" i="36"/>
  <c r="ER10" i="36"/>
  <c r="ER11" i="36"/>
  <c r="ER12" i="36"/>
  <c r="ER13" i="36"/>
  <c r="AX1" i="27"/>
  <c r="FG1" i="27" a="1"/>
  <c r="FG1" i="27" s="1"/>
  <c r="CI1" i="27" l="1"/>
  <c r="AR175" i="40" l="1"/>
  <c r="AJ175" i="40"/>
  <c r="AR174" i="40"/>
  <c r="AJ174" i="40"/>
  <c r="AR173" i="40"/>
  <c r="AJ173" i="40"/>
  <c r="AR172" i="40"/>
  <c r="AJ172" i="40"/>
  <c r="AR171" i="40"/>
  <c r="AR170" i="40"/>
  <c r="AR169" i="40"/>
  <c r="AR168" i="40"/>
  <c r="AR167" i="40"/>
  <c r="AR166" i="40"/>
  <c r="AR165" i="40"/>
  <c r="AR163" i="40"/>
  <c r="AJ163" i="40"/>
  <c r="AR162" i="40"/>
  <c r="AJ162" i="40"/>
  <c r="AR161" i="40"/>
  <c r="AJ161" i="40"/>
  <c r="AR160" i="40"/>
  <c r="AJ160" i="40"/>
  <c r="AR159" i="40"/>
  <c r="AR158" i="40"/>
  <c r="AR157" i="40"/>
  <c r="AR156" i="40"/>
  <c r="AR155" i="40"/>
  <c r="AR154" i="40"/>
  <c r="AR153" i="40"/>
  <c r="AQ145" i="40"/>
  <c r="AP145" i="40"/>
  <c r="AO145" i="40"/>
  <c r="AN145" i="40"/>
  <c r="AM145" i="40"/>
  <c r="AL145" i="40"/>
  <c r="AK145" i="40"/>
  <c r="AR143" i="40"/>
  <c r="AJ143" i="40"/>
  <c r="AR142" i="40"/>
  <c r="AJ142" i="40"/>
  <c r="AR141" i="40"/>
  <c r="AJ141" i="40"/>
  <c r="AR140" i="40"/>
  <c r="AJ140" i="40"/>
  <c r="AR139" i="40"/>
  <c r="AR138" i="40"/>
  <c r="AR137" i="40"/>
  <c r="AR136" i="40"/>
  <c r="AR135" i="40"/>
  <c r="AR134" i="40"/>
  <c r="AR133" i="40"/>
  <c r="AR130" i="40"/>
  <c r="AJ130" i="40"/>
  <c r="AR129" i="40"/>
  <c r="AJ129" i="40"/>
  <c r="AR128" i="40"/>
  <c r="AJ128" i="40"/>
  <c r="AR127" i="40"/>
  <c r="AJ127" i="40"/>
  <c r="AR126" i="40"/>
  <c r="AR125" i="40"/>
  <c r="AR124" i="40"/>
  <c r="AR123" i="40"/>
  <c r="AR122" i="40"/>
  <c r="AR121" i="40"/>
  <c r="AR120" i="40"/>
  <c r="AQ110" i="40"/>
  <c r="AP110" i="40"/>
  <c r="AO110" i="40"/>
  <c r="AN110" i="40"/>
  <c r="AM110" i="40"/>
  <c r="AL110" i="40"/>
  <c r="AK110" i="40"/>
  <c r="AR108" i="40"/>
  <c r="AJ108" i="40"/>
  <c r="AR107" i="40"/>
  <c r="AJ107" i="40"/>
  <c r="AR106" i="40"/>
  <c r="AJ106" i="40"/>
  <c r="AR105" i="40"/>
  <c r="AJ105" i="40"/>
  <c r="AR104" i="40"/>
  <c r="AR103" i="40"/>
  <c r="AR102" i="40"/>
  <c r="AR101" i="40"/>
  <c r="AR100" i="40"/>
  <c r="AR99" i="40"/>
  <c r="AR98" i="40"/>
  <c r="AR94" i="40"/>
  <c r="AJ94" i="40"/>
  <c r="AR93" i="40"/>
  <c r="AJ93" i="40"/>
  <c r="AR92" i="40"/>
  <c r="AJ92" i="40"/>
  <c r="AR91" i="40"/>
  <c r="AJ91" i="40"/>
  <c r="AR90" i="40"/>
  <c r="AR89" i="40"/>
  <c r="AR88" i="40"/>
  <c r="AR87" i="40"/>
  <c r="AR86" i="40"/>
  <c r="AR85" i="40"/>
  <c r="AR84" i="40"/>
  <c r="AP72" i="40"/>
  <c r="AM72" i="40"/>
  <c r="AK72" i="40"/>
  <c r="AR70" i="40"/>
  <c r="AJ70" i="40"/>
  <c r="AR69" i="40"/>
  <c r="AJ69" i="40"/>
  <c r="AR68" i="40"/>
  <c r="AJ68" i="40"/>
  <c r="AR67" i="40"/>
  <c r="AJ67" i="40"/>
  <c r="AR66" i="40"/>
  <c r="AR65" i="40"/>
  <c r="AR64" i="40"/>
  <c r="AW63" i="40" a="1"/>
  <c r="AW63" i="40" s="1"/>
  <c r="AX63" i="40" s="1"/>
  <c r="AR63" i="40"/>
  <c r="DA62" i="40"/>
  <c r="BK62" i="40"/>
  <c r="AR62" i="40"/>
  <c r="BK61" i="40"/>
  <c r="AR61" i="40"/>
  <c r="BK60" i="40"/>
  <c r="AR60" i="40"/>
  <c r="BK59" i="40"/>
  <c r="BK58" i="40"/>
  <c r="AR55" i="40"/>
  <c r="AJ55" i="40"/>
  <c r="AW54" i="40" a="1"/>
  <c r="AW54" i="40" s="1"/>
  <c r="AX54" i="40" s="1"/>
  <c r="AR54" i="40"/>
  <c r="AJ54" i="40"/>
  <c r="DB53" i="40"/>
  <c r="DB55" i="40" s="1"/>
  <c r="BK53" i="40"/>
  <c r="AR53" i="40"/>
  <c r="AJ53" i="40"/>
  <c r="BK52" i="40"/>
  <c r="AR52" i="40"/>
  <c r="AJ52" i="40"/>
  <c r="BK51" i="40"/>
  <c r="AR51" i="40"/>
  <c r="BK50" i="40"/>
  <c r="AR50" i="40"/>
  <c r="DA49" i="40"/>
  <c r="BK49" i="40"/>
  <c r="AR49" i="40"/>
  <c r="AR48" i="40"/>
  <c r="AR47" i="40"/>
  <c r="AR46" i="40"/>
  <c r="AW45" i="40" a="1"/>
  <c r="AW45" i="40" s="1"/>
  <c r="AX45" i="40" s="1"/>
  <c r="AR45" i="40"/>
  <c r="BK44" i="40"/>
  <c r="BK43" i="40"/>
  <c r="BK42" i="40"/>
  <c r="BK41" i="40"/>
  <c r="DB40" i="40"/>
  <c r="DB42" i="40" s="1"/>
  <c r="BK40" i="40"/>
  <c r="DA36" i="40"/>
  <c r="AW36" i="40" a="1"/>
  <c r="AW36" i="40" s="1"/>
  <c r="AX36" i="40" s="1"/>
  <c r="BK35" i="40"/>
  <c r="BK34" i="40"/>
  <c r="BK33" i="40"/>
  <c r="BK32" i="40"/>
  <c r="BK31" i="40"/>
  <c r="AR31" i="40"/>
  <c r="AR30" i="40"/>
  <c r="AJ30" i="40"/>
  <c r="AR29" i="40"/>
  <c r="AJ29" i="40"/>
  <c r="AR28" i="40"/>
  <c r="AJ28" i="40"/>
  <c r="DB27" i="40"/>
  <c r="DB29" i="40" s="1"/>
  <c r="AW27" i="40" a="1"/>
  <c r="AW27" i="40" s="1"/>
  <c r="AX27" i="40" s="1"/>
  <c r="AR27" i="40"/>
  <c r="AJ27" i="40"/>
  <c r="BK26" i="40"/>
  <c r="AR26" i="40"/>
  <c r="BK25" i="40"/>
  <c r="AR25" i="40"/>
  <c r="BK24" i="40"/>
  <c r="AR24" i="40"/>
  <c r="DA23" i="40"/>
  <c r="BK23" i="40"/>
  <c r="AR23" i="40"/>
  <c r="BK22" i="40"/>
  <c r="AR22" i="40"/>
  <c r="AR21" i="40"/>
  <c r="DU20" i="40"/>
  <c r="AR20" i="40"/>
  <c r="FJ19" i="40"/>
  <c r="FI19" i="40"/>
  <c r="FH19" i="40"/>
  <c r="FE19" i="40" s="1"/>
  <c r="FH18" i="40"/>
  <c r="AW18" i="40" a="1"/>
  <c r="AW18" i="40" s="1"/>
  <c r="AX18" i="40" s="1"/>
  <c r="FH17" i="40"/>
  <c r="EU17" i="40"/>
  <c r="ET17" i="40"/>
  <c r="ES17" i="40"/>
  <c r="ER17" i="40"/>
  <c r="DR17" i="40"/>
  <c r="DP21" i="40" s="1"/>
  <c r="DO17" i="40" a="1"/>
  <c r="DO17" i="40" s="1"/>
  <c r="BK17" i="40"/>
  <c r="C17" i="40"/>
  <c r="C18" i="40" s="1"/>
  <c r="D17" i="40" s="1"/>
  <c r="FH16" i="40"/>
  <c r="FE16" i="40" s="1"/>
  <c r="FL16" i="40" s="1"/>
  <c r="DZ16" i="40" a="1"/>
  <c r="DZ16" i="40" s="1"/>
  <c r="DO16" i="40" a="1"/>
  <c r="DO16" i="40" s="1"/>
  <c r="BK16" i="40"/>
  <c r="FH15" i="40"/>
  <c r="FE15" i="40" s="1"/>
  <c r="FL15" i="40" s="1"/>
  <c r="DZ15" i="40" a="1"/>
  <c r="DZ15" i="40" s="1"/>
  <c r="DO15" i="40" a="1"/>
  <c r="DO15" i="40" s="1"/>
  <c r="BK15" i="40"/>
  <c r="FH14" i="40"/>
  <c r="FE14" i="40" s="1"/>
  <c r="FL14" i="40" s="1"/>
  <c r="DZ14" i="40" a="1"/>
  <c r="DZ14" i="40" s="1"/>
  <c r="DO14" i="40" a="1"/>
  <c r="DO14" i="40" s="1"/>
  <c r="DB14" i="40"/>
  <c r="DB15" i="40" s="1"/>
  <c r="BK14" i="40"/>
  <c r="AJ14" i="40"/>
  <c r="AA14" i="40"/>
  <c r="FH13" i="40"/>
  <c r="FE13" i="40" s="1"/>
  <c r="FL13" i="40" s="1"/>
  <c r="DZ13" i="40" a="1"/>
  <c r="DZ13" i="40" s="1"/>
  <c r="DO13" i="40" a="1"/>
  <c r="DO13" i="40" s="1"/>
  <c r="BK13" i="40"/>
  <c r="AJ13" i="40"/>
  <c r="AA13" i="40"/>
  <c r="AF13" i="40" s="1"/>
  <c r="FH12" i="40"/>
  <c r="FE12" i="40" s="1"/>
  <c r="FL12" i="40" s="1"/>
  <c r="DZ12" i="40" a="1"/>
  <c r="DZ12" i="40" s="1"/>
  <c r="DO12" i="40" a="1"/>
  <c r="DO12" i="40" s="1"/>
  <c r="AJ12" i="40"/>
  <c r="AA12" i="40"/>
  <c r="AH12" i="40" s="1"/>
  <c r="FH11" i="40"/>
  <c r="DZ11" i="40" a="1"/>
  <c r="DZ11" i="40" s="1"/>
  <c r="DO11" i="40" a="1"/>
  <c r="DO11" i="40" s="1"/>
  <c r="DN11" i="40" s="1"/>
  <c r="AJ11" i="40"/>
  <c r="AA11" i="40"/>
  <c r="AF11" i="40" s="1"/>
  <c r="FH10" i="40"/>
  <c r="FE10" i="40" s="1"/>
  <c r="FL10" i="40" s="1"/>
  <c r="DZ10" i="40" a="1"/>
  <c r="DZ10" i="40" s="1"/>
  <c r="DO10" i="40" a="1"/>
  <c r="DO10" i="40" s="1"/>
  <c r="DA10" i="40"/>
  <c r="AA10" i="40"/>
  <c r="AG10" i="40" s="1"/>
  <c r="C10" i="40"/>
  <c r="AJ26" i="40" s="1"/>
  <c r="FH9" i="40"/>
  <c r="FE9" i="40" s="1"/>
  <c r="FL9" i="40" s="1"/>
  <c r="DZ9" i="40" a="1"/>
  <c r="DZ9" i="40" s="1"/>
  <c r="DO9" i="40" a="1"/>
  <c r="DO9" i="40" s="1"/>
  <c r="AA9" i="40"/>
  <c r="AF9" i="40" s="1"/>
  <c r="C9" i="40"/>
  <c r="FH8" i="40"/>
  <c r="DZ8" i="40" a="1"/>
  <c r="DZ8" i="40" s="1"/>
  <c r="DO8" i="40" a="1"/>
  <c r="DO8" i="40" s="1"/>
  <c r="AW8" i="40" a="1"/>
  <c r="AW8" i="40" s="1"/>
  <c r="AX8" i="40" s="1"/>
  <c r="AA8" i="40"/>
  <c r="AH8" i="40" s="1"/>
  <c r="C8" i="40"/>
  <c r="AJ24" i="40" s="1"/>
  <c r="FH7" i="40"/>
  <c r="DZ7" i="40" a="1"/>
  <c r="DZ7" i="40" s="1"/>
  <c r="DO7" i="40" a="1"/>
  <c r="DO7" i="40" s="1"/>
  <c r="BK7" i="40"/>
  <c r="AA7" i="40"/>
  <c r="AH7" i="40" s="1"/>
  <c r="C7" i="40"/>
  <c r="FH6" i="40"/>
  <c r="DZ6" i="40" a="1"/>
  <c r="DZ6" i="40" s="1"/>
  <c r="DO6" i="40" a="1"/>
  <c r="DO6" i="40" s="1"/>
  <c r="BK6" i="40"/>
  <c r="AA6" i="40"/>
  <c r="AG6" i="40" s="1"/>
  <c r="C6" i="40"/>
  <c r="AJ6" i="40" s="1"/>
  <c r="FH5" i="40"/>
  <c r="DZ5" i="40" a="1"/>
  <c r="DZ5" i="40" s="1"/>
  <c r="DO5" i="40" a="1"/>
  <c r="DO5" i="40" s="1"/>
  <c r="DV5" i="40" s="1"/>
  <c r="CY5" i="40"/>
  <c r="BK5" i="40"/>
  <c r="AA5" i="40"/>
  <c r="C5" i="40"/>
  <c r="FH4" i="40"/>
  <c r="DZ4" i="40" a="1"/>
  <c r="DZ4" i="40" s="1"/>
  <c r="DO4" i="40" a="1"/>
  <c r="DO4" i="40" s="1"/>
  <c r="BK4" i="40"/>
  <c r="AA4" i="40"/>
  <c r="I4" i="40" a="1"/>
  <c r="AO3" i="40" s="1"/>
  <c r="C4" i="40"/>
  <c r="AJ4" i="40" s="1"/>
  <c r="FH3" i="40"/>
  <c r="DZ3" i="40" a="1"/>
  <c r="DZ3" i="40" s="1"/>
  <c r="DO3" i="40" a="1"/>
  <c r="DO3" i="40" s="1"/>
  <c r="DV3" i="40" s="1"/>
  <c r="BK3" i="40"/>
  <c r="FH2" i="40"/>
  <c r="DZ2" i="40" a="1"/>
  <c r="DZ2" i="40" s="1"/>
  <c r="DO2" i="40" a="1"/>
  <c r="DO2" i="40" s="1"/>
  <c r="DV2" i="40" s="1"/>
  <c r="FH1" i="40"/>
  <c r="EU1" i="40"/>
  <c r="ET1" i="40"/>
  <c r="ES1" i="40"/>
  <c r="ER1" i="40"/>
  <c r="DZ1" i="40" a="1"/>
  <c r="DZ1" i="40" s="1"/>
  <c r="DO1" i="40" a="1"/>
  <c r="DO1" i="40" s="1"/>
  <c r="A1" i="40" a="1"/>
  <c r="A1" i="40" s="1"/>
  <c r="AA21" i="38"/>
  <c r="Z21" i="38" s="1"/>
  <c r="Y20" i="38"/>
  <c r="AD21" i="38" s="1"/>
  <c r="AD23" i="38" s="1"/>
  <c r="AR175" i="36"/>
  <c r="AJ175" i="36"/>
  <c r="AR174" i="36"/>
  <c r="AJ174" i="36"/>
  <c r="AR173" i="36"/>
  <c r="AJ173" i="36"/>
  <c r="AR172" i="36"/>
  <c r="AJ172" i="36"/>
  <c r="AR171" i="36"/>
  <c r="AR170" i="36"/>
  <c r="AR169" i="36"/>
  <c r="AR168" i="36"/>
  <c r="AR167" i="36"/>
  <c r="AR166" i="36"/>
  <c r="AR165" i="36"/>
  <c r="AR163" i="36"/>
  <c r="AJ163" i="36"/>
  <c r="AR162" i="36"/>
  <c r="AJ162" i="36"/>
  <c r="AR161" i="36"/>
  <c r="AJ161" i="36"/>
  <c r="AR160" i="36"/>
  <c r="AJ160" i="36"/>
  <c r="AR159" i="36"/>
  <c r="AR158" i="36"/>
  <c r="AR157" i="36"/>
  <c r="AR156" i="36"/>
  <c r="AR155" i="36"/>
  <c r="AR154" i="36"/>
  <c r="AR153" i="36"/>
  <c r="AR143" i="36"/>
  <c r="AJ143" i="36"/>
  <c r="AR142" i="36"/>
  <c r="AJ142" i="36"/>
  <c r="AR141" i="36"/>
  <c r="AJ141" i="36"/>
  <c r="AR140" i="36"/>
  <c r="AJ140" i="36"/>
  <c r="AR139" i="36"/>
  <c r="AR138" i="36"/>
  <c r="AR137" i="36"/>
  <c r="AR136" i="36"/>
  <c r="AR135" i="36"/>
  <c r="AR134" i="36"/>
  <c r="AR133" i="36"/>
  <c r="AR130" i="36"/>
  <c r="AJ130" i="36"/>
  <c r="AR129" i="36"/>
  <c r="AJ129" i="36"/>
  <c r="AR128" i="36"/>
  <c r="AJ128" i="36"/>
  <c r="AR127" i="36"/>
  <c r="AJ127" i="36"/>
  <c r="AR126" i="36"/>
  <c r="AR125" i="36"/>
  <c r="AR124" i="36"/>
  <c r="AR123" i="36"/>
  <c r="AR122" i="36"/>
  <c r="AR121" i="36"/>
  <c r="AR120" i="36"/>
  <c r="AR108" i="36"/>
  <c r="AJ108" i="36"/>
  <c r="AR107" i="36"/>
  <c r="AJ107" i="36"/>
  <c r="AR106" i="36"/>
  <c r="AJ106" i="36"/>
  <c r="AR105" i="36"/>
  <c r="AJ105" i="36"/>
  <c r="AR104" i="36"/>
  <c r="AR103" i="36"/>
  <c r="AR102" i="36"/>
  <c r="AR101" i="36"/>
  <c r="AR100" i="36"/>
  <c r="AR99" i="36"/>
  <c r="AR98" i="36"/>
  <c r="AJ94" i="36"/>
  <c r="AJ93" i="36"/>
  <c r="AJ92" i="36"/>
  <c r="AJ91" i="36"/>
  <c r="AJ70" i="36"/>
  <c r="AJ69" i="36"/>
  <c r="AJ68" i="36"/>
  <c r="AJ67" i="36"/>
  <c r="DA62" i="36"/>
  <c r="BK62" i="36"/>
  <c r="BK61" i="36"/>
  <c r="BK60" i="36"/>
  <c r="BK58" i="36"/>
  <c r="AJ55" i="36"/>
  <c r="AJ54" i="36"/>
  <c r="DB53" i="36"/>
  <c r="BK53" i="36"/>
  <c r="AJ53" i="36"/>
  <c r="BK52" i="36"/>
  <c r="AJ52" i="36"/>
  <c r="BK51" i="36"/>
  <c r="DA49" i="36"/>
  <c r="BK49" i="36"/>
  <c r="BK44" i="36"/>
  <c r="BK43" i="36"/>
  <c r="BK42" i="36"/>
  <c r="DB40" i="36"/>
  <c r="BK40" i="36"/>
  <c r="DA36" i="36"/>
  <c r="BK35" i="36"/>
  <c r="BK34" i="36"/>
  <c r="BK33" i="36"/>
  <c r="BK31" i="36"/>
  <c r="AR31" i="36"/>
  <c r="AR30" i="36"/>
  <c r="AJ30" i="36"/>
  <c r="AR29" i="36"/>
  <c r="AJ29" i="36"/>
  <c r="AR28" i="36"/>
  <c r="AJ28" i="36"/>
  <c r="AR27" i="36"/>
  <c r="AJ27" i="36"/>
  <c r="BK26" i="36"/>
  <c r="AR26" i="36"/>
  <c r="BK25" i="36"/>
  <c r="AR25" i="36"/>
  <c r="BK24" i="36"/>
  <c r="AR24" i="36"/>
  <c r="DA23" i="36"/>
  <c r="AR23" i="36"/>
  <c r="BK22" i="36"/>
  <c r="AR22" i="36"/>
  <c r="AR21" i="36"/>
  <c r="DU20" i="36"/>
  <c r="AR20" i="36"/>
  <c r="FJ19" i="36"/>
  <c r="FI19" i="36"/>
  <c r="FE19" i="36"/>
  <c r="FH18" i="36"/>
  <c r="FE18" i="36" s="1"/>
  <c r="FL18" i="36" s="1"/>
  <c r="FH17" i="36"/>
  <c r="FE17" i="36" s="1"/>
  <c r="FL17" i="36" s="1"/>
  <c r="EU17" i="36"/>
  <c r="ET17" i="36"/>
  <c r="ES17" i="36"/>
  <c r="ER17" i="36"/>
  <c r="DR17" i="36"/>
  <c r="DP21" i="36" s="1"/>
  <c r="BK17" i="36"/>
  <c r="C17" i="36"/>
  <c r="C18" i="36" s="1"/>
  <c r="D17" i="36" s="1"/>
  <c r="FH16" i="36"/>
  <c r="FE16" i="36" s="1"/>
  <c r="FL16" i="36" s="1"/>
  <c r="DZ16" i="36" a="1"/>
  <c r="DZ16" i="36" s="1"/>
  <c r="DO16" i="36" a="1"/>
  <c r="DO16" i="36" s="1"/>
  <c r="BK16" i="36"/>
  <c r="FH15" i="36"/>
  <c r="FE15" i="36" s="1"/>
  <c r="FL15" i="36" s="1"/>
  <c r="DZ15" i="36" a="1"/>
  <c r="DZ15" i="36" s="1"/>
  <c r="DO15" i="36" a="1"/>
  <c r="DO15" i="36" s="1"/>
  <c r="BK15" i="36"/>
  <c r="FH14" i="36"/>
  <c r="FE14" i="36" s="1"/>
  <c r="FL14" i="36" s="1"/>
  <c r="DZ14" i="36" a="1"/>
  <c r="DZ14" i="36" s="1"/>
  <c r="DO14" i="36" a="1"/>
  <c r="DO14" i="36" s="1"/>
  <c r="DN14" i="36" s="1"/>
  <c r="AJ14" i="36"/>
  <c r="AA14" i="36"/>
  <c r="FH13" i="36"/>
  <c r="DZ13" i="36" a="1"/>
  <c r="DZ13" i="36" s="1"/>
  <c r="DO13" i="36" a="1"/>
  <c r="DO13" i="36" s="1"/>
  <c r="DV13" i="36" s="1"/>
  <c r="BK13" i="36"/>
  <c r="AJ13" i="36"/>
  <c r="AA13" i="36"/>
  <c r="AB13" i="36" s="1"/>
  <c r="FH12" i="36"/>
  <c r="FE12" i="36" s="1"/>
  <c r="FL12" i="36" s="1"/>
  <c r="DZ12" i="36" a="1"/>
  <c r="DZ12" i="36" s="1"/>
  <c r="DO12" i="36" a="1"/>
  <c r="DO12" i="36" s="1"/>
  <c r="DV12" i="36" s="1"/>
  <c r="AJ12" i="36"/>
  <c r="AA12" i="36"/>
  <c r="FH11" i="36"/>
  <c r="FE11" i="36" s="1"/>
  <c r="FL11" i="36" s="1"/>
  <c r="DZ11" i="36" a="1"/>
  <c r="DZ11" i="36" s="1"/>
  <c r="DO11" i="36" a="1"/>
  <c r="DO11" i="36" s="1"/>
  <c r="AJ11" i="36"/>
  <c r="AA11" i="36"/>
  <c r="AH11" i="36" s="1"/>
  <c r="FH10" i="36"/>
  <c r="DZ10" i="36" a="1"/>
  <c r="DZ10" i="36" s="1"/>
  <c r="DO10" i="36" a="1"/>
  <c r="DO10" i="36" s="1"/>
  <c r="DV10" i="36" s="1"/>
  <c r="DA10" i="36"/>
  <c r="AA10" i="36"/>
  <c r="AE10" i="36" s="1"/>
  <c r="C10" i="36"/>
  <c r="FH9" i="36"/>
  <c r="DZ9" i="36" a="1"/>
  <c r="DZ9" i="36" s="1"/>
  <c r="DO9" i="36" a="1"/>
  <c r="DO9" i="36" s="1"/>
  <c r="AA9" i="36"/>
  <c r="C9" i="36"/>
  <c r="FH8" i="36"/>
  <c r="DZ8" i="36" a="1"/>
  <c r="DZ8" i="36" s="1"/>
  <c r="DO8" i="36" a="1"/>
  <c r="DO8" i="36" s="1"/>
  <c r="DN8" i="36" s="1"/>
  <c r="DR8" i="36" s="1"/>
  <c r="AA8" i="36"/>
  <c r="AH8" i="36" s="1"/>
  <c r="C8" i="36"/>
  <c r="AJ124" i="36" s="1"/>
  <c r="FH7" i="36"/>
  <c r="DZ7" i="36" a="1"/>
  <c r="DZ7" i="36" s="1"/>
  <c r="DO7" i="36" a="1"/>
  <c r="DO7" i="36" s="1"/>
  <c r="DV7" i="36" s="1"/>
  <c r="BK7" i="36"/>
  <c r="AA7" i="36"/>
  <c r="AG7" i="36" s="1"/>
  <c r="C7" i="36"/>
  <c r="AJ63" i="36" s="1"/>
  <c r="FH6" i="36"/>
  <c r="DZ6" i="36" a="1"/>
  <c r="DZ6" i="36" s="1"/>
  <c r="DO6" i="36" a="1"/>
  <c r="DO6" i="36" s="1"/>
  <c r="BK6" i="36"/>
  <c r="AA6" i="36"/>
  <c r="AE6" i="36" s="1"/>
  <c r="C6" i="36"/>
  <c r="AJ62" i="36" s="1"/>
  <c r="FH5" i="36"/>
  <c r="DZ5" i="36" a="1"/>
  <c r="DZ5" i="36" s="1"/>
  <c r="DO5" i="36" a="1"/>
  <c r="DO5" i="36" s="1"/>
  <c r="DN5" i="36" s="1"/>
  <c r="DY5" i="36" s="1"/>
  <c r="EC5" i="36" s="1"/>
  <c r="CY5" i="36"/>
  <c r="BK5" i="36"/>
  <c r="AA5" i="36"/>
  <c r="AH5" i="36" s="1"/>
  <c r="C5" i="36"/>
  <c r="AJ85" i="36" s="1"/>
  <c r="FH4" i="36"/>
  <c r="DZ4" i="36" a="1"/>
  <c r="DZ4" i="36" s="1"/>
  <c r="DO4" i="36" a="1"/>
  <c r="DO4" i="36" s="1"/>
  <c r="AA4" i="36"/>
  <c r="AG4" i="36" s="1"/>
  <c r="I4" i="36" a="1"/>
  <c r="C4" i="36"/>
  <c r="AJ60" i="36" s="1"/>
  <c r="FH3" i="36"/>
  <c r="DZ3" i="36" a="1"/>
  <c r="DZ3" i="36" s="1"/>
  <c r="DO3" i="36" a="1"/>
  <c r="DO3" i="36" s="1"/>
  <c r="BK3" i="36"/>
  <c r="FH2" i="36"/>
  <c r="FE2" i="36" s="1"/>
  <c r="DZ2" i="36" a="1"/>
  <c r="DZ2" i="36" s="1"/>
  <c r="DO2" i="36" a="1"/>
  <c r="DO2" i="36" s="1"/>
  <c r="FH1" i="36"/>
  <c r="EU1" i="36"/>
  <c r="ET1" i="36"/>
  <c r="ES1" i="36"/>
  <c r="ER1" i="36"/>
  <c r="DZ1" i="36" a="1"/>
  <c r="DZ1" i="36" s="1"/>
  <c r="DO1" i="36" a="1"/>
  <c r="DO1" i="36" s="1"/>
  <c r="A1" i="36" a="1"/>
  <c r="A1" i="36" s="1"/>
  <c r="AA21" i="35"/>
  <c r="Z21" i="35" s="1"/>
  <c r="AB21" i="35" s="1"/>
  <c r="Y20" i="35"/>
  <c r="AD21" i="35" s="1"/>
  <c r="AD23" i="35" s="1"/>
  <c r="H499" i="7"/>
  <c r="H498" i="7"/>
  <c r="H497" i="7"/>
  <c r="H496" i="7"/>
  <c r="H495" i="7"/>
  <c r="H494" i="7"/>
  <c r="H493" i="7"/>
  <c r="H492" i="7"/>
  <c r="H491" i="7"/>
  <c r="H490" i="7"/>
  <c r="H489" i="7"/>
  <c r="H488" i="7"/>
  <c r="H487" i="7"/>
  <c r="H486" i="7"/>
  <c r="H485" i="7"/>
  <c r="H484" i="7"/>
  <c r="H483" i="7"/>
  <c r="H482" i="7"/>
  <c r="H481" i="7"/>
  <c r="H480" i="7"/>
  <c r="H479" i="7"/>
  <c r="H478" i="7"/>
  <c r="H477" i="7"/>
  <c r="H476" i="7"/>
  <c r="H475" i="7"/>
  <c r="H474" i="7"/>
  <c r="H473" i="7"/>
  <c r="H472" i="7"/>
  <c r="H471" i="7"/>
  <c r="H470" i="7"/>
  <c r="H469" i="7"/>
  <c r="H468" i="7"/>
  <c r="H467" i="7"/>
  <c r="H466" i="7"/>
  <c r="H465" i="7"/>
  <c r="H464" i="7"/>
  <c r="H463" i="7"/>
  <c r="H462" i="7"/>
  <c r="H461" i="7"/>
  <c r="H460" i="7"/>
  <c r="H459" i="7"/>
  <c r="H458" i="7"/>
  <c r="H457" i="7"/>
  <c r="H456" i="7"/>
  <c r="H455" i="7"/>
  <c r="H454" i="7"/>
  <c r="H453" i="7"/>
  <c r="H452" i="7"/>
  <c r="H451" i="7"/>
  <c r="H450" i="7"/>
  <c r="H449" i="7"/>
  <c r="H448" i="7"/>
  <c r="H447" i="7"/>
  <c r="H446" i="7"/>
  <c r="H445" i="7"/>
  <c r="H444" i="7"/>
  <c r="H443" i="7"/>
  <c r="H442" i="7"/>
  <c r="H441" i="7"/>
  <c r="H440" i="7"/>
  <c r="W30" i="42"/>
  <c r="V30" i="42"/>
  <c r="U30" i="42"/>
  <c r="T30" i="42"/>
  <c r="S30" i="42"/>
  <c r="W14" i="42"/>
  <c r="V14" i="42"/>
  <c r="U14" i="42"/>
  <c r="T14" i="42"/>
  <c r="S14" i="42"/>
  <c r="R14" i="42"/>
  <c r="C1" i="42"/>
  <c r="B1" i="42"/>
  <c r="AX34" i="27"/>
  <c r="S20" i="27"/>
  <c r="AX17" i="27"/>
  <c r="W17" i="27"/>
  <c r="K21" i="27"/>
  <c r="N21" i="27" s="1"/>
  <c r="I17" i="27"/>
  <c r="BM13" i="27" a="1"/>
  <c r="BM13" i="27" s="1"/>
  <c r="BP13" i="27" s="1"/>
  <c r="BK13" i="27"/>
  <c r="BD13" i="27" a="1"/>
  <c r="BD13" i="27" s="1"/>
  <c r="BE13" i="27" s="1"/>
  <c r="BM12" i="27" a="1"/>
  <c r="BM12" i="27" s="1"/>
  <c r="BQ12" i="27" s="1"/>
  <c r="BK12" i="27"/>
  <c r="BD12" i="27" a="1"/>
  <c r="BD12" i="27" s="1"/>
  <c r="BE12" i="27" s="1"/>
  <c r="BM11" i="27" a="1"/>
  <c r="BM11" i="27" s="1"/>
  <c r="BK11" i="27"/>
  <c r="BD11" i="27" a="1"/>
  <c r="BD11" i="27" s="1"/>
  <c r="BE11" i="27" s="1"/>
  <c r="BM10" i="27" a="1"/>
  <c r="BM10" i="27" s="1"/>
  <c r="BK10" i="27"/>
  <c r="BD10" i="27" a="1"/>
  <c r="BD10" i="27" s="1"/>
  <c r="BE10" i="27" s="1"/>
  <c r="BM9" i="27" a="1"/>
  <c r="BM9" i="27" s="1"/>
  <c r="BQ9" i="27" s="1"/>
  <c r="BK9" i="27"/>
  <c r="BD9" i="27" a="1"/>
  <c r="BD9" i="27" s="1"/>
  <c r="BE9" i="27" s="1"/>
  <c r="BD8" i="27" a="1"/>
  <c r="BD8" i="27" s="1"/>
  <c r="BE8" i="27" s="1"/>
  <c r="BV7" i="27"/>
  <c r="BD7" i="27" a="1"/>
  <c r="BD7" i="27" s="1"/>
  <c r="BV6" i="27"/>
  <c r="BD6" i="27" a="1"/>
  <c r="BD6" i="27" s="1"/>
  <c r="BV5" i="27"/>
  <c r="BD5" i="27" a="1"/>
  <c r="BD5" i="27" s="1"/>
  <c r="BV4" i="27"/>
  <c r="BD4" i="27" a="1"/>
  <c r="BD4" i="27" s="1"/>
  <c r="BV3" i="27"/>
  <c r="BD3" i="27" a="1"/>
  <c r="BD3" i="27" s="1"/>
  <c r="FG2" i="27" a="1"/>
  <c r="FG2" i="27" s="1"/>
  <c r="FI2" i="27" s="1" a="1"/>
  <c r="FI2" i="27" s="1"/>
  <c r="BV2" i="27"/>
  <c r="BD2" i="27" a="1"/>
  <c r="BD2" i="27" s="1"/>
  <c r="BV1" i="27"/>
  <c r="BD1" i="27" a="1"/>
  <c r="BD1" i="27" s="1"/>
  <c r="L21" i="27"/>
  <c r="P21" i="27" s="1"/>
  <c r="CM1" i="27"/>
  <c r="DH5" i="3" a="1"/>
  <c r="DH5" i="3" s="1"/>
  <c r="DH4" i="3" a="1"/>
  <c r="DH4" i="3" s="1"/>
  <c r="DH3" i="3" a="1"/>
  <c r="DH3" i="3" s="1"/>
  <c r="DZ2" i="3"/>
  <c r="DH2" i="3" a="1"/>
  <c r="DH2" i="3" s="1"/>
  <c r="CH2" i="3"/>
  <c r="CG2" i="3"/>
  <c r="CF2" i="3"/>
  <c r="BS2" i="3"/>
  <c r="BR2" i="3"/>
  <c r="AT2" i="3"/>
  <c r="AL2" i="3"/>
  <c r="AH2" i="3"/>
  <c r="AD2" i="3"/>
  <c r="Z2" i="3"/>
  <c r="V2" i="3"/>
  <c r="R2" i="3"/>
  <c r="N2" i="3"/>
  <c r="DH1" i="3" a="1"/>
  <c r="DH1" i="3" s="1"/>
  <c r="D41" i="1"/>
  <c r="L40" i="1"/>
  <c r="D40" i="1"/>
  <c r="L39" i="1"/>
  <c r="D39" i="1"/>
  <c r="D38" i="1"/>
  <c r="L37" i="1"/>
  <c r="C37" i="1"/>
  <c r="D37" i="1" s="1"/>
  <c r="E37" i="1" s="1"/>
  <c r="G37" i="1" s="1"/>
  <c r="D36" i="1"/>
  <c r="D35" i="1"/>
  <c r="L34" i="1"/>
  <c r="L35" i="1" s="1"/>
  <c r="D34" i="1"/>
  <c r="D33" i="1"/>
  <c r="BW4" i="27"/>
  <c r="FF1" i="40"/>
  <c r="FF1" i="36"/>
  <c r="FG4" i="40"/>
  <c r="EA14" i="36"/>
  <c r="FG9" i="36"/>
  <c r="EA2" i="36"/>
  <c r="DP8" i="40"/>
  <c r="DP9" i="40"/>
  <c r="D7" i="40"/>
  <c r="EA14" i="40"/>
  <c r="BE1" i="27"/>
  <c r="FG7" i="36"/>
  <c r="EA3" i="36"/>
  <c r="FF4" i="36"/>
  <c r="BW3" i="27"/>
  <c r="EA8" i="40"/>
  <c r="FG18" i="40"/>
  <c r="EA5" i="40"/>
  <c r="EA16" i="36"/>
  <c r="FF5" i="36"/>
  <c r="EA13" i="36"/>
  <c r="EA6" i="36"/>
  <c r="BW7" i="27"/>
  <c r="L36" i="1"/>
  <c r="EA10" i="40"/>
  <c r="FF2" i="40"/>
  <c r="EA2" i="40"/>
  <c r="EA15" i="40"/>
  <c r="FF5" i="40"/>
  <c r="FG1" i="40"/>
  <c r="EA11" i="40"/>
  <c r="DP16" i="40"/>
  <c r="EA11" i="36"/>
  <c r="FG6" i="40"/>
  <c r="BE4" i="27"/>
  <c r="EA3" i="40"/>
  <c r="BE7" i="27"/>
  <c r="EA1" i="36"/>
  <c r="EA12" i="36"/>
  <c r="EA12" i="40"/>
  <c r="FG1" i="36"/>
  <c r="BW1" i="27"/>
  <c r="EA6" i="40"/>
  <c r="BE6" i="27"/>
  <c r="EA4" i="40"/>
  <c r="EA7" i="40"/>
  <c r="FF3" i="40"/>
  <c r="EA9" i="36"/>
  <c r="EA10" i="36"/>
  <c r="EA1" i="40"/>
  <c r="BW2" i="27"/>
  <c r="BW6" i="27"/>
  <c r="EA5" i="36"/>
  <c r="FG8" i="40"/>
  <c r="EA13" i="40"/>
  <c r="D5" i="40"/>
  <c r="EA4" i="36"/>
  <c r="EA8" i="36"/>
  <c r="BW5" i="27"/>
  <c r="EA15" i="36"/>
  <c r="FG7" i="40"/>
  <c r="BE5" i="27"/>
  <c r="DP17" i="40"/>
  <c r="EA16" i="40"/>
  <c r="EA7" i="36"/>
  <c r="BE3" i="27"/>
  <c r="FG2" i="36"/>
  <c r="BE2" i="27"/>
  <c r="EA9" i="40"/>
  <c r="CN3" i="27" l="1"/>
  <c r="CL14" i="27"/>
  <c r="R1" i="42"/>
  <c r="R17" i="42"/>
  <c r="BU2" i="27"/>
  <c r="BU4" i="27"/>
  <c r="BU6" i="27"/>
  <c r="BU1" i="27"/>
  <c r="BU3" i="27"/>
  <c r="BU5" i="27"/>
  <c r="BU7" i="27"/>
  <c r="DN12" i="40"/>
  <c r="DN13" i="40" s="1"/>
  <c r="DN15" i="36"/>
  <c r="DR15" i="36" s="1"/>
  <c r="BG9" i="27"/>
  <c r="BG12" i="27"/>
  <c r="BG11" i="27"/>
  <c r="BG13" i="27"/>
  <c r="BG10" i="27"/>
  <c r="BG8" i="27"/>
  <c r="AI14" i="40"/>
  <c r="A2" i="42" a="1"/>
  <c r="A2" i="42" s="1"/>
  <c r="AB12" i="40"/>
  <c r="AQ152" i="36"/>
  <c r="AJ171" i="36" s="1"/>
  <c r="G5" i="36"/>
  <c r="G6" i="36" s="1"/>
  <c r="G9" i="36" s="1" a="1"/>
  <c r="G9" i="36" s="1"/>
  <c r="AD12" i="40"/>
  <c r="FE3" i="36"/>
  <c r="FE4" i="36" s="1"/>
  <c r="AF13" i="36"/>
  <c r="AD7" i="40"/>
  <c r="AB13" i="40"/>
  <c r="AD5" i="36"/>
  <c r="AF8" i="36"/>
  <c r="AC10" i="40"/>
  <c r="AG12" i="40"/>
  <c r="AC13" i="40"/>
  <c r="BN9" i="27"/>
  <c r="BO9" i="27" s="1"/>
  <c r="A1" i="42"/>
  <c r="DN9" i="36"/>
  <c r="DR9" i="36" s="1"/>
  <c r="DV9" i="40"/>
  <c r="AC7" i="36"/>
  <c r="AB8" i="40"/>
  <c r="E38" i="1"/>
  <c r="E39" i="1" s="1" a="1"/>
  <c r="E39" i="1" s="1"/>
  <c r="AC4" i="36"/>
  <c r="AB8" i="36"/>
  <c r="AI12" i="36"/>
  <c r="AF8" i="40"/>
  <c r="AB9" i="40"/>
  <c r="AD8" i="36"/>
  <c r="AB12" i="36"/>
  <c r="AE14" i="36"/>
  <c r="AC21" i="35"/>
  <c r="AP3" i="40"/>
  <c r="AT49" i="40" s="1"/>
  <c r="AL3" i="40"/>
  <c r="AT13" i="40" s="1"/>
  <c r="DB16" i="40"/>
  <c r="DB54" i="40"/>
  <c r="AM3" i="40"/>
  <c r="CN3" i="40" s="1"/>
  <c r="AO3" i="36"/>
  <c r="AT40" i="36" s="1"/>
  <c r="AQ3" i="40"/>
  <c r="CR3" i="40" s="1"/>
  <c r="P1" i="27"/>
  <c r="X1" i="27"/>
  <c r="I1" i="27"/>
  <c r="N1" i="27" s="1"/>
  <c r="V1" i="27" s="1"/>
  <c r="AE1" i="27" s="1"/>
  <c r="FK2" i="27" a="1"/>
  <c r="FK2" i="27" s="1"/>
  <c r="FM2" i="27" a="1"/>
  <c r="FM2" i="27" s="1"/>
  <c r="P7" i="27"/>
  <c r="P10" i="27"/>
  <c r="DV8" i="40"/>
  <c r="DN8" i="40"/>
  <c r="DN9" i="40" s="1"/>
  <c r="DV16" i="40"/>
  <c r="DY11" i="40"/>
  <c r="EC11" i="40" s="1"/>
  <c r="DR11" i="40"/>
  <c r="AK3" i="36"/>
  <c r="CL3" i="36" s="1"/>
  <c r="AJ8" i="36"/>
  <c r="DN10" i="36"/>
  <c r="AG12" i="36"/>
  <c r="AF14" i="36"/>
  <c r="DT19" i="36"/>
  <c r="AJ101" i="36"/>
  <c r="AJ120" i="36"/>
  <c r="AI6" i="40"/>
  <c r="AJ10" i="40"/>
  <c r="AB14" i="40"/>
  <c r="DB28" i="40"/>
  <c r="AQ72" i="40"/>
  <c r="AL3" i="36"/>
  <c r="AT13" i="36" s="1"/>
  <c r="AJ6" i="36"/>
  <c r="AC12" i="36"/>
  <c r="V15" i="36"/>
  <c r="AC6" i="40"/>
  <c r="AD8" i="40"/>
  <c r="AB11" i="40"/>
  <c r="AC12" i="40"/>
  <c r="AC14" i="40"/>
  <c r="AJ4" i="36"/>
  <c r="DN5" i="40"/>
  <c r="AE6" i="40"/>
  <c r="AI13" i="40"/>
  <c r="AG13" i="40"/>
  <c r="AF14" i="40"/>
  <c r="DB41" i="40"/>
  <c r="AL72" i="40"/>
  <c r="AO72" i="40"/>
  <c r="AP3" i="36"/>
  <c r="AF12" i="36"/>
  <c r="EL17" i="36"/>
  <c r="AM44" i="36"/>
  <c r="AE11" i="40"/>
  <c r="AI12" i="40"/>
  <c r="AF12" i="40"/>
  <c r="AG14" i="40"/>
  <c r="AN72" i="40"/>
  <c r="FJ8" i="36"/>
  <c r="FI3" i="36"/>
  <c r="FJ3" i="40"/>
  <c r="FJ1" i="36"/>
  <c r="FI4" i="36"/>
  <c r="FJ6" i="36"/>
  <c r="FJ5" i="40"/>
  <c r="FJ17" i="40"/>
  <c r="FI1" i="40"/>
  <c r="FI2" i="40"/>
  <c r="FJ6" i="40"/>
  <c r="FI4" i="40"/>
  <c r="FJ7" i="40"/>
  <c r="CG4" i="27"/>
  <c r="X16" i="27"/>
  <c r="X3" i="27"/>
  <c r="X4" i="27"/>
  <c r="P6" i="27"/>
  <c r="X6" i="27"/>
  <c r="BN10" i="27"/>
  <c r="BO10" i="27" s="1"/>
  <c r="BP10" i="27"/>
  <c r="BQ10" i="27"/>
  <c r="P11" i="27"/>
  <c r="I11" i="27"/>
  <c r="N11" i="27" s="1"/>
  <c r="V11" i="27" s="1"/>
  <c r="AE11" i="27" s="1"/>
  <c r="X11" i="27"/>
  <c r="BN11" i="27"/>
  <c r="BO11" i="27" s="1"/>
  <c r="BQ11" i="27"/>
  <c r="X14" i="27"/>
  <c r="P14" i="27"/>
  <c r="I14" i="27"/>
  <c r="N14" i="27" s="1"/>
  <c r="V14" i="27" s="1"/>
  <c r="AE14" i="27" s="1"/>
  <c r="BV13" i="27"/>
  <c r="BT3" i="27" s="1" a="1"/>
  <c r="BT3" i="27" s="1"/>
  <c r="CD3" i="27" s="1"/>
  <c r="FE10" i="36"/>
  <c r="FL10" i="36" s="1"/>
  <c r="X5" i="27"/>
  <c r="P5" i="27"/>
  <c r="I5" i="27"/>
  <c r="N5" i="27" s="1"/>
  <c r="V5" i="27" s="1"/>
  <c r="AE5" i="27" s="1"/>
  <c r="DV2" i="36"/>
  <c r="DV3" i="36"/>
  <c r="FE13" i="36"/>
  <c r="FL13" i="36" s="1"/>
  <c r="DY14" i="36"/>
  <c r="EC14" i="36" s="1"/>
  <c r="DR14" i="36"/>
  <c r="E33" i="1"/>
  <c r="I2" i="27"/>
  <c r="N2" i="27" s="1"/>
  <c r="V2" i="27" s="1"/>
  <c r="AE2" i="27" s="1"/>
  <c r="P2" i="27"/>
  <c r="X7" i="27"/>
  <c r="X9" i="27"/>
  <c r="P9" i="27"/>
  <c r="BP11" i="27"/>
  <c r="X12" i="27"/>
  <c r="P12" i="27"/>
  <c r="I12" i="27"/>
  <c r="N12" i="27" s="1"/>
  <c r="V12" i="27" s="1"/>
  <c r="AE12" i="27" s="1"/>
  <c r="P15" i="27"/>
  <c r="X15" i="27"/>
  <c r="P16" i="27"/>
  <c r="DN1" i="36"/>
  <c r="DV4" i="36"/>
  <c r="DV6" i="36"/>
  <c r="DN6" i="36"/>
  <c r="DN7" i="36" s="1"/>
  <c r="AH9" i="36"/>
  <c r="AD9" i="36"/>
  <c r="AF9" i="36"/>
  <c r="AB9" i="36"/>
  <c r="DN11" i="36"/>
  <c r="DN12" i="36" s="1"/>
  <c r="DV1" i="40"/>
  <c r="DN1" i="40"/>
  <c r="BC14" i="27"/>
  <c r="X2" i="27"/>
  <c r="FN2" i="27" a="1"/>
  <c r="FN2" i="27" s="1"/>
  <c r="FO2" i="27" s="1"/>
  <c r="FP2" i="27" s="1"/>
  <c r="FQ2" i="27" s="1"/>
  <c r="FL2" i="27" a="1"/>
  <c r="FL2" i="27" s="1"/>
  <c r="FJ2" i="27" a="1"/>
  <c r="FJ2" i="27" s="1"/>
  <c r="FH2" i="27" a="1"/>
  <c r="FH2" i="27" s="1"/>
  <c r="P3" i="27"/>
  <c r="P4" i="27"/>
  <c r="X8" i="27"/>
  <c r="P8" i="27"/>
  <c r="I8" i="27"/>
  <c r="N8" i="27" s="1"/>
  <c r="V8" i="27" s="1"/>
  <c r="AE8" i="27" s="1"/>
  <c r="X10" i="27"/>
  <c r="BP12" i="27"/>
  <c r="BN12" i="27"/>
  <c r="BO12" i="27" s="1"/>
  <c r="P13" i="27"/>
  <c r="X13" i="27"/>
  <c r="BN13" i="27"/>
  <c r="BO13" i="27" s="1"/>
  <c r="BQ13" i="27"/>
  <c r="AD22" i="35"/>
  <c r="DR5" i="36"/>
  <c r="DV11" i="36"/>
  <c r="AE4" i="40"/>
  <c r="AI4" i="40"/>
  <c r="AC4" i="40"/>
  <c r="AG4" i="40"/>
  <c r="DV1" i="36"/>
  <c r="DN2" i="36"/>
  <c r="DN3" i="36" s="1"/>
  <c r="DN4" i="36" s="1"/>
  <c r="DB41" i="36"/>
  <c r="DB42" i="36"/>
  <c r="AJ138" i="36"/>
  <c r="AJ158" i="36"/>
  <c r="AJ103" i="36"/>
  <c r="AJ65" i="36"/>
  <c r="AJ125" i="36"/>
  <c r="AJ50" i="36"/>
  <c r="AJ25" i="36"/>
  <c r="AJ9" i="36"/>
  <c r="AG11" i="36"/>
  <c r="AC11" i="36"/>
  <c r="AF11" i="36"/>
  <c r="AB11" i="36"/>
  <c r="AI13" i="36"/>
  <c r="AP44" i="36"/>
  <c r="BP9" i="27"/>
  <c r="ET14" i="40"/>
  <c r="AM3" i="36"/>
  <c r="AQ3" i="36"/>
  <c r="I4" i="36"/>
  <c r="AJ154" i="36"/>
  <c r="AJ134" i="36"/>
  <c r="AJ61" i="36"/>
  <c r="AJ99" i="36"/>
  <c r="AJ121" i="36"/>
  <c r="AJ46" i="36"/>
  <c r="AJ21" i="36"/>
  <c r="AB5" i="36"/>
  <c r="AF5" i="36"/>
  <c r="AJ5" i="36"/>
  <c r="DV5" i="36"/>
  <c r="AJ100" i="36"/>
  <c r="AJ122" i="36"/>
  <c r="AJ155" i="36"/>
  <c r="AJ86" i="36"/>
  <c r="AJ135" i="36"/>
  <c r="AJ88" i="36"/>
  <c r="AJ137" i="36"/>
  <c r="AJ157" i="36"/>
  <c r="AJ102" i="36"/>
  <c r="AJ49" i="36"/>
  <c r="AJ24" i="36"/>
  <c r="DY8" i="36"/>
  <c r="EC8" i="36" s="1"/>
  <c r="AG10" i="36"/>
  <c r="AC10" i="36"/>
  <c r="AI10" i="36"/>
  <c r="AD11" i="36"/>
  <c r="AH14" i="36"/>
  <c r="AD14" i="36"/>
  <c r="AG14" i="36"/>
  <c r="AC14" i="36"/>
  <c r="AI14" i="36"/>
  <c r="N15" i="36"/>
  <c r="DV16" i="36"/>
  <c r="AJ20" i="36"/>
  <c r="AQ44" i="36"/>
  <c r="AJ47" i="36"/>
  <c r="AJ64" i="36"/>
  <c r="AO83" i="36"/>
  <c r="AC21" i="38"/>
  <c r="AB21" i="38"/>
  <c r="AD22" i="38"/>
  <c r="AP152" i="36"/>
  <c r="AJ170" i="36" s="1"/>
  <c r="AL152" i="36"/>
  <c r="AJ166" i="36" s="1"/>
  <c r="AQ119" i="36"/>
  <c r="AM119" i="36"/>
  <c r="AN83" i="36"/>
  <c r="AO152" i="36"/>
  <c r="AJ169" i="36" s="1"/>
  <c r="AK152" i="36"/>
  <c r="AJ165" i="36" s="1"/>
  <c r="AP119" i="36"/>
  <c r="AL119" i="36"/>
  <c r="AQ83" i="36"/>
  <c r="AM83" i="36"/>
  <c r="AN152" i="36"/>
  <c r="AJ168" i="36" s="1"/>
  <c r="AO119" i="36"/>
  <c r="AK119" i="36"/>
  <c r="AL83" i="36"/>
  <c r="AO44" i="36"/>
  <c r="AK44" i="36"/>
  <c r="R15" i="36"/>
  <c r="J15" i="36"/>
  <c r="AK83" i="36"/>
  <c r="AN44" i="36"/>
  <c r="X15" i="36"/>
  <c r="P15" i="36"/>
  <c r="DV8" i="36"/>
  <c r="FE9" i="36"/>
  <c r="FL9" i="36" s="1"/>
  <c r="AI11" i="36"/>
  <c r="AH13" i="36"/>
  <c r="AD13" i="36"/>
  <c r="AG13" i="36"/>
  <c r="AC13" i="36"/>
  <c r="DV14" i="36"/>
  <c r="L15" i="36"/>
  <c r="DV15" i="36"/>
  <c r="AJ89" i="36"/>
  <c r="AM152" i="36"/>
  <c r="AJ167" i="36" s="1"/>
  <c r="J18" i="27"/>
  <c r="EL1" i="36"/>
  <c r="AN3" i="36"/>
  <c r="AJ84" i="36"/>
  <c r="AJ133" i="36"/>
  <c r="AJ153" i="36"/>
  <c r="AJ98" i="36"/>
  <c r="AE4" i="36"/>
  <c r="AI4" i="36"/>
  <c r="AG6" i="36"/>
  <c r="AC6" i="36"/>
  <c r="AI6" i="36"/>
  <c r="DV9" i="36"/>
  <c r="AJ159" i="36"/>
  <c r="AJ104" i="36"/>
  <c r="AJ66" i="36"/>
  <c r="AJ126" i="36"/>
  <c r="AJ90" i="36"/>
  <c r="AJ139" i="36"/>
  <c r="AJ26" i="36"/>
  <c r="AJ10" i="36"/>
  <c r="AE11" i="36"/>
  <c r="AE13" i="36"/>
  <c r="AB14" i="36"/>
  <c r="T15" i="36"/>
  <c r="AJ22" i="36"/>
  <c r="AL44" i="36"/>
  <c r="AJ45" i="36"/>
  <c r="AJ51" i="36"/>
  <c r="DB55" i="36"/>
  <c r="DB54" i="36"/>
  <c r="AP83" i="36"/>
  <c r="AN119" i="36"/>
  <c r="DN6" i="40"/>
  <c r="DN7" i="40" s="1"/>
  <c r="DV6" i="40"/>
  <c r="AE7" i="36"/>
  <c r="AI7" i="36"/>
  <c r="AD12" i="36"/>
  <c r="AH12" i="36"/>
  <c r="AJ23" i="36"/>
  <c r="AJ48" i="36"/>
  <c r="DV15" i="40"/>
  <c r="AJ156" i="36"/>
  <c r="AJ123" i="36"/>
  <c r="AJ87" i="36"/>
  <c r="AJ136" i="36"/>
  <c r="AJ7" i="36"/>
  <c r="AE12" i="36"/>
  <c r="DN2" i="40"/>
  <c r="AT40" i="40"/>
  <c r="CP3" i="40"/>
  <c r="EL1" i="40"/>
  <c r="AN3" i="40"/>
  <c r="DN3" i="40"/>
  <c r="DN4" i="40" s="1"/>
  <c r="DR4" i="40" s="1"/>
  <c r="AJ133" i="40"/>
  <c r="AJ153" i="40"/>
  <c r="AJ120" i="40"/>
  <c r="AJ84" i="40"/>
  <c r="AJ45" i="40"/>
  <c r="AJ98" i="40"/>
  <c r="AJ20" i="40"/>
  <c r="AJ60" i="40"/>
  <c r="FE2" i="40"/>
  <c r="AK3" i="40"/>
  <c r="AF5" i="40"/>
  <c r="AB5" i="40"/>
  <c r="AH5" i="40"/>
  <c r="AD5" i="40"/>
  <c r="DN14" i="40"/>
  <c r="DN15" i="40" s="1"/>
  <c r="DN16" i="40" s="1"/>
  <c r="DV14" i="40"/>
  <c r="AO152" i="40"/>
  <c r="AJ169" i="40" s="1"/>
  <c r="AK152" i="40"/>
  <c r="AJ165" i="40" s="1"/>
  <c r="AP119" i="40"/>
  <c r="AL119" i="40"/>
  <c r="AN152" i="40"/>
  <c r="AJ168" i="40" s="1"/>
  <c r="AO119" i="40"/>
  <c r="AQ152" i="40"/>
  <c r="AJ171" i="40" s="1"/>
  <c r="AM152" i="40"/>
  <c r="AJ167" i="40" s="1"/>
  <c r="AN119" i="40"/>
  <c r="AQ119" i="40"/>
  <c r="AO83" i="40"/>
  <c r="AK83" i="40"/>
  <c r="AM119" i="40"/>
  <c r="AP152" i="40"/>
  <c r="AJ170" i="40" s="1"/>
  <c r="AK119" i="40"/>
  <c r="AL152" i="40"/>
  <c r="AJ166" i="40" s="1"/>
  <c r="AN83" i="40"/>
  <c r="AL83" i="40"/>
  <c r="AQ44" i="40"/>
  <c r="AM44" i="40"/>
  <c r="AQ83" i="40"/>
  <c r="AP44" i="40"/>
  <c r="AL44" i="40"/>
  <c r="AO44" i="40"/>
  <c r="AN44" i="40"/>
  <c r="EL17" i="40"/>
  <c r="AP83" i="40"/>
  <c r="AK44" i="40"/>
  <c r="T15" i="40"/>
  <c r="L15" i="40"/>
  <c r="R15" i="40"/>
  <c r="J15" i="40"/>
  <c r="X15" i="40"/>
  <c r="I4" i="40"/>
  <c r="AM83" i="40"/>
  <c r="V15" i="40"/>
  <c r="P15" i="40"/>
  <c r="G5" i="40"/>
  <c r="G6" i="40" s="1"/>
  <c r="DV4" i="40"/>
  <c r="AJ158" i="40"/>
  <c r="AJ125" i="40"/>
  <c r="AJ138" i="40"/>
  <c r="AJ89" i="40"/>
  <c r="AJ103" i="40"/>
  <c r="AJ65" i="40"/>
  <c r="AJ25" i="40"/>
  <c r="AJ50" i="40"/>
  <c r="AJ9" i="40"/>
  <c r="DV10" i="40"/>
  <c r="N15" i="40"/>
  <c r="AJ122" i="40"/>
  <c r="AJ155" i="40"/>
  <c r="AJ135" i="40"/>
  <c r="AJ100" i="40"/>
  <c r="AJ86" i="40"/>
  <c r="AJ22" i="40"/>
  <c r="AJ47" i="40"/>
  <c r="AJ62" i="40"/>
  <c r="AF7" i="40"/>
  <c r="AB7" i="40"/>
  <c r="DV7" i="40"/>
  <c r="FE11" i="40"/>
  <c r="FL11" i="40" s="1"/>
  <c r="DV12" i="40"/>
  <c r="DV13" i="40"/>
  <c r="DV11" i="40"/>
  <c r="AJ121" i="40"/>
  <c r="AJ134" i="40"/>
  <c r="AJ85" i="40"/>
  <c r="AJ99" i="40"/>
  <c r="AJ46" i="40"/>
  <c r="AJ154" i="40"/>
  <c r="AJ61" i="40"/>
  <c r="AJ5" i="40"/>
  <c r="AJ126" i="40"/>
  <c r="AJ139" i="40"/>
  <c r="AJ104" i="40"/>
  <c r="AJ51" i="40"/>
  <c r="AJ159" i="40"/>
  <c r="AJ66" i="40"/>
  <c r="AJ90" i="40"/>
  <c r="AH11" i="40"/>
  <c r="AD11" i="40"/>
  <c r="AG11" i="40"/>
  <c r="AC11" i="40"/>
  <c r="AI11" i="40"/>
  <c r="AJ21" i="40"/>
  <c r="FE18" i="40"/>
  <c r="FL18" i="40" s="1"/>
  <c r="AJ136" i="40"/>
  <c r="AJ101" i="40"/>
  <c r="AJ156" i="40"/>
  <c r="AJ123" i="40"/>
  <c r="AJ87" i="40"/>
  <c r="AJ48" i="40"/>
  <c r="AJ63" i="40"/>
  <c r="AJ7" i="40"/>
  <c r="AD9" i="40"/>
  <c r="AH9" i="40"/>
  <c r="AE12" i="40"/>
  <c r="AD13" i="40"/>
  <c r="AH13" i="40"/>
  <c r="AD14" i="40"/>
  <c r="AH14" i="40"/>
  <c r="DT19" i="40"/>
  <c r="AJ137" i="40"/>
  <c r="AJ157" i="40"/>
  <c r="AJ124" i="40"/>
  <c r="AJ64" i="40"/>
  <c r="AJ49" i="40"/>
  <c r="AJ102" i="40"/>
  <c r="AJ88" i="40"/>
  <c r="AJ8" i="40"/>
  <c r="AE10" i="40"/>
  <c r="AI10" i="40"/>
  <c r="AE13" i="40"/>
  <c r="AE14" i="40"/>
  <c r="FE17" i="40"/>
  <c r="FL17" i="40" s="1"/>
  <c r="AJ23" i="40"/>
  <c r="DP7" i="40"/>
  <c r="DP7" i="36"/>
  <c r="FF18" i="36"/>
  <c r="DP14" i="40"/>
  <c r="FF4" i="40"/>
  <c r="DP9" i="36"/>
  <c r="FF6" i="40"/>
  <c r="DP15" i="36"/>
  <c r="FF8" i="36"/>
  <c r="FF8" i="40"/>
  <c r="FF19" i="40"/>
  <c r="FF18" i="40"/>
  <c r="FF11" i="40"/>
  <c r="FG3" i="40"/>
  <c r="DP4" i="40"/>
  <c r="FG13" i="40"/>
  <c r="FG15" i="40"/>
  <c r="FF3" i="36"/>
  <c r="DP2" i="40"/>
  <c r="DP1" i="36"/>
  <c r="FF9" i="40"/>
  <c r="DP6" i="36"/>
  <c r="FG12" i="40"/>
  <c r="DP15" i="40"/>
  <c r="DP16" i="36"/>
  <c r="FG3" i="36"/>
  <c r="DP6" i="40"/>
  <c r="DP12" i="36"/>
  <c r="FG9" i="40"/>
  <c r="FG14" i="36"/>
  <c r="FG5" i="40"/>
  <c r="EN13" i="40"/>
  <c r="FF14" i="36"/>
  <c r="DP5" i="40"/>
  <c r="D9" i="36"/>
  <c r="D8" i="40"/>
  <c r="D6" i="36"/>
  <c r="D10" i="36"/>
  <c r="FG19" i="40"/>
  <c r="DP5" i="36"/>
  <c r="DP3" i="36"/>
  <c r="FF9" i="36"/>
  <c r="FG10" i="36"/>
  <c r="FF13" i="36"/>
  <c r="D10" i="40"/>
  <c r="DP1" i="40"/>
  <c r="DP11" i="36"/>
  <c r="FG11" i="40"/>
  <c r="FG4" i="36"/>
  <c r="FG5" i="36"/>
  <c r="D4" i="40"/>
  <c r="FF12" i="40"/>
  <c r="FF17" i="36"/>
  <c r="FG16" i="36"/>
  <c r="FF15" i="40"/>
  <c r="FG15" i="36"/>
  <c r="DP10" i="36"/>
  <c r="FF12" i="36"/>
  <c r="FF16" i="36"/>
  <c r="DP11" i="40"/>
  <c r="FF16" i="40"/>
  <c r="FF10" i="36"/>
  <c r="FF14" i="40"/>
  <c r="FG19" i="36"/>
  <c r="A8" i="42" a="1"/>
  <c r="DP13" i="36"/>
  <c r="FG6" i="36"/>
  <c r="D6" i="40"/>
  <c r="FF6" i="36"/>
  <c r="D9" i="40"/>
  <c r="FF15" i="36"/>
  <c r="FG12" i="36"/>
  <c r="FF17" i="40"/>
  <c r="DP3" i="40"/>
  <c r="DP12" i="40"/>
  <c r="DP4" i="36"/>
  <c r="FF11" i="36"/>
  <c r="FG2" i="40"/>
  <c r="FG16" i="40"/>
  <c r="DP10" i="40"/>
  <c r="FG14" i="40"/>
  <c r="FG18" i="36"/>
  <c r="DP13" i="40"/>
  <c r="FF10" i="40"/>
  <c r="R2" i="42" a="1"/>
  <c r="DP8" i="36"/>
  <c r="FG17" i="36"/>
  <c r="D4" i="36"/>
  <c r="D5" i="36"/>
  <c r="FF7" i="40"/>
  <c r="D8" i="36"/>
  <c r="FF7" i="36"/>
  <c r="DP2" i="36"/>
  <c r="FF13" i="40"/>
  <c r="DP14" i="36"/>
  <c r="FG10" i="40"/>
  <c r="D7" i="36"/>
  <c r="FF2" i="36"/>
  <c r="FG8" i="36"/>
  <c r="FG11" i="36"/>
  <c r="FF19" i="36"/>
  <c r="FG17" i="40"/>
  <c r="FG13" i="36"/>
  <c r="R18" i="42" a="1"/>
  <c r="F38" i="1" l="1" a="1"/>
  <c r="F38" i="1" s="1"/>
  <c r="G38" i="1" s="1"/>
  <c r="I9" i="27"/>
  <c r="N9" i="27" s="1"/>
  <c r="V9" i="27" s="1"/>
  <c r="AE9" i="27" s="1"/>
  <c r="AK9" i="27" s="1"/>
  <c r="I6" i="27"/>
  <c r="N6" i="27" s="1"/>
  <c r="V6" i="27" s="1"/>
  <c r="AE6" i="27" s="1"/>
  <c r="AL6" i="27" s="1"/>
  <c r="I3" i="27"/>
  <c r="N3" i="27" s="1"/>
  <c r="V3" i="27" s="1"/>
  <c r="AE3" i="27" s="1"/>
  <c r="AK3" i="27" s="1"/>
  <c r="I13" i="27"/>
  <c r="N13" i="27" s="1"/>
  <c r="V13" i="27" s="1"/>
  <c r="AE13" i="27" s="1"/>
  <c r="AL13" i="27" s="1"/>
  <c r="DN16" i="36"/>
  <c r="DY16" i="36" s="1"/>
  <c r="EC16" i="36" s="1"/>
  <c r="D9" i="3"/>
  <c r="D4" i="3"/>
  <c r="D6" i="3"/>
  <c r="R2" i="42"/>
  <c r="D2" i="3" s="1"/>
  <c r="D12" i="3"/>
  <c r="D11" i="3"/>
  <c r="D10" i="3"/>
  <c r="D3" i="3"/>
  <c r="D13" i="3"/>
  <c r="D8" i="3"/>
  <c r="D5" i="3"/>
  <c r="D7" i="3"/>
  <c r="A40" i="27"/>
  <c r="A41" i="27"/>
  <c r="AR37" i="27"/>
  <c r="AR39" i="27"/>
  <c r="AR44" i="27"/>
  <c r="R18" i="42"/>
  <c r="AR35" i="27" s="1"/>
  <c r="AR23" i="27"/>
  <c r="AR13" i="27"/>
  <c r="A9" i="27"/>
  <c r="AR26" i="27"/>
  <c r="AR9" i="27"/>
  <c r="A16" i="27"/>
  <c r="A10" i="27"/>
  <c r="A18" i="27"/>
  <c r="CL5" i="27"/>
  <c r="A14" i="27"/>
  <c r="AR7" i="27"/>
  <c r="CL7" i="27"/>
  <c r="A35" i="27"/>
  <c r="A36" i="27"/>
  <c r="A45" i="27"/>
  <c r="AR38" i="27"/>
  <c r="AR43" i="27"/>
  <c r="AR41" i="27"/>
  <c r="AR29" i="27"/>
  <c r="AR21" i="27"/>
  <c r="CL12" i="27"/>
  <c r="CL6" i="27"/>
  <c r="AR24" i="27"/>
  <c r="AR6" i="27"/>
  <c r="CL13" i="27"/>
  <c r="AR8" i="27"/>
  <c r="A13" i="27"/>
  <c r="A12" i="27"/>
  <c r="AR20" i="27"/>
  <c r="AR27" i="27"/>
  <c r="AR5" i="27"/>
  <c r="AR4" i="27"/>
  <c r="A11" i="27"/>
  <c r="AR10" i="27"/>
  <c r="A39" i="27"/>
  <c r="A44" i="27"/>
  <c r="A38" i="27"/>
  <c r="AR42" i="27"/>
  <c r="AR36" i="27"/>
  <c r="AR45" i="27"/>
  <c r="A43" i="27"/>
  <c r="A37" i="27"/>
  <c r="A42" i="27"/>
  <c r="AR46" i="27"/>
  <c r="AR40" i="27"/>
  <c r="AR25" i="27"/>
  <c r="A15" i="27"/>
  <c r="CL10" i="27"/>
  <c r="CL3" i="27"/>
  <c r="A19" i="27"/>
  <c r="AR3" i="27"/>
  <c r="CL11" i="27"/>
  <c r="AR28" i="27"/>
  <c r="CL8" i="27"/>
  <c r="A17" i="27"/>
  <c r="CL9" i="27"/>
  <c r="AR19" i="27"/>
  <c r="AR11" i="27"/>
  <c r="AR22" i="27"/>
  <c r="AR12" i="27"/>
  <c r="CL4" i="27"/>
  <c r="DY15" i="36"/>
  <c r="EC15" i="36" s="1"/>
  <c r="DR12" i="40"/>
  <c r="FJ10" i="40"/>
  <c r="DY9" i="36"/>
  <c r="EC9" i="36" s="1"/>
  <c r="DR16" i="36"/>
  <c r="DR13" i="40"/>
  <c r="DY13" i="40"/>
  <c r="EC13" i="40" s="1"/>
  <c r="DR9" i="40"/>
  <c r="DY9" i="40"/>
  <c r="EC9" i="40" s="1"/>
  <c r="DN10" i="40"/>
  <c r="DR10" i="40" s="1"/>
  <c r="DY7" i="40"/>
  <c r="EC7" i="40" s="1"/>
  <c r="DR7" i="40"/>
  <c r="DY12" i="40"/>
  <c r="EC12" i="40" s="1"/>
  <c r="DR12" i="36"/>
  <c r="DN13" i="36"/>
  <c r="DY13" i="36" s="1"/>
  <c r="EC13" i="36" s="1"/>
  <c r="CM3" i="40"/>
  <c r="I15" i="27"/>
  <c r="I10" i="27"/>
  <c r="N10" i="27" s="1"/>
  <c r="V10" i="27" s="1"/>
  <c r="AE10" i="27" s="1"/>
  <c r="I7" i="27"/>
  <c r="N7" i="27" s="1"/>
  <c r="V7" i="27" s="1"/>
  <c r="AE7" i="27" s="1"/>
  <c r="AM4" i="27"/>
  <c r="FJ2" i="36"/>
  <c r="FJ18" i="36"/>
  <c r="AT58" i="40"/>
  <c r="AM8" i="27"/>
  <c r="AM12" i="27"/>
  <c r="AM5" i="27"/>
  <c r="FR2" i="27"/>
  <c r="FT2" i="27" s="1"/>
  <c r="DY4" i="40"/>
  <c r="EC4" i="40" s="1"/>
  <c r="AM13" i="27"/>
  <c r="AM2" i="27"/>
  <c r="FI18" i="36"/>
  <c r="FI2" i="36"/>
  <c r="FI1" i="36"/>
  <c r="CO4" i="27"/>
  <c r="FI17" i="40"/>
  <c r="FJ12" i="40"/>
  <c r="FI10" i="40"/>
  <c r="FJ9" i="40"/>
  <c r="FI6" i="40"/>
  <c r="FI13" i="40"/>
  <c r="FJ13" i="40"/>
  <c r="DY12" i="36"/>
  <c r="EC12" i="36" s="1"/>
  <c r="AT22" i="40"/>
  <c r="CQ3" i="40"/>
  <c r="FJ14" i="40"/>
  <c r="FI14" i="40"/>
  <c r="FJ15" i="40"/>
  <c r="FJ16" i="36"/>
  <c r="FI15" i="36"/>
  <c r="FJ17" i="36"/>
  <c r="FI15" i="40"/>
  <c r="FI16" i="40"/>
  <c r="W13" i="27"/>
  <c r="AM6" i="27"/>
  <c r="EM17" i="36"/>
  <c r="EN17" i="36" s="1"/>
  <c r="FJ14" i="36"/>
  <c r="FJ15" i="36"/>
  <c r="FI12" i="40"/>
  <c r="FJ2" i="40"/>
  <c r="AM15" i="27"/>
  <c r="FJ3" i="36"/>
  <c r="FJ1" i="40"/>
  <c r="FJ11" i="36"/>
  <c r="FI14" i="36"/>
  <c r="AM9" i="27"/>
  <c r="EM1" i="36"/>
  <c r="EN1" i="36" s="1"/>
  <c r="FI16" i="36"/>
  <c r="FJ16" i="40"/>
  <c r="CX1" i="36"/>
  <c r="FI3" i="27" a="1"/>
  <c r="FI3" i="27" s="1"/>
  <c r="CW1" i="40"/>
  <c r="A8" i="42"/>
  <c r="FG3" i="27"/>
  <c r="FM3" i="27" s="1" a="1"/>
  <c r="FM3" i="27" s="1"/>
  <c r="FH3" i="27" a="1"/>
  <c r="FH3" i="27" s="1"/>
  <c r="CM3" i="36"/>
  <c r="CP3" i="36"/>
  <c r="CQ3" i="36"/>
  <c r="AT49" i="36"/>
  <c r="DY5" i="40"/>
  <c r="EC5" i="40" s="1"/>
  <c r="DR5" i="40"/>
  <c r="DR7" i="36"/>
  <c r="DY7" i="36"/>
  <c r="EC7" i="36" s="1"/>
  <c r="DR10" i="36"/>
  <c r="DY10" i="36"/>
  <c r="EC10" i="36" s="1"/>
  <c r="DR16" i="40"/>
  <c r="DY16" i="40"/>
  <c r="EC16" i="40" s="1"/>
  <c r="DR8" i="40"/>
  <c r="DY8" i="40"/>
  <c r="EC8" i="40" s="1"/>
  <c r="FI7" i="40"/>
  <c r="FI11" i="40"/>
  <c r="FJ8" i="40"/>
  <c r="FJ11" i="40"/>
  <c r="FI11" i="36"/>
  <c r="FI12" i="36"/>
  <c r="FI8" i="36"/>
  <c r="FJ4" i="36"/>
  <c r="FI5" i="36"/>
  <c r="AM11" i="27"/>
  <c r="W12" i="27"/>
  <c r="W7" i="27"/>
  <c r="FJ10" i="36"/>
  <c r="AM7" i="27"/>
  <c r="FI9" i="40"/>
  <c r="FJ12" i="36"/>
  <c r="BY12" i="27"/>
  <c r="FI9" i="36"/>
  <c r="FJ7" i="36"/>
  <c r="AM16" i="27"/>
  <c r="W15" i="27"/>
  <c r="FJ13" i="36"/>
  <c r="AM10" i="27"/>
  <c r="W5" i="27"/>
  <c r="AM3" i="27"/>
  <c r="FI18" i="40"/>
  <c r="FI5" i="40"/>
  <c r="FI17" i="36"/>
  <c r="FJ9" i="36"/>
  <c r="BX4" i="27" a="1"/>
  <c r="BX4" i="27" s="1"/>
  <c r="BX7" i="27" a="1"/>
  <c r="BX7" i="27" s="1"/>
  <c r="BX2" i="27" a="1"/>
  <c r="BX2" i="27" s="1"/>
  <c r="BX5" i="27" a="1"/>
  <c r="BX5" i="27" s="1"/>
  <c r="BX1" i="27" a="1"/>
  <c r="BX1" i="27" s="1"/>
  <c r="BX6" i="27" a="1"/>
  <c r="BX6" i="27" s="1"/>
  <c r="BX3" i="27" a="1"/>
  <c r="BX3" i="27" s="1"/>
  <c r="FJ5" i="36"/>
  <c r="W10" i="27"/>
  <c r="W8" i="27"/>
  <c r="W9" i="27"/>
  <c r="W3" i="27"/>
  <c r="FI10" i="36"/>
  <c r="W6" i="27"/>
  <c r="W4" i="27"/>
  <c r="AM14" i="27"/>
  <c r="FJ18" i="40"/>
  <c r="FJ4" i="40"/>
  <c r="FI8" i="40"/>
  <c r="FI3" i="40"/>
  <c r="FI6" i="36"/>
  <c r="W1" i="27"/>
  <c r="FI7" i="36"/>
  <c r="W11" i="27"/>
  <c r="W2" i="27"/>
  <c r="FI13" i="36"/>
  <c r="W14" i="27"/>
  <c r="W16" i="27"/>
  <c r="CL3" i="40"/>
  <c r="AT3" i="40"/>
  <c r="AT58" i="36"/>
  <c r="CR3" i="36"/>
  <c r="DY2" i="36"/>
  <c r="EC2" i="36" s="1"/>
  <c r="DR2" i="36"/>
  <c r="AK8" i="27"/>
  <c r="AL8" i="27"/>
  <c r="DY1" i="40"/>
  <c r="EC1" i="40" s="1"/>
  <c r="DR1" i="40"/>
  <c r="DY6" i="36"/>
  <c r="EC6" i="36" s="1"/>
  <c r="DR6" i="36"/>
  <c r="AL9" i="27"/>
  <c r="F39" i="1" a="1"/>
  <c r="F39" i="1" s="1"/>
  <c r="G39" i="1" s="1"/>
  <c r="E40" i="1" a="1"/>
  <c r="E40" i="1" s="1"/>
  <c r="CD4" i="27"/>
  <c r="EM17" i="40"/>
  <c r="EN17" i="40" s="1"/>
  <c r="EM1" i="40"/>
  <c r="EN1" i="40" s="1"/>
  <c r="AT22" i="36"/>
  <c r="CN3" i="36"/>
  <c r="DY3" i="36"/>
  <c r="EC3" i="36" s="1"/>
  <c r="DR3" i="36"/>
  <c r="FE5" i="36"/>
  <c r="DY11" i="36"/>
  <c r="EC11" i="36" s="1"/>
  <c r="DR11" i="36"/>
  <c r="AL2" i="27"/>
  <c r="AK2" i="27"/>
  <c r="AK14" i="27"/>
  <c r="AL14" i="27"/>
  <c r="CD1" i="27"/>
  <c r="CD5" i="27"/>
  <c r="CD2" i="27"/>
  <c r="DR3" i="40"/>
  <c r="DY3" i="40"/>
  <c r="EC3" i="40" s="1"/>
  <c r="FE3" i="40"/>
  <c r="AT31" i="36"/>
  <c r="CO3" i="36"/>
  <c r="BE14" i="27"/>
  <c r="BG14" i="27"/>
  <c r="BF14" i="27"/>
  <c r="G12" i="36" a="1"/>
  <c r="G12" i="36" s="1"/>
  <c r="G8" i="36" a="1"/>
  <c r="G8" i="36" s="1"/>
  <c r="G7" i="36" a="1"/>
  <c r="G7" i="36" s="1"/>
  <c r="G11" i="36" a="1"/>
  <c r="G11" i="36" s="1"/>
  <c r="G10" i="36" a="1"/>
  <c r="G10" i="36" s="1"/>
  <c r="DY4" i="36"/>
  <c r="EC4" i="36" s="1"/>
  <c r="DR4" i="36"/>
  <c r="DY1" i="36"/>
  <c r="EC1" i="36" s="1"/>
  <c r="DR1" i="36"/>
  <c r="AK12" i="27"/>
  <c r="AL12" i="27"/>
  <c r="E34" i="1" a="1"/>
  <c r="E34" i="1" s="1"/>
  <c r="F33" i="1" a="1"/>
  <c r="F33" i="1" s="1"/>
  <c r="G33" i="1" s="1"/>
  <c r="CN4" i="27"/>
  <c r="BX13" i="27"/>
  <c r="BX14" i="27" s="1"/>
  <c r="CD7" i="27"/>
  <c r="CD6" i="27"/>
  <c r="DY14" i="40"/>
  <c r="EC14" i="40" s="1"/>
  <c r="DR14" i="40"/>
  <c r="AT31" i="40"/>
  <c r="CO3" i="40"/>
  <c r="DY2" i="40"/>
  <c r="EC2" i="40" s="1"/>
  <c r="DR2" i="40"/>
  <c r="DY15" i="40"/>
  <c r="EC15" i="40" s="1"/>
  <c r="DR15" i="40"/>
  <c r="DY6" i="40"/>
  <c r="EC6" i="40" s="1"/>
  <c r="DR6" i="40"/>
  <c r="AL5" i="27"/>
  <c r="AK5" i="27"/>
  <c r="AL11" i="27"/>
  <c r="AK11" i="27"/>
  <c r="B45" i="27"/>
  <c r="C17" i="27"/>
  <c r="AT10" i="27"/>
  <c r="AS22" i="27"/>
  <c r="CM13" i="27"/>
  <c r="B39" i="27"/>
  <c r="AU11" i="27"/>
  <c r="C10" i="27"/>
  <c r="AU5" i="27"/>
  <c r="AS10" i="27"/>
  <c r="CM4" i="27"/>
  <c r="AT5" i="27"/>
  <c r="C9" i="27"/>
  <c r="B40" i="27"/>
  <c r="CM8" i="27"/>
  <c r="B38" i="27"/>
  <c r="C16" i="27"/>
  <c r="B37" i="27"/>
  <c r="AU12" i="27"/>
  <c r="AS11" i="27"/>
  <c r="B36" i="27"/>
  <c r="B11" i="27"/>
  <c r="B9" i="27"/>
  <c r="B42" i="27"/>
  <c r="B19" i="27"/>
  <c r="AT28" i="27"/>
  <c r="CM12" i="27"/>
  <c r="AT11" i="27"/>
  <c r="C11" i="27"/>
  <c r="EL13" i="40"/>
  <c r="CM6" i="27"/>
  <c r="AT19" i="27"/>
  <c r="B43" i="27"/>
  <c r="AT40" i="27"/>
  <c r="B15" i="27"/>
  <c r="AT22" i="27"/>
  <c r="AS19" i="27"/>
  <c r="AU19" i="27"/>
  <c r="C14" i="27"/>
  <c r="B14" i="27"/>
  <c r="AS3" i="27"/>
  <c r="AU3" i="27"/>
  <c r="AU22" i="27"/>
  <c r="CM3" i="27"/>
  <c r="B13" i="27"/>
  <c r="B10" i="27"/>
  <c r="B35" i="27"/>
  <c r="C13" i="27"/>
  <c r="AU10" i="27"/>
  <c r="AS40" i="27"/>
  <c r="AU40" i="27"/>
  <c r="B16" i="27"/>
  <c r="B17" i="27"/>
  <c r="C19" i="27"/>
  <c r="C15" i="27"/>
  <c r="CM10" i="27"/>
  <c r="AT27" i="27"/>
  <c r="CM5" i="27"/>
  <c r="B18" i="27"/>
  <c r="AS35" i="27"/>
  <c r="CM7" i="27"/>
  <c r="B41" i="27"/>
  <c r="AU4" i="27"/>
  <c r="AT46" i="27"/>
  <c r="C18" i="27"/>
  <c r="C12" i="27"/>
  <c r="B44" i="27"/>
  <c r="CM11" i="27"/>
  <c r="CM9" i="27"/>
  <c r="AK6" i="27" l="1"/>
  <c r="D14" i="27"/>
  <c r="D16" i="27"/>
  <c r="D12" i="27"/>
  <c r="D18" i="27"/>
  <c r="D17" i="27"/>
  <c r="D15" i="27"/>
  <c r="D13" i="27"/>
  <c r="D10" i="27"/>
  <c r="D9" i="27"/>
  <c r="D19" i="27"/>
  <c r="D11" i="27"/>
  <c r="FS2" i="27"/>
  <c r="AK13" i="27"/>
  <c r="AL3" i="27"/>
  <c r="I4" i="27"/>
  <c r="N4" i="27" s="1"/>
  <c r="V4" i="27" s="1"/>
  <c r="AE4" i="27" s="1"/>
  <c r="AK4" i="27" s="1"/>
  <c r="L25" i="27" s="1"/>
  <c r="EV13" i="36"/>
  <c r="EV3" i="40"/>
  <c r="EV25" i="40"/>
  <c r="S36" i="42"/>
  <c r="EV27" i="40"/>
  <c r="EV22" i="36"/>
  <c r="EV20" i="36"/>
  <c r="S35" i="42"/>
  <c r="EV18" i="36"/>
  <c r="EV10" i="40"/>
  <c r="AR2" i="27"/>
  <c r="CL2" i="27"/>
  <c r="EV25" i="36"/>
  <c r="EV2" i="36"/>
  <c r="EV21" i="36"/>
  <c r="EV23" i="36"/>
  <c r="EV23" i="40"/>
  <c r="EV18" i="40"/>
  <c r="EV27" i="36"/>
  <c r="EV21" i="40"/>
  <c r="EV10" i="36"/>
  <c r="EV19" i="40"/>
  <c r="EV20" i="40"/>
  <c r="EV26" i="40"/>
  <c r="EV8" i="36"/>
  <c r="EV8" i="40"/>
  <c r="EV4" i="36"/>
  <c r="EV6" i="36"/>
  <c r="EV19" i="36"/>
  <c r="EV22" i="40"/>
  <c r="EV12" i="40"/>
  <c r="EV6" i="40"/>
  <c r="A8" i="27"/>
  <c r="EV12" i="36"/>
  <c r="EV24" i="36"/>
  <c r="EV28" i="40"/>
  <c r="EV7" i="36"/>
  <c r="EV9" i="36"/>
  <c r="EV4" i="40"/>
  <c r="EV5" i="40"/>
  <c r="EV24" i="40"/>
  <c r="AR18" i="27"/>
  <c r="EV26" i="36"/>
  <c r="EV2" i="40"/>
  <c r="EV11" i="36"/>
  <c r="EV3" i="36"/>
  <c r="EV29" i="36"/>
  <c r="EV28" i="36"/>
  <c r="EV13" i="40"/>
  <c r="EV11" i="40"/>
  <c r="EV29" i="40"/>
  <c r="EV7" i="40"/>
  <c r="A34" i="27"/>
  <c r="EV9" i="40"/>
  <c r="EV5" i="36"/>
  <c r="AX11" i="27"/>
  <c r="AX10" i="27"/>
  <c r="AX19" i="27"/>
  <c r="AW40" i="27"/>
  <c r="AX22" i="27"/>
  <c r="AW22" i="27"/>
  <c r="AW27" i="27"/>
  <c r="AV19" i="27"/>
  <c r="AX40" i="27"/>
  <c r="AX12" i="27"/>
  <c r="AX4" i="27"/>
  <c r="AX5" i="27"/>
  <c r="AX3" i="27"/>
  <c r="AV35" i="27"/>
  <c r="AW28" i="27"/>
  <c r="AV40" i="27"/>
  <c r="AV3" i="27"/>
  <c r="AW46" i="27"/>
  <c r="DY10" i="40"/>
  <c r="EC10" i="40" s="1"/>
  <c r="EB11" i="40" s="1" a="1"/>
  <c r="EB11" i="40" s="1"/>
  <c r="AV11" i="27"/>
  <c r="AW11" i="27"/>
  <c r="AW5" i="27"/>
  <c r="DR13" i="36"/>
  <c r="AV22" i="27"/>
  <c r="AV10" i="27"/>
  <c r="AW10" i="27"/>
  <c r="G11" i="27"/>
  <c r="F11" i="27"/>
  <c r="AW19" i="27"/>
  <c r="FU2" i="27"/>
  <c r="L33" i="27"/>
  <c r="L29" i="27"/>
  <c r="L30" i="27"/>
  <c r="L32" i="27"/>
  <c r="L26" i="27"/>
  <c r="L23" i="27"/>
  <c r="AL4" i="27"/>
  <c r="AL7" i="27"/>
  <c r="AK7" i="27"/>
  <c r="AL10" i="27"/>
  <c r="AK10" i="27"/>
  <c r="L31" i="27" s="1"/>
  <c r="L34" i="27"/>
  <c r="L24" i="27"/>
  <c r="N15" i="27"/>
  <c r="I16" i="27"/>
  <c r="L35" i="27"/>
  <c r="L27" i="27"/>
  <c r="AK1" i="27"/>
  <c r="DQ2" i="40" a="1"/>
  <c r="DQ2" i="40" s="1"/>
  <c r="DO23" i="40" s="1"/>
  <c r="FL2" i="36"/>
  <c r="FL1" i="40"/>
  <c r="FK1" i="40" s="1" a="1"/>
  <c r="FK1" i="40" s="1"/>
  <c r="DQ3" i="40" a="1"/>
  <c r="DQ3" i="40" s="1"/>
  <c r="DO24" i="40" s="1"/>
  <c r="AL1" i="27"/>
  <c r="FL4" i="36"/>
  <c r="EB6" i="40" a="1"/>
  <c r="EB6" i="40" s="1"/>
  <c r="EB2" i="40" a="1"/>
  <c r="EB2" i="40" s="1"/>
  <c r="FL2" i="40"/>
  <c r="FL1" i="36"/>
  <c r="FK1" i="36" s="1" a="1"/>
  <c r="FK1" i="36" s="1"/>
  <c r="FN1" i="36" s="1" a="1"/>
  <c r="FN1" i="36" s="1"/>
  <c r="DQ4" i="36" a="1"/>
  <c r="DQ4" i="36" s="1"/>
  <c r="DQ3" i="36" a="1"/>
  <c r="DQ3" i="36" s="1"/>
  <c r="EB4" i="36" a="1"/>
  <c r="EB4" i="36" s="1"/>
  <c r="DQ6" i="36" a="1"/>
  <c r="DQ6" i="36" s="1"/>
  <c r="DQ15" i="40" a="1"/>
  <c r="DQ15" i="40" s="1"/>
  <c r="DQ16" i="40" a="1"/>
  <c r="DQ16" i="40" s="1"/>
  <c r="DO37" i="40" s="1"/>
  <c r="DQ2" i="36" a="1"/>
  <c r="DQ2" i="36" s="1"/>
  <c r="DQ6" i="40" a="1"/>
  <c r="DQ6" i="40" s="1"/>
  <c r="DQ14" i="40" a="1"/>
  <c r="DQ14" i="40" s="1"/>
  <c r="DQ11" i="36" a="1"/>
  <c r="DQ11" i="36" s="1"/>
  <c r="DQ10" i="40" a="1"/>
  <c r="DQ10" i="40" s="1"/>
  <c r="DO31" i="40" s="1"/>
  <c r="H7" i="36" a="1"/>
  <c r="H7" i="36" s="1"/>
  <c r="F7" i="36" s="1"/>
  <c r="H10" i="36" a="1"/>
  <c r="H10" i="36" s="1"/>
  <c r="F10" i="36" s="1"/>
  <c r="CQ2" i="27" a="1"/>
  <c r="CQ2" i="27" s="1"/>
  <c r="E35" i="1" a="1"/>
  <c r="E35" i="1" s="1"/>
  <c r="F34" i="1" a="1"/>
  <c r="F34" i="1" s="1"/>
  <c r="G34" i="1" s="1"/>
  <c r="EB9" i="36" a="1"/>
  <c r="EB9" i="36" s="1"/>
  <c r="EB16" i="36" a="1"/>
  <c r="EB16" i="36" s="1"/>
  <c r="EB5" i="36" a="1"/>
  <c r="EB5" i="36" s="1"/>
  <c r="EB13" i="36" a="1"/>
  <c r="EB13" i="36" s="1"/>
  <c r="EB10" i="36" a="1"/>
  <c r="EB10" i="36" s="1"/>
  <c r="EB7" i="36" a="1"/>
  <c r="EB7" i="36" s="1"/>
  <c r="EB1" i="36" a="1"/>
  <c r="EB1" i="36" s="1"/>
  <c r="H9" i="36" a="1"/>
  <c r="H9" i="36" s="1"/>
  <c r="F9" i="36" s="1"/>
  <c r="H12" i="36" a="1"/>
  <c r="H12" i="36" s="1"/>
  <c r="F12" i="36" s="1"/>
  <c r="EB3" i="40" a="1"/>
  <c r="EB3" i="40" s="1"/>
  <c r="EB11" i="36" a="1"/>
  <c r="EB11" i="36" s="1"/>
  <c r="FL5" i="36"/>
  <c r="FE6" i="36"/>
  <c r="EB3" i="36" a="1"/>
  <c r="EB3" i="36" s="1"/>
  <c r="EB5" i="40" a="1"/>
  <c r="EB5" i="40" s="1"/>
  <c r="EB1" i="40" a="1"/>
  <c r="EB1" i="40" s="1"/>
  <c r="EB8" i="40" a="1"/>
  <c r="EB8" i="40" s="1"/>
  <c r="DQ1" i="40" a="1"/>
  <c r="DQ1" i="40" s="1"/>
  <c r="DQ5" i="40" a="1"/>
  <c r="DQ5" i="40" s="1"/>
  <c r="DQ12" i="40" a="1"/>
  <c r="DQ12" i="40" s="1"/>
  <c r="DQ11" i="40" a="1"/>
  <c r="DQ11" i="40" s="1"/>
  <c r="BY6" i="27"/>
  <c r="BZ6" i="27"/>
  <c r="BY2" i="27"/>
  <c r="BZ2" i="27"/>
  <c r="DQ5" i="36" a="1"/>
  <c r="DQ5" i="36" s="1"/>
  <c r="CA12" i="27"/>
  <c r="BZ12" i="27"/>
  <c r="H11" i="36" a="1"/>
  <c r="H11" i="36" s="1"/>
  <c r="F11" i="36" s="1"/>
  <c r="E41" i="1" a="1"/>
  <c r="E41" i="1" s="1"/>
  <c r="F41" i="1" s="1" a="1"/>
  <c r="F41" i="1" s="1"/>
  <c r="G41" i="1" s="1"/>
  <c r="F40" i="1" a="1"/>
  <c r="F40" i="1" s="1"/>
  <c r="G40" i="1" s="1"/>
  <c r="EB6" i="36" a="1"/>
  <c r="EB6" i="36" s="1"/>
  <c r="EB2" i="36" a="1"/>
  <c r="EB2" i="36" s="1"/>
  <c r="EB14" i="36" a="1"/>
  <c r="EB14" i="36" s="1"/>
  <c r="EB4" i="40" a="1"/>
  <c r="EB4" i="40" s="1"/>
  <c r="DQ4" i="40" a="1"/>
  <c r="DQ4" i="40" s="1"/>
  <c r="DQ13" i="40" a="1"/>
  <c r="DQ13" i="40" s="1"/>
  <c r="BZ7" i="27"/>
  <c r="BY7" i="27"/>
  <c r="DQ10" i="36" a="1"/>
  <c r="DQ10" i="36" s="1"/>
  <c r="DQ8" i="36" a="1"/>
  <c r="DQ8" i="36" s="1"/>
  <c r="BY13" i="27"/>
  <c r="G10" i="40" a="1"/>
  <c r="G10" i="40" s="1"/>
  <c r="G9" i="40" a="1"/>
  <c r="G9" i="40" s="1"/>
  <c r="G12" i="40" a="1"/>
  <c r="G12" i="40" s="1"/>
  <c r="G8" i="40" a="1"/>
  <c r="G8" i="40" s="1"/>
  <c r="G7" i="40" a="1"/>
  <c r="G7" i="40" s="1"/>
  <c r="G11" i="40" a="1"/>
  <c r="G11" i="40" s="1"/>
  <c r="EB12" i="36" a="1"/>
  <c r="EB12" i="36" s="1"/>
  <c r="EB7" i="40" a="1"/>
  <c r="EB7" i="40" s="1"/>
  <c r="EB8" i="36" a="1"/>
  <c r="EB8" i="36" s="1"/>
  <c r="DQ7" i="40" a="1"/>
  <c r="DQ7" i="40" s="1"/>
  <c r="DQ8" i="40" a="1"/>
  <c r="DQ8" i="40" s="1"/>
  <c r="BZ1" i="27"/>
  <c r="BY1" i="27"/>
  <c r="BZ4" i="27"/>
  <c r="BY4" i="27"/>
  <c r="DQ7" i="36" a="1"/>
  <c r="DQ7" i="36" s="1"/>
  <c r="DQ9" i="36" a="1"/>
  <c r="DQ9" i="36" s="1"/>
  <c r="AM1" i="27"/>
  <c r="AN1" i="27" s="1"/>
  <c r="Q20" i="27" s="1"/>
  <c r="FL3" i="36"/>
  <c r="F8" i="36"/>
  <c r="H8" i="36" a="1"/>
  <c r="H8" i="36" s="1"/>
  <c r="FE4" i="40"/>
  <c r="FL3" i="40"/>
  <c r="EB15" i="36" a="1"/>
  <c r="EB15" i="36" s="1"/>
  <c r="EB9" i="40" a="1"/>
  <c r="EB9" i="40" s="1"/>
  <c r="DQ9" i="40" a="1"/>
  <c r="DQ9" i="40" s="1"/>
  <c r="BY3" i="27"/>
  <c r="BZ3" i="27"/>
  <c r="BY5" i="27"/>
  <c r="BZ5" i="27"/>
  <c r="DQ12" i="36" a="1"/>
  <c r="DQ12" i="36" s="1"/>
  <c r="DQ1" i="36" a="1"/>
  <c r="DQ1" i="36" s="1"/>
  <c r="B12" i="27"/>
  <c r="EQ11" i="40"/>
  <c r="B8" i="27"/>
  <c r="C8" i="27"/>
  <c r="EQ23" i="40"/>
  <c r="EO11" i="36"/>
  <c r="EN23" i="40"/>
  <c r="EP10" i="40"/>
  <c r="EQ13" i="40"/>
  <c r="EO2" i="36"/>
  <c r="EP3" i="40"/>
  <c r="EQ10" i="36"/>
  <c r="EO3" i="36"/>
  <c r="AU35" i="27"/>
  <c r="EP13" i="40"/>
  <c r="EN18" i="36"/>
  <c r="EO27" i="40"/>
  <c r="AS4" i="27"/>
  <c r="EQ24" i="40"/>
  <c r="EM7" i="36"/>
  <c r="EL10" i="40"/>
  <c r="EM11" i="40"/>
  <c r="EQ6" i="40"/>
  <c r="CM2" i="27"/>
  <c r="EM24" i="40"/>
  <c r="AS5" i="27"/>
  <c r="EM23" i="36"/>
  <c r="EP2" i="36"/>
  <c r="EQ22" i="36"/>
  <c r="EQ18" i="40"/>
  <c r="EQ7" i="36"/>
  <c r="EQ11" i="36"/>
  <c r="EP25" i="36"/>
  <c r="EQ26" i="40"/>
  <c r="EM21" i="36"/>
  <c r="EO13" i="40"/>
  <c r="EO19" i="40"/>
  <c r="EM19" i="36"/>
  <c r="AT3" i="27"/>
  <c r="EP12" i="40"/>
  <c r="EQ4" i="36"/>
  <c r="EL2" i="36"/>
  <c r="EO18" i="40"/>
  <c r="EO27" i="36"/>
  <c r="EO13" i="36"/>
  <c r="EQ24" i="36"/>
  <c r="EM24" i="36"/>
  <c r="EO11" i="40"/>
  <c r="EM9" i="40"/>
  <c r="EQ28" i="36"/>
  <c r="EQ25" i="36"/>
  <c r="EM26" i="36"/>
  <c r="EQ8" i="40"/>
  <c r="EM19" i="40"/>
  <c r="EM28" i="40"/>
  <c r="EN25" i="40"/>
  <c r="EM6" i="36"/>
  <c r="EM23" i="40"/>
  <c r="EM29" i="40"/>
  <c r="EM4" i="36"/>
  <c r="EO3" i="40"/>
  <c r="EO24" i="40"/>
  <c r="EO29" i="40"/>
  <c r="EM22" i="40"/>
  <c r="EM8" i="40"/>
  <c r="AT4" i="27"/>
  <c r="EO21" i="40"/>
  <c r="EQ6" i="36"/>
  <c r="EP18" i="36"/>
  <c r="EQ9" i="36"/>
  <c r="EP8" i="40"/>
  <c r="EP9" i="40"/>
  <c r="EM22" i="36"/>
  <c r="EQ22" i="40"/>
  <c r="AT35" i="27"/>
  <c r="EQ12" i="36"/>
  <c r="EM26" i="40"/>
  <c r="EO22" i="36"/>
  <c r="EM25" i="36"/>
  <c r="EM18" i="36"/>
  <c r="EQ19" i="40"/>
  <c r="EM8" i="36"/>
  <c r="EO22" i="40"/>
  <c r="EQ2" i="36"/>
  <c r="EM9" i="36"/>
  <c r="EM10" i="40"/>
  <c r="EM13" i="40"/>
  <c r="EO23" i="40"/>
  <c r="EQ3" i="40"/>
  <c r="EM10" i="36"/>
  <c r="EM18" i="40"/>
  <c r="EN27" i="40"/>
  <c r="EM13" i="36"/>
  <c r="EM5" i="36"/>
  <c r="EO7" i="36"/>
  <c r="EL23" i="36"/>
  <c r="EQ29" i="40"/>
  <c r="AT12" i="27"/>
  <c r="EM3" i="40"/>
  <c r="EQ25" i="40"/>
  <c r="EQ8" i="36"/>
  <c r="EM21" i="40"/>
  <c r="EM11" i="36"/>
  <c r="EO18" i="36"/>
  <c r="EM6" i="40"/>
  <c r="EQ23" i="36"/>
  <c r="EQ19" i="36"/>
  <c r="EQ10" i="40"/>
  <c r="EP11" i="40"/>
  <c r="EO10" i="40"/>
  <c r="EQ27" i="40"/>
  <c r="EQ12" i="40"/>
  <c r="EQ13" i="36"/>
  <c r="EQ27" i="36"/>
  <c r="EO19" i="36"/>
  <c r="EQ3" i="36"/>
  <c r="EO8" i="36"/>
  <c r="EQ18" i="36"/>
  <c r="EM5" i="40"/>
  <c r="EO6" i="40"/>
  <c r="AS12" i="27"/>
  <c r="EO25" i="36"/>
  <c r="EQ29" i="36"/>
  <c r="EO28" i="40"/>
  <c r="EM3" i="36"/>
  <c r="EM2" i="36"/>
  <c r="EO26" i="36"/>
  <c r="EO10" i="36"/>
  <c r="EM12" i="36"/>
  <c r="EO12" i="36"/>
  <c r="EP19" i="36"/>
  <c r="EO20" i="40"/>
  <c r="EO26" i="40"/>
  <c r="EQ9" i="40"/>
  <c r="EO7" i="40"/>
  <c r="EM27" i="40"/>
  <c r="EO9" i="40"/>
  <c r="EO9" i="36"/>
  <c r="EO8" i="40"/>
  <c r="EO25" i="40"/>
  <c r="EL21" i="36"/>
  <c r="EM20" i="40"/>
  <c r="EM12" i="40"/>
  <c r="EO4" i="40"/>
  <c r="EO29" i="36"/>
  <c r="EO5" i="40"/>
  <c r="EO28" i="36"/>
  <c r="EO20" i="36"/>
  <c r="AS2" i="27"/>
  <c r="EM27" i="36"/>
  <c r="EO4" i="36"/>
  <c r="EO24" i="36"/>
  <c r="EQ26" i="36"/>
  <c r="EO5" i="36"/>
  <c r="EQ2" i="40"/>
  <c r="EQ7" i="40"/>
  <c r="AV5" i="27" l="1"/>
  <c r="AW3" i="27"/>
  <c r="AZ3" i="27" s="1"/>
  <c r="D8" i="27"/>
  <c r="AX35" i="27"/>
  <c r="AW4" i="27"/>
  <c r="AZ4" i="27" s="1"/>
  <c r="AW35" i="27"/>
  <c r="AV12" i="27"/>
  <c r="AV4" i="27"/>
  <c r="AW12" i="27"/>
  <c r="AZ12" i="27" s="1"/>
  <c r="EB10" i="40" a="1"/>
  <c r="EB10" i="40" s="1"/>
  <c r="EB14" i="40" a="1"/>
  <c r="EB14" i="40" s="1"/>
  <c r="CM14" i="27"/>
  <c r="CM16" i="27" s="1"/>
  <c r="CM17" i="27" s="1"/>
  <c r="CM15" i="27" s="1"/>
  <c r="AV2" i="27"/>
  <c r="AZ11" i="27"/>
  <c r="AZ40" i="27"/>
  <c r="AZ10" i="27"/>
  <c r="AY40" i="27"/>
  <c r="AZ22" i="27"/>
  <c r="AY22" i="27"/>
  <c r="AY19" i="27"/>
  <c r="FK2" i="36" a="1"/>
  <c r="FK2" i="36" s="1"/>
  <c r="FM2" i="36" s="1"/>
  <c r="FM1" i="36"/>
  <c r="DO36" i="40"/>
  <c r="DO27" i="40"/>
  <c r="EB12" i="40" a="1"/>
  <c r="EB12" i="40" s="1"/>
  <c r="EB13" i="40" a="1"/>
  <c r="EB13" i="40" s="1"/>
  <c r="EB15" i="40" a="1"/>
  <c r="EB15" i="40" s="1"/>
  <c r="EB16" i="40" a="1"/>
  <c r="EB16" i="40" s="1"/>
  <c r="DO35" i="40"/>
  <c r="DQ16" i="36" a="1"/>
  <c r="DQ16" i="36" s="1"/>
  <c r="DO37" i="36" s="1"/>
  <c r="DQ14" i="36" a="1"/>
  <c r="DQ14" i="36" s="1"/>
  <c r="DQ15" i="36" a="1"/>
  <c r="DQ15" i="36" s="1"/>
  <c r="DO36" i="36" s="1"/>
  <c r="DQ13" i="36" a="1"/>
  <c r="DQ13" i="36" s="1"/>
  <c r="DO34" i="36" s="1"/>
  <c r="AZ5" i="27"/>
  <c r="AZ19" i="27"/>
  <c r="DO25" i="36"/>
  <c r="L22" i="27"/>
  <c r="FK3" i="40" a="1"/>
  <c r="FK3" i="40" s="1"/>
  <c r="FM3" i="40" s="1"/>
  <c r="N16" i="27"/>
  <c r="V16" i="27" s="1"/>
  <c r="AE16" i="27" s="1"/>
  <c r="J17" i="27"/>
  <c r="V15" i="27"/>
  <c r="AE15" i="27" s="1"/>
  <c r="L28" i="27"/>
  <c r="AJ14" i="27" a="1"/>
  <c r="AJ14" i="27" s="1"/>
  <c r="AJ7" i="27" a="1"/>
  <c r="AJ7" i="27" s="1"/>
  <c r="AJ2" i="27" a="1"/>
  <c r="AJ2" i="27" s="1"/>
  <c r="R20" i="27" a="1"/>
  <c r="R20" i="27" s="1"/>
  <c r="AJ5" i="27" a="1"/>
  <c r="AJ5" i="27" s="1"/>
  <c r="AJ10" i="27" a="1"/>
  <c r="AJ10" i="27" s="1"/>
  <c r="AJ4" i="27" a="1"/>
  <c r="AJ4" i="27" s="1"/>
  <c r="AJ11" i="27" a="1"/>
  <c r="AJ11" i="27" s="1"/>
  <c r="AJ1" i="27" a="1"/>
  <c r="AJ1" i="27" s="1"/>
  <c r="AJ6" i="27" a="1"/>
  <c r="AJ6" i="27" s="1"/>
  <c r="AJ12" i="27" a="1"/>
  <c r="AJ12" i="27" s="1"/>
  <c r="AJ9" i="27" a="1"/>
  <c r="AJ9" i="27" s="1"/>
  <c r="AJ3" i="27" a="1"/>
  <c r="AJ3" i="27" s="1"/>
  <c r="AJ8" i="27" a="1"/>
  <c r="AJ8" i="27" s="1"/>
  <c r="AJ13" i="27" a="1"/>
  <c r="AJ13" i="27" s="1"/>
  <c r="FK3" i="36" a="1"/>
  <c r="FK3" i="36" s="1"/>
  <c r="FN3" i="36" s="1" a="1"/>
  <c r="FN3" i="36" s="1"/>
  <c r="FK2" i="40" a="1"/>
  <c r="FK2" i="40" s="1"/>
  <c r="G17" i="36" a="1"/>
  <c r="FM1" i="40"/>
  <c r="FN1" i="40" a="1"/>
  <c r="FN1" i="40" s="1"/>
  <c r="CC5" i="27"/>
  <c r="CA5" i="27"/>
  <c r="CB5" i="27"/>
  <c r="CB1" i="27"/>
  <c r="CA1" i="27"/>
  <c r="CC1" i="27"/>
  <c r="DO33" i="36"/>
  <c r="H7" i="40" a="1"/>
  <c r="H7" i="40" s="1"/>
  <c r="F7" i="40" s="1"/>
  <c r="H10" i="40" a="1"/>
  <c r="H10" i="40" s="1"/>
  <c r="F10" i="40" s="1"/>
  <c r="DO25" i="40"/>
  <c r="FQ1" i="36"/>
  <c r="FP1" i="36"/>
  <c r="FO1" i="36"/>
  <c r="CC12" i="27"/>
  <c r="CD12" i="27"/>
  <c r="CB12" i="27"/>
  <c r="DO22" i="40"/>
  <c r="DO32" i="36"/>
  <c r="DO31" i="36"/>
  <c r="DO30" i="36"/>
  <c r="DO30" i="40"/>
  <c r="CC3" i="27"/>
  <c r="CA3" i="27"/>
  <c r="CB3" i="27"/>
  <c r="FL4" i="40"/>
  <c r="FE5" i="40"/>
  <c r="DO29" i="40"/>
  <c r="H8" i="40" a="1"/>
  <c r="H8" i="40" s="1"/>
  <c r="F8" i="40"/>
  <c r="DO23" i="36"/>
  <c r="CC2" i="27"/>
  <c r="CB2" i="27"/>
  <c r="CA2" i="27"/>
  <c r="DO32" i="40"/>
  <c r="DO24" i="36"/>
  <c r="CA4" i="27"/>
  <c r="CC4" i="27"/>
  <c r="CB4" i="27"/>
  <c r="DO28" i="40"/>
  <c r="H12" i="40" a="1"/>
  <c r="H12" i="40" s="1"/>
  <c r="F12" i="40" s="1"/>
  <c r="CB7" i="27"/>
  <c r="CA7" i="27"/>
  <c r="CC7" i="27"/>
  <c r="DO27" i="36"/>
  <c r="DO33" i="40"/>
  <c r="FL6" i="36"/>
  <c r="FE7" i="36"/>
  <c r="DO22" i="36"/>
  <c r="DO26" i="36"/>
  <c r="F35" i="1" a="1"/>
  <c r="F35" i="1" s="1"/>
  <c r="G35" i="1" s="1"/>
  <c r="E36" i="1" a="1"/>
  <c r="E36" i="1" s="1"/>
  <c r="F36" i="1" s="1" a="1"/>
  <c r="F36" i="1" s="1"/>
  <c r="G36" i="1" s="1"/>
  <c r="FK4" i="36" a="1"/>
  <c r="FK4" i="36" s="1"/>
  <c r="DO29" i="36"/>
  <c r="H11" i="40" a="1"/>
  <c r="H11" i="40" s="1"/>
  <c r="F11" i="40" s="1"/>
  <c r="H9" i="40" a="1"/>
  <c r="H9" i="40" s="1"/>
  <c r="F9" i="40" s="1"/>
  <c r="DO34" i="40"/>
  <c r="CA6" i="27"/>
  <c r="CC6" i="27"/>
  <c r="CB6" i="27"/>
  <c r="DO26" i="40"/>
  <c r="FK5" i="36" a="1"/>
  <c r="FK5" i="36" s="1"/>
  <c r="DO28" i="36"/>
  <c r="EM7" i="40"/>
  <c r="EM20" i="36"/>
  <c r="EO12" i="40"/>
  <c r="EM2" i="40"/>
  <c r="EQ21" i="36"/>
  <c r="EO6" i="36"/>
  <c r="EP6" i="40"/>
  <c r="EQ21" i="40"/>
  <c r="EP5" i="40"/>
  <c r="EM29" i="36"/>
  <c r="EQ20" i="40"/>
  <c r="EM4" i="40"/>
  <c r="EQ20" i="36"/>
  <c r="EQ28" i="40"/>
  <c r="EP4" i="40"/>
  <c r="EM25" i="40"/>
  <c r="EQ5" i="36"/>
  <c r="EO2" i="40"/>
  <c r="EM28" i="36"/>
  <c r="EP2" i="40"/>
  <c r="EO23" i="36"/>
  <c r="EQ5" i="40"/>
  <c r="EO21" i="36"/>
  <c r="EP7" i="40"/>
  <c r="EQ4" i="40"/>
  <c r="EP25" i="40"/>
  <c r="EL25" i="40"/>
  <c r="AZ35" i="27" l="1"/>
  <c r="AY35" i="27"/>
  <c r="FN2" i="36" a="1"/>
  <c r="FN2" i="36" s="1"/>
  <c r="FQ2" i="36" s="1"/>
  <c r="DO35" i="36"/>
  <c r="FN3" i="40" a="1"/>
  <c r="FN3" i="40" s="1"/>
  <c r="FO3" i="40" s="1"/>
  <c r="M1" i="27"/>
  <c r="AL15" i="27"/>
  <c r="AK15" i="27"/>
  <c r="AJ15" i="27" s="1" a="1"/>
  <c r="AJ15" i="27" s="1"/>
  <c r="AI1" i="27"/>
  <c r="K20" i="27"/>
  <c r="M20" i="27" s="1"/>
  <c r="U2" i="27"/>
  <c r="K17" i="27"/>
  <c r="AL16" i="27"/>
  <c r="AK16" i="27"/>
  <c r="G42" i="1"/>
  <c r="B27" i="1" s="1"/>
  <c r="B28" i="1" s="1"/>
  <c r="B29" i="1" s="1"/>
  <c r="H20" i="36"/>
  <c r="H21" i="36"/>
  <c r="H18" i="36"/>
  <c r="H19" i="36"/>
  <c r="FM3" i="36"/>
  <c r="FQ3" i="36" s="1"/>
  <c r="FN2" i="40" a="1"/>
  <c r="FN2" i="40" s="1"/>
  <c r="FM2" i="40"/>
  <c r="FL7" i="36"/>
  <c r="FE8" i="36"/>
  <c r="FL8" i="36" s="1"/>
  <c r="G17" i="40" a="1"/>
  <c r="FK6" i="36" a="1"/>
  <c r="FK6" i="36" s="1"/>
  <c r="I19" i="36"/>
  <c r="A14" i="36" s="1"/>
  <c r="G17" i="36"/>
  <c r="H17" i="36" s="1"/>
  <c r="I18" i="36"/>
  <c r="A13" i="36" s="1"/>
  <c r="I21" i="36"/>
  <c r="A16" i="36" s="1"/>
  <c r="I20" i="36"/>
  <c r="A15" i="36" s="1"/>
  <c r="FP1" i="40"/>
  <c r="FO1" i="40"/>
  <c r="FQ1" i="40"/>
  <c r="FK4" i="40" a="1"/>
  <c r="FK4" i="40" s="1"/>
  <c r="FP3" i="36"/>
  <c r="FO3" i="36"/>
  <c r="FM5" i="36"/>
  <c r="FN5" i="36" a="1"/>
  <c r="FN5" i="36" s="1"/>
  <c r="FN4" i="36" a="1"/>
  <c r="FN4" i="36" s="1"/>
  <c r="FM4" i="36"/>
  <c r="FE6" i="40"/>
  <c r="FL5" i="40"/>
  <c r="FK5" i="40" s="1" a="1"/>
  <c r="FK5" i="40" s="1"/>
  <c r="FO2" i="36" l="1"/>
  <c r="FP2" i="36"/>
  <c r="AY3" i="27"/>
  <c r="FP3" i="40"/>
  <c r="FQ3" i="40"/>
  <c r="L36" i="27"/>
  <c r="AJ16" i="27" a="1"/>
  <c r="AJ16" i="27" s="1"/>
  <c r="L37" i="27"/>
  <c r="AI4" i="27"/>
  <c r="AI2" i="27"/>
  <c r="AI3" i="27"/>
  <c r="AI5" i="27"/>
  <c r="M3" i="27"/>
  <c r="U1" i="27"/>
  <c r="M2" i="27"/>
  <c r="FK11" i="36" a="1"/>
  <c r="FK11" i="36" s="1"/>
  <c r="FM11" i="36" s="1"/>
  <c r="FK13" i="36" a="1"/>
  <c r="FK13" i="36" s="1"/>
  <c r="FN13" i="36" s="1" a="1"/>
  <c r="FN13" i="36" s="1"/>
  <c r="FK9" i="36" a="1"/>
  <c r="FK9" i="36" s="1"/>
  <c r="FM9" i="36" s="1"/>
  <c r="FK14" i="36" a="1"/>
  <c r="FK14" i="36" s="1"/>
  <c r="FN14" i="36" s="1" a="1"/>
  <c r="FN14" i="36" s="1"/>
  <c r="FK17" i="36" a="1"/>
  <c r="FK17" i="36" s="1"/>
  <c r="FN17" i="36" s="1" a="1"/>
  <c r="FN17" i="36" s="1"/>
  <c r="FQ2" i="40"/>
  <c r="FP2" i="40"/>
  <c r="FO2" i="40"/>
  <c r="FK10" i="36" a="1"/>
  <c r="FK10" i="36" s="1"/>
  <c r="FM10" i="36" s="1"/>
  <c r="FK18" i="36" a="1"/>
  <c r="FK18" i="36" s="1"/>
  <c r="FM18" i="36" s="1"/>
  <c r="FK8" i="36" a="1"/>
  <c r="FK8" i="36" s="1"/>
  <c r="FM8" i="36" s="1"/>
  <c r="FL6" i="40"/>
  <c r="FK6" i="40" s="1" a="1"/>
  <c r="FK6" i="40" s="1"/>
  <c r="FE7" i="40"/>
  <c r="V18" i="36"/>
  <c r="R18" i="36"/>
  <c r="N18" i="36"/>
  <c r="J18" i="36"/>
  <c r="Y18" i="36"/>
  <c r="U18" i="36"/>
  <c r="Q18" i="36"/>
  <c r="M18" i="36"/>
  <c r="W18" i="36"/>
  <c r="O18" i="36"/>
  <c r="F18" i="36"/>
  <c r="CY18" i="36" s="1"/>
  <c r="S18" i="36"/>
  <c r="T18" i="36"/>
  <c r="L18" i="36"/>
  <c r="K18" i="36"/>
  <c r="P18" i="36"/>
  <c r="X18" i="36"/>
  <c r="FN6" i="36" a="1"/>
  <c r="FN6" i="36" s="1"/>
  <c r="FM6" i="36"/>
  <c r="FK7" i="36" a="1"/>
  <c r="FK7" i="36" s="1"/>
  <c r="FK16" i="36" a="1"/>
  <c r="FK16" i="36" s="1"/>
  <c r="FK15" i="36" a="1"/>
  <c r="FK15" i="36" s="1"/>
  <c r="FK12" i="36" a="1"/>
  <c r="FK12" i="36" s="1"/>
  <c r="FO4" i="36"/>
  <c r="FQ4" i="36"/>
  <c r="FP4" i="36"/>
  <c r="FM4" i="40"/>
  <c r="FN4" i="40" a="1"/>
  <c r="FN4" i="40" s="1"/>
  <c r="FP5" i="36"/>
  <c r="FO5" i="36"/>
  <c r="FQ5" i="36"/>
  <c r="X20" i="36"/>
  <c r="T20" i="36"/>
  <c r="P20" i="36"/>
  <c r="L20" i="36"/>
  <c r="W20" i="36"/>
  <c r="S20" i="36"/>
  <c r="O20" i="36"/>
  <c r="K20" i="36"/>
  <c r="F20" i="36"/>
  <c r="CY44" i="36" s="1"/>
  <c r="CY40" i="36" s="1"/>
  <c r="U20" i="36"/>
  <c r="M20" i="36"/>
  <c r="Q20" i="36"/>
  <c r="R20" i="36"/>
  <c r="J20" i="36"/>
  <c r="Y20" i="36"/>
  <c r="V20" i="36"/>
  <c r="N20" i="36"/>
  <c r="I17" i="36"/>
  <c r="A12" i="36" s="1"/>
  <c r="E22" i="36" s="1"/>
  <c r="I21" i="40"/>
  <c r="A16" i="40" s="1"/>
  <c r="H21" i="40"/>
  <c r="I20" i="40"/>
  <c r="A15" i="40" s="1"/>
  <c r="H18" i="40"/>
  <c r="H19" i="40"/>
  <c r="G17" i="40"/>
  <c r="H20" i="40"/>
  <c r="I18" i="40"/>
  <c r="A13" i="40" s="1"/>
  <c r="I19" i="40"/>
  <c r="A14" i="40" s="1"/>
  <c r="FM5" i="40"/>
  <c r="FN5" i="40" a="1"/>
  <c r="FN5" i="40" s="1"/>
  <c r="W21" i="36"/>
  <c r="S21" i="36"/>
  <c r="O21" i="36"/>
  <c r="K21" i="36"/>
  <c r="F21" i="36"/>
  <c r="CY57" i="36" s="1"/>
  <c r="CY53" i="36" s="1"/>
  <c r="V21" i="36"/>
  <c r="R21" i="36"/>
  <c r="N21" i="36"/>
  <c r="J21" i="36"/>
  <c r="Y21" i="36"/>
  <c r="Q21" i="36"/>
  <c r="U21" i="36"/>
  <c r="X21" i="36"/>
  <c r="P21" i="36"/>
  <c r="M21" i="36"/>
  <c r="L21" i="36"/>
  <c r="T21" i="36"/>
  <c r="Y19" i="36"/>
  <c r="U19" i="36"/>
  <c r="Q19" i="36"/>
  <c r="M19" i="36"/>
  <c r="X19" i="36"/>
  <c r="T19" i="36"/>
  <c r="P19" i="36"/>
  <c r="L19" i="36"/>
  <c r="V19" i="36"/>
  <c r="N19" i="36"/>
  <c r="R19" i="36"/>
  <c r="J19" i="36"/>
  <c r="S19" i="36"/>
  <c r="K19" i="36"/>
  <c r="O19" i="36"/>
  <c r="F19" i="36"/>
  <c r="CY31" i="36" s="1"/>
  <c r="CY28" i="36" s="1"/>
  <c r="W19" i="36"/>
  <c r="ES18" i="36" l="1"/>
  <c r="ES2" i="36"/>
  <c r="FM13" i="36"/>
  <c r="FN8" i="36" a="1"/>
  <c r="FN8" i="36" s="1"/>
  <c r="FO8" i="36" s="1"/>
  <c r="FN11" i="36" a="1"/>
  <c r="FN11" i="36" s="1"/>
  <c r="FO11" i="36" s="1"/>
  <c r="FN18" i="36" a="1"/>
  <c r="FN18" i="36" s="1"/>
  <c r="FQ18" i="36" s="1"/>
  <c r="FM17" i="36"/>
  <c r="FN9" i="36" a="1"/>
  <c r="FN9" i="36" s="1"/>
  <c r="FQ9" i="36" s="1"/>
  <c r="FM14" i="36"/>
  <c r="I23" i="36"/>
  <c r="I24" i="36"/>
  <c r="FN10" i="36" a="1"/>
  <c r="FN10" i="36" s="1"/>
  <c r="FQ10" i="36" s="1"/>
  <c r="AK81" i="36"/>
  <c r="AD4" i="36" s="1"/>
  <c r="CL17" i="36"/>
  <c r="AX5" i="36"/>
  <c r="BP5" i="36" s="1"/>
  <c r="FQ14" i="36"/>
  <c r="FO14" i="36"/>
  <c r="FP14" i="36"/>
  <c r="AN81" i="36"/>
  <c r="AD7" i="36" s="1"/>
  <c r="AX33" i="36"/>
  <c r="BP33" i="36" s="1"/>
  <c r="CO17" i="36"/>
  <c r="AK150" i="36"/>
  <c r="AH4" i="36" s="1"/>
  <c r="AX7" i="36"/>
  <c r="BP7" i="36" s="1"/>
  <c r="CL19" i="36"/>
  <c r="AM81" i="36"/>
  <c r="AD6" i="36" s="1"/>
  <c r="AX24" i="36"/>
  <c r="BP24" i="36" s="1"/>
  <c r="CN17" i="36"/>
  <c r="AP81" i="36"/>
  <c r="CQ17" i="36"/>
  <c r="AX51" i="36"/>
  <c r="BP51" i="36" s="1"/>
  <c r="AL150" i="36"/>
  <c r="AX17" i="36"/>
  <c r="BP17" i="36" s="1"/>
  <c r="CM19" i="36"/>
  <c r="AM150" i="36"/>
  <c r="AH6" i="36" s="1"/>
  <c r="AX26" i="36"/>
  <c r="BP26" i="36" s="1"/>
  <c r="CN19" i="36"/>
  <c r="FQ13" i="36"/>
  <c r="FP13" i="36"/>
  <c r="FO13" i="36"/>
  <c r="X18" i="40"/>
  <c r="T18" i="40"/>
  <c r="P18" i="40"/>
  <c r="L18" i="40"/>
  <c r="V18" i="40"/>
  <c r="Q18" i="40"/>
  <c r="K18" i="40"/>
  <c r="U18" i="40"/>
  <c r="O18" i="40"/>
  <c r="J18" i="40"/>
  <c r="Y18" i="40"/>
  <c r="S18" i="40"/>
  <c r="N18" i="40"/>
  <c r="W18" i="40"/>
  <c r="R18" i="40"/>
  <c r="M18" i="40"/>
  <c r="F18" i="40"/>
  <c r="CY18" i="40" s="1"/>
  <c r="FO17" i="36"/>
  <c r="FQ17" i="36"/>
  <c r="FP17" i="36"/>
  <c r="AK117" i="36"/>
  <c r="AF4" i="36" s="1"/>
  <c r="CL18" i="36"/>
  <c r="AX6" i="36"/>
  <c r="BP6" i="36" s="1"/>
  <c r="AP117" i="36"/>
  <c r="AX52" i="36"/>
  <c r="BP52" i="36" s="1"/>
  <c r="CQ18" i="36"/>
  <c r="FN15" i="36" a="1"/>
  <c r="FN15" i="36" s="1"/>
  <c r="FM15" i="36"/>
  <c r="FQ6" i="36"/>
  <c r="FO6" i="36"/>
  <c r="FP6" i="36"/>
  <c r="AX23" i="36"/>
  <c r="BP23" i="36" s="1"/>
  <c r="AM42" i="36"/>
  <c r="AB6" i="36" s="1"/>
  <c r="CN16" i="36"/>
  <c r="AQ81" i="36"/>
  <c r="AD10" i="36" s="1"/>
  <c r="AX60" i="36"/>
  <c r="BP60" i="36" s="1"/>
  <c r="CR17" i="36"/>
  <c r="AX44" i="36"/>
  <c r="BP44" i="36" s="1"/>
  <c r="CP19" i="36"/>
  <c r="AO150" i="36"/>
  <c r="FP5" i="40"/>
  <c r="FO5" i="40"/>
  <c r="FQ5" i="40"/>
  <c r="V20" i="40"/>
  <c r="R20" i="40"/>
  <c r="N20" i="40"/>
  <c r="J20" i="40"/>
  <c r="Y20" i="40"/>
  <c r="U20" i="40"/>
  <c r="Q20" i="40"/>
  <c r="M20" i="40"/>
  <c r="T20" i="40"/>
  <c r="L20" i="40"/>
  <c r="S20" i="40"/>
  <c r="K20" i="40"/>
  <c r="X20" i="40"/>
  <c r="P20" i="40"/>
  <c r="F20" i="40"/>
  <c r="CY44" i="40" s="1"/>
  <c r="CY40" i="40" s="1"/>
  <c r="W20" i="40"/>
  <c r="O20" i="40"/>
  <c r="AX25" i="36"/>
  <c r="BP25" i="36" s="1"/>
  <c r="CN18" i="36"/>
  <c r="AM117" i="36"/>
  <c r="AF6" i="36" s="1"/>
  <c r="AO117" i="36"/>
  <c r="CP18" i="36"/>
  <c r="AX43" i="36"/>
  <c r="BP43" i="36" s="1"/>
  <c r="FP4" i="40"/>
  <c r="FQ4" i="40"/>
  <c r="FO4" i="40"/>
  <c r="FM16" i="36"/>
  <c r="FN16" i="36" a="1"/>
  <c r="FN16" i="36" s="1"/>
  <c r="AX14" i="36"/>
  <c r="BP14" i="36" s="1"/>
  <c r="CM16" i="36"/>
  <c r="AL42" i="36"/>
  <c r="AO42" i="36"/>
  <c r="CP16" i="36"/>
  <c r="AX41" i="36"/>
  <c r="BP41" i="36" s="1"/>
  <c r="AL81" i="36"/>
  <c r="CM17" i="36"/>
  <c r="AX15" i="36"/>
  <c r="BP15" i="36" s="1"/>
  <c r="AN150" i="36"/>
  <c r="AH7" i="36" s="1"/>
  <c r="CO19" i="36"/>
  <c r="AX35" i="36"/>
  <c r="BP35" i="36" s="1"/>
  <c r="AQ150" i="36"/>
  <c r="AH10" i="36" s="1"/>
  <c r="CR19" i="36"/>
  <c r="AX62" i="36"/>
  <c r="BP62" i="36" s="1"/>
  <c r="H17" i="40"/>
  <c r="I17" i="40"/>
  <c r="A12" i="40" s="1"/>
  <c r="E22" i="40" s="1"/>
  <c r="AX61" i="36"/>
  <c r="BP61" i="36" s="1"/>
  <c r="AQ117" i="36"/>
  <c r="AF10" i="36" s="1"/>
  <c r="CR18" i="36"/>
  <c r="AL117" i="36"/>
  <c r="AX16" i="36"/>
  <c r="BP16" i="36" s="1"/>
  <c r="CM18" i="36"/>
  <c r="FN7" i="36" a="1"/>
  <c r="FN7" i="36" s="1"/>
  <c r="FM7" i="36"/>
  <c r="AX50" i="36"/>
  <c r="BP50" i="36" s="1"/>
  <c r="CQ16" i="36"/>
  <c r="AP42" i="36"/>
  <c r="AX59" i="36"/>
  <c r="BP59" i="36" s="1"/>
  <c r="AQ42" i="36"/>
  <c r="AB10" i="36" s="1"/>
  <c r="CR16" i="36"/>
  <c r="FL7" i="40"/>
  <c r="FE8" i="40"/>
  <c r="FL8" i="40" s="1"/>
  <c r="AX42" i="36"/>
  <c r="BP42" i="36" s="1"/>
  <c r="CP17" i="36"/>
  <c r="AO81" i="36"/>
  <c r="AP150" i="36"/>
  <c r="AX53" i="36"/>
  <c r="BP53" i="36" s="1"/>
  <c r="CQ19" i="36"/>
  <c r="X19" i="40"/>
  <c r="T19" i="40"/>
  <c r="P19" i="40"/>
  <c r="W19" i="40"/>
  <c r="S19" i="40"/>
  <c r="O19" i="40"/>
  <c r="K19" i="40"/>
  <c r="F19" i="40"/>
  <c r="CY31" i="40" s="1"/>
  <c r="CY28" i="40" s="1"/>
  <c r="U19" i="40"/>
  <c r="M19" i="40"/>
  <c r="R19" i="40"/>
  <c r="L19" i="40"/>
  <c r="Y19" i="40"/>
  <c r="Q19" i="40"/>
  <c r="J19" i="40"/>
  <c r="V19" i="40"/>
  <c r="N19" i="40"/>
  <c r="Y21" i="40"/>
  <c r="U21" i="40"/>
  <c r="Q21" i="40"/>
  <c r="M21" i="40"/>
  <c r="X21" i="40"/>
  <c r="T21" i="40"/>
  <c r="P21" i="40"/>
  <c r="L21" i="40"/>
  <c r="W21" i="40"/>
  <c r="O21" i="40"/>
  <c r="F21" i="40"/>
  <c r="CY57" i="40" s="1"/>
  <c r="CY53" i="40" s="1"/>
  <c r="V21" i="40"/>
  <c r="N21" i="40"/>
  <c r="S21" i="40"/>
  <c r="K21" i="40"/>
  <c r="R21" i="40"/>
  <c r="J21" i="40"/>
  <c r="W17" i="36"/>
  <c r="AQ2" i="36" s="1"/>
  <c r="S17" i="36"/>
  <c r="AO2" i="36" s="1"/>
  <c r="O17" i="36"/>
  <c r="AM2" i="36" s="1"/>
  <c r="K17" i="36"/>
  <c r="AK2" i="36" s="1"/>
  <c r="V17" i="36"/>
  <c r="R17" i="36"/>
  <c r="N17" i="36"/>
  <c r="J17" i="36"/>
  <c r="Y17" i="36"/>
  <c r="Q17" i="36"/>
  <c r="AN2" i="36" s="1"/>
  <c r="U17" i="36"/>
  <c r="AP2" i="36" s="1"/>
  <c r="M17" i="36"/>
  <c r="AL2" i="36" s="1"/>
  <c r="F17" i="36"/>
  <c r="AT6" i="36" s="1" a="1"/>
  <c r="AT6" i="36" s="1"/>
  <c r="X17" i="36"/>
  <c r="P17" i="36"/>
  <c r="T17" i="36"/>
  <c r="L17" i="36"/>
  <c r="AN117" i="36"/>
  <c r="AF7" i="36" s="1"/>
  <c r="CO18" i="36"/>
  <c r="AX34" i="36"/>
  <c r="BP34" i="36" s="1"/>
  <c r="FN12" i="36" a="1"/>
  <c r="FN12" i="36" s="1"/>
  <c r="FM12" i="36"/>
  <c r="AN42" i="36"/>
  <c r="AB7" i="36" s="1"/>
  <c r="CO16" i="36"/>
  <c r="AX32" i="36"/>
  <c r="BP32" i="36" s="1"/>
  <c r="AK42" i="36"/>
  <c r="AB4" i="36" s="1"/>
  <c r="CL16" i="36"/>
  <c r="AX4" i="36"/>
  <c r="BP4" i="36" s="1"/>
  <c r="FN6" i="40" a="1"/>
  <c r="FN6" i="40" s="1"/>
  <c r="FM6" i="40"/>
  <c r="FP11" i="36" l="1"/>
  <c r="FQ11" i="36"/>
  <c r="FQ8" i="36"/>
  <c r="AY4" i="27"/>
  <c r="FP8" i="36"/>
  <c r="FP9" i="36"/>
  <c r="FO18" i="36"/>
  <c r="FP18" i="36"/>
  <c r="FO9" i="36"/>
  <c r="FO10" i="36"/>
  <c r="FP10" i="36"/>
  <c r="B12" i="40"/>
  <c r="B13" i="40"/>
  <c r="B16" i="40"/>
  <c r="B15" i="40"/>
  <c r="B14" i="40"/>
  <c r="I22" i="36"/>
  <c r="CT16" i="36"/>
  <c r="CZ18" i="36" s="1"/>
  <c r="AY13" i="36"/>
  <c r="BA13" i="36" s="1"/>
  <c r="CM4" i="36"/>
  <c r="AP150" i="40"/>
  <c r="AX53" i="40"/>
  <c r="BP53" i="40" s="1"/>
  <c r="CQ19" i="40"/>
  <c r="AL81" i="40"/>
  <c r="CM17" i="40"/>
  <c r="AX15" i="40"/>
  <c r="BP15" i="40" s="1"/>
  <c r="AB15" i="36"/>
  <c r="AC15" i="36" s="1"/>
  <c r="AC8" i="36" s="1"/>
  <c r="FO6" i="40"/>
  <c r="FP6" i="40"/>
  <c r="FQ6" i="40"/>
  <c r="FQ12" i="36"/>
  <c r="FP12" i="36"/>
  <c r="FO12" i="36"/>
  <c r="CM15" i="36"/>
  <c r="CM20" i="36" s="1"/>
  <c r="AX13" i="36"/>
  <c r="BP13" i="36" s="1"/>
  <c r="AU18" i="36" s="1" a="1"/>
  <c r="AU18" i="36" s="1"/>
  <c r="AV18" i="36" s="1"/>
  <c r="AL1" i="36"/>
  <c r="AL28" i="36" s="1"/>
  <c r="AY31" i="36"/>
  <c r="BA31" i="36" s="1"/>
  <c r="CO4" i="36"/>
  <c r="AX40" i="36"/>
  <c r="BP40" i="36" s="1"/>
  <c r="AU45" i="36" s="1" a="1"/>
  <c r="AU45" i="36" s="1"/>
  <c r="AV45" i="36" s="1"/>
  <c r="CP15" i="36"/>
  <c r="CP20" i="36" s="1"/>
  <c r="AO1" i="36"/>
  <c r="AO25" i="36" s="1"/>
  <c r="CP4" i="36"/>
  <c r="AY40" i="36"/>
  <c r="BA40" i="36" s="1"/>
  <c r="AO150" i="40"/>
  <c r="AX44" i="40"/>
  <c r="BP44" i="40" s="1"/>
  <c r="CP19" i="40"/>
  <c r="AQ150" i="40"/>
  <c r="AH10" i="40" s="1"/>
  <c r="AX62" i="40"/>
  <c r="BP62" i="40" s="1"/>
  <c r="CR19" i="40"/>
  <c r="AL150" i="40"/>
  <c r="CM19" i="40"/>
  <c r="AX17" i="40"/>
  <c r="BP17" i="40" s="1"/>
  <c r="AP81" i="40"/>
  <c r="AX51" i="40"/>
  <c r="BP51" i="40" s="1"/>
  <c r="CQ17" i="40"/>
  <c r="AK117" i="40"/>
  <c r="AF4" i="40" s="1"/>
  <c r="CL18" i="40"/>
  <c r="AX6" i="40"/>
  <c r="BP6" i="40" s="1"/>
  <c r="AF15" i="36"/>
  <c r="AG15" i="36" s="1"/>
  <c r="AG5" i="36" s="1"/>
  <c r="AK42" i="40"/>
  <c r="AB4" i="40" s="1"/>
  <c r="CL16" i="40"/>
  <c r="AX4" i="40"/>
  <c r="BP4" i="40" s="1"/>
  <c r="AX50" i="40"/>
  <c r="BP50" i="40" s="1"/>
  <c r="AP42" i="40"/>
  <c r="CQ16" i="40"/>
  <c r="CT19" i="36"/>
  <c r="CZ57" i="36" s="1"/>
  <c r="CZ56" i="36" s="1" a="1"/>
  <c r="CZ56" i="36" s="1"/>
  <c r="DB57" i="36" s="1"/>
  <c r="CR4" i="36"/>
  <c r="AY58" i="36"/>
  <c r="BA58" i="36" s="1"/>
  <c r="AN150" i="40"/>
  <c r="CO19" i="40"/>
  <c r="AX35" i="40"/>
  <c r="BP35" i="40" s="1"/>
  <c r="AM81" i="40"/>
  <c r="AD6" i="40" s="1"/>
  <c r="CN17" i="40"/>
  <c r="AX24" i="40"/>
  <c r="BP24" i="40" s="1"/>
  <c r="FK8" i="40" a="1"/>
  <c r="FK8" i="40" s="1"/>
  <c r="FK15" i="40" a="1"/>
  <c r="FK15" i="40" s="1"/>
  <c r="FK18" i="40" a="1"/>
  <c r="FK18" i="40" s="1"/>
  <c r="FK10" i="40" a="1"/>
  <c r="FK10" i="40" s="1"/>
  <c r="FK17" i="40" a="1"/>
  <c r="FK17" i="40" s="1"/>
  <c r="FK11" i="40" a="1"/>
  <c r="FK11" i="40" s="1"/>
  <c r="FK13" i="40" a="1"/>
  <c r="FK13" i="40" s="1"/>
  <c r="FK14" i="40" a="1"/>
  <c r="FK14" i="40" s="1"/>
  <c r="I24" i="40"/>
  <c r="X17" i="40"/>
  <c r="T17" i="40"/>
  <c r="P17" i="40"/>
  <c r="L17" i="40"/>
  <c r="W17" i="40"/>
  <c r="AQ2" i="40" s="1"/>
  <c r="R17" i="40"/>
  <c r="M17" i="40"/>
  <c r="AL2" i="40" s="1"/>
  <c r="V17" i="40"/>
  <c r="Q17" i="40"/>
  <c r="AN2" i="40" s="1"/>
  <c r="K17" i="40"/>
  <c r="AK2" i="40" s="1"/>
  <c r="U17" i="40"/>
  <c r="AP2" i="40" s="1"/>
  <c r="O17" i="40"/>
  <c r="AM2" i="40" s="1"/>
  <c r="J17" i="40"/>
  <c r="F17" i="40"/>
  <c r="AT6" i="40" s="1" a="1"/>
  <c r="AT6" i="40" s="1"/>
  <c r="Y17" i="40"/>
  <c r="S17" i="40"/>
  <c r="AO2" i="40" s="1"/>
  <c r="N17" i="40"/>
  <c r="I23" i="40"/>
  <c r="FO16" i="36"/>
  <c r="FP16" i="36"/>
  <c r="FQ16" i="36"/>
  <c r="AM117" i="40"/>
  <c r="AF6" i="40" s="1"/>
  <c r="CN18" i="40"/>
  <c r="AX25" i="40"/>
  <c r="BP25" i="40" s="1"/>
  <c r="FK9" i="40" a="1"/>
  <c r="FK9" i="40" s="1"/>
  <c r="AM42" i="40"/>
  <c r="AB6" i="40" s="1"/>
  <c r="CN16" i="40"/>
  <c r="AX23" i="40"/>
  <c r="BP23" i="40" s="1"/>
  <c r="AQ42" i="40"/>
  <c r="AB10" i="40" s="1"/>
  <c r="AX59" i="40"/>
  <c r="BP59" i="40" s="1"/>
  <c r="CR16" i="40"/>
  <c r="AX58" i="36"/>
  <c r="BP58" i="36" s="1"/>
  <c r="AU63" i="36" s="1" a="1"/>
  <c r="AU63" i="36" s="1"/>
  <c r="AV63" i="36" s="1"/>
  <c r="AQ1" i="36"/>
  <c r="AQ8" i="36" s="1"/>
  <c r="CR15" i="36"/>
  <c r="CR20" i="36" s="1"/>
  <c r="CL4" i="36"/>
  <c r="AY3" i="36"/>
  <c r="BA3" i="36" s="1"/>
  <c r="AX60" i="40"/>
  <c r="BP60" i="40" s="1"/>
  <c r="CR17" i="40"/>
  <c r="AQ81" i="40"/>
  <c r="AD10" i="40" s="1"/>
  <c r="FK7" i="40" a="1"/>
  <c r="FK7" i="40" s="1"/>
  <c r="FK16" i="40" a="1"/>
  <c r="FK16" i="40" s="1"/>
  <c r="FK12" i="40" a="1"/>
  <c r="FK12" i="40" s="1"/>
  <c r="FQ7" i="36"/>
  <c r="FP7" i="36"/>
  <c r="FO7" i="36"/>
  <c r="AN117" i="40"/>
  <c r="AX34" i="40"/>
  <c r="BP34" i="40" s="1"/>
  <c r="CO18" i="40"/>
  <c r="AL117" i="40"/>
  <c r="CM18" i="40"/>
  <c r="AX16" i="40"/>
  <c r="BP16" i="40" s="1"/>
  <c r="AO117" i="40"/>
  <c r="AX43" i="40"/>
  <c r="BP43" i="40" s="1"/>
  <c r="CP18" i="40"/>
  <c r="FQ15" i="36"/>
  <c r="FO15" i="36"/>
  <c r="FP15" i="36"/>
  <c r="AL42" i="40"/>
  <c r="CM16" i="40"/>
  <c r="AX14" i="40"/>
  <c r="BP14" i="40" s="1"/>
  <c r="AH15" i="36"/>
  <c r="AI15" i="36" s="1"/>
  <c r="AI9" i="36" s="1"/>
  <c r="CT17" i="36"/>
  <c r="CZ31" i="36" s="1"/>
  <c r="AX49" i="36"/>
  <c r="BP49" i="36" s="1"/>
  <c r="AU54" i="36" s="1" a="1"/>
  <c r="AU54" i="36" s="1"/>
  <c r="AV54" i="36" s="1"/>
  <c r="CQ15" i="36"/>
  <c r="CQ20" i="36" s="1"/>
  <c r="AP1" i="36"/>
  <c r="AP27" i="36" s="1"/>
  <c r="CL15" i="36"/>
  <c r="AX3" i="36"/>
  <c r="BP3" i="36" s="1"/>
  <c r="AU8" i="36" s="1" a="1"/>
  <c r="AU8" i="36" s="1"/>
  <c r="AV8" i="36" s="1"/>
  <c r="AK1" i="36"/>
  <c r="AK27" i="36" s="1"/>
  <c r="CO15" i="36"/>
  <c r="CO20" i="36" s="1"/>
  <c r="AN1" i="36"/>
  <c r="AN7" i="36" s="1"/>
  <c r="AX31" i="36"/>
  <c r="BP31" i="36" s="1"/>
  <c r="AU36" i="36" s="1" a="1"/>
  <c r="AU36" i="36" s="1"/>
  <c r="AV36" i="36" s="1"/>
  <c r="CQ4" i="36"/>
  <c r="AY49" i="36"/>
  <c r="BA49" i="36" s="1"/>
  <c r="AX22" i="36"/>
  <c r="BP22" i="36" s="1"/>
  <c r="AU27" i="36" s="1" a="1"/>
  <c r="AU27" i="36" s="1"/>
  <c r="AV27" i="36" s="1"/>
  <c r="AM1" i="36"/>
  <c r="AM20" i="36" s="1"/>
  <c r="CN15" i="36"/>
  <c r="CN20" i="36" s="1"/>
  <c r="AY22" i="36"/>
  <c r="BA22" i="36" s="1"/>
  <c r="CN4" i="36"/>
  <c r="AK150" i="40"/>
  <c r="AH4" i="40" s="1"/>
  <c r="AX7" i="40"/>
  <c r="BP7" i="40" s="1"/>
  <c r="CL19" i="40"/>
  <c r="AM150" i="40"/>
  <c r="AH6" i="40" s="1"/>
  <c r="CN19" i="40"/>
  <c r="AX26" i="40"/>
  <c r="BP26" i="40" s="1"/>
  <c r="AK81" i="40"/>
  <c r="AD4" i="40" s="1"/>
  <c r="CL17" i="40"/>
  <c r="AX5" i="40"/>
  <c r="BP5" i="40" s="1"/>
  <c r="AO81" i="40"/>
  <c r="AX42" i="40"/>
  <c r="BP42" i="40" s="1"/>
  <c r="CP17" i="40"/>
  <c r="AN81" i="40"/>
  <c r="AX33" i="40"/>
  <c r="BP33" i="40" s="1"/>
  <c r="CO17" i="40"/>
  <c r="AP117" i="40"/>
  <c r="AX52" i="40"/>
  <c r="BP52" i="40" s="1"/>
  <c r="CQ18" i="40"/>
  <c r="AQ117" i="40"/>
  <c r="AF10" i="40" s="1"/>
  <c r="CR18" i="40"/>
  <c r="AX61" i="40"/>
  <c r="BP61" i="40" s="1"/>
  <c r="CT18" i="36"/>
  <c r="CZ44" i="36" s="1"/>
  <c r="CZ43" i="36" s="1" a="1"/>
  <c r="CZ43" i="36" s="1"/>
  <c r="DB44" i="36" s="1"/>
  <c r="AX41" i="40"/>
  <c r="BP41" i="40" s="1"/>
  <c r="CP16" i="40"/>
  <c r="AO42" i="40"/>
  <c r="AN42" i="40"/>
  <c r="AX32" i="40"/>
  <c r="BP32" i="40" s="1"/>
  <c r="CO16" i="40"/>
  <c r="AD15" i="36"/>
  <c r="AE15" i="36" s="1"/>
  <c r="AE5" i="36" s="1"/>
  <c r="AP4" i="36" l="1"/>
  <c r="E17" i="40" a="1"/>
  <c r="CY27" i="40" s="1"/>
  <c r="CX27" i="40" s="1"/>
  <c r="AC5" i="36"/>
  <c r="AG8" i="36"/>
  <c r="AC9" i="36"/>
  <c r="AD15" i="40"/>
  <c r="AE15" i="40" s="1"/>
  <c r="AM11" i="36"/>
  <c r="I22" i="40"/>
  <c r="AJ3" i="40" s="1"/>
  <c r="AP13" i="36"/>
  <c r="AG9" i="36"/>
  <c r="AO30" i="36"/>
  <c r="AO6" i="36"/>
  <c r="AH15" i="40"/>
  <c r="AI15" i="40" s="1"/>
  <c r="AI7" i="40" s="1"/>
  <c r="AP12" i="36"/>
  <c r="AO14" i="36"/>
  <c r="AM25" i="36"/>
  <c r="AM30" i="36"/>
  <c r="AP28" i="36"/>
  <c r="AO7" i="36"/>
  <c r="AO24" i="36"/>
  <c r="AM24" i="36"/>
  <c r="AM29" i="36"/>
  <c r="AP5" i="36"/>
  <c r="AP29" i="36"/>
  <c r="AO13" i="36"/>
  <c r="AO23" i="36"/>
  <c r="CT19" i="40"/>
  <c r="CZ57" i="40" s="1"/>
  <c r="CZ56" i="40" s="1" a="1"/>
  <c r="CZ56" i="40" s="1"/>
  <c r="DB57" i="40" s="1"/>
  <c r="CY62" i="40" s="1" a="1"/>
  <c r="CY62" i="40" s="1"/>
  <c r="AO8" i="36"/>
  <c r="AO5" i="36"/>
  <c r="AO28" i="36"/>
  <c r="AO27" i="36"/>
  <c r="AM21" i="36"/>
  <c r="AM6" i="36"/>
  <c r="AM7" i="36"/>
  <c r="AM12" i="36"/>
  <c r="AP11" i="36"/>
  <c r="AP7" i="36"/>
  <c r="AP9" i="36"/>
  <c r="AP20" i="36"/>
  <c r="AE9" i="36"/>
  <c r="CT17" i="40"/>
  <c r="CZ31" i="40" s="1"/>
  <c r="CZ30" i="40" s="1" a="1"/>
  <c r="CZ30" i="40" s="1"/>
  <c r="DB31" i="40" s="1"/>
  <c r="AM10" i="36"/>
  <c r="AM26" i="36"/>
  <c r="AM9" i="36"/>
  <c r="AM4" i="36"/>
  <c r="AM23" i="36"/>
  <c r="BO22" i="36"/>
  <c r="BC22" i="36"/>
  <c r="AP25" i="36"/>
  <c r="AP26" i="36"/>
  <c r="AP21" i="36"/>
  <c r="AP8" i="36"/>
  <c r="AP10" i="36"/>
  <c r="AP22" i="36"/>
  <c r="CL20" i="36"/>
  <c r="CT15" i="36"/>
  <c r="CZ5" i="36" s="1"/>
  <c r="FN7" i="40" a="1"/>
  <c r="FN7" i="40" s="1"/>
  <c r="FM7" i="40"/>
  <c r="BC3" i="36"/>
  <c r="BO3" i="36"/>
  <c r="AK5" i="36"/>
  <c r="AK6" i="36"/>
  <c r="AK14" i="36"/>
  <c r="AK30" i="36"/>
  <c r="AK24" i="36"/>
  <c r="AJ3" i="36"/>
  <c r="AC3" i="36"/>
  <c r="AI3" i="36"/>
  <c r="AT2" i="36" a="1"/>
  <c r="AT2" i="36" s="1"/>
  <c r="AG3" i="36"/>
  <c r="AE3" i="36"/>
  <c r="FN9" i="40" a="1"/>
  <c r="FN9" i="40" s="1"/>
  <c r="FM9" i="40"/>
  <c r="AY40" i="40"/>
  <c r="BA40" i="40" s="1"/>
  <c r="CP4" i="40"/>
  <c r="AY22" i="40"/>
  <c r="BA22" i="40" s="1"/>
  <c r="CN4" i="40"/>
  <c r="AX58" i="40"/>
  <c r="BP58" i="40" s="1"/>
  <c r="AU63" i="40" s="1" a="1"/>
  <c r="AU63" i="40" s="1"/>
  <c r="AV63" i="40" s="1"/>
  <c r="CR15" i="40"/>
  <c r="CR20" i="40" s="1"/>
  <c r="AQ1" i="40"/>
  <c r="AQ26" i="40" s="1"/>
  <c r="CM15" i="40"/>
  <c r="CM20" i="40" s="1"/>
  <c r="AX13" i="40"/>
  <c r="BP13" i="40" s="1"/>
  <c r="AU18" i="40" s="1" a="1"/>
  <c r="AU18" i="40" s="1"/>
  <c r="AV18" i="40" s="1"/>
  <c r="AL1" i="40"/>
  <c r="AL27" i="40" s="1"/>
  <c r="FM11" i="40"/>
  <c r="FN11" i="40" a="1"/>
  <c r="FN11" i="40" s="1"/>
  <c r="FN15" i="40" a="1"/>
  <c r="FN15" i="40" s="1"/>
  <c r="FM15" i="40"/>
  <c r="AQ13" i="36"/>
  <c r="AQ14" i="36"/>
  <c r="AQ5" i="36"/>
  <c r="BO58" i="36"/>
  <c r="BC58" i="36"/>
  <c r="AQ21" i="36"/>
  <c r="AQ12" i="36"/>
  <c r="AI5" i="36"/>
  <c r="AF15" i="40"/>
  <c r="AG15" i="40" s="1"/>
  <c r="AG7" i="40" s="1"/>
  <c r="BO40" i="36"/>
  <c r="BC40" i="36"/>
  <c r="AO29" i="36"/>
  <c r="AO10" i="36"/>
  <c r="AO22" i="36"/>
  <c r="AO21" i="36"/>
  <c r="AO26" i="36"/>
  <c r="AN22" i="36"/>
  <c r="AN10" i="36"/>
  <c r="AN11" i="36"/>
  <c r="AN25" i="36"/>
  <c r="AN29" i="36"/>
  <c r="AL29" i="36"/>
  <c r="AL23" i="36"/>
  <c r="AL26" i="36"/>
  <c r="AL6" i="36"/>
  <c r="AL14" i="36"/>
  <c r="AL30" i="36"/>
  <c r="AK8" i="36"/>
  <c r="AK7" i="36"/>
  <c r="AK9" i="36"/>
  <c r="AK20" i="36"/>
  <c r="AK11" i="36"/>
  <c r="AK25" i="36"/>
  <c r="AI8" i="36"/>
  <c r="AY49" i="40"/>
  <c r="BA49" i="40" s="1"/>
  <c r="CQ4" i="40"/>
  <c r="CM4" i="40"/>
  <c r="AY13" i="40"/>
  <c r="BA13" i="40" s="1"/>
  <c r="AX31" i="40"/>
  <c r="BP31" i="40" s="1"/>
  <c r="AU36" i="40" s="1" a="1"/>
  <c r="AU36" i="40" s="1"/>
  <c r="AV36" i="40" s="1"/>
  <c r="CO15" i="40"/>
  <c r="CO20" i="40" s="1"/>
  <c r="AN1" i="40"/>
  <c r="AN20" i="40" s="1"/>
  <c r="FN17" i="40" a="1"/>
  <c r="FN17" i="40" s="1"/>
  <c r="FM17" i="40"/>
  <c r="FN8" i="40" a="1"/>
  <c r="FN8" i="40" s="1"/>
  <c r="FM8" i="40"/>
  <c r="AQ24" i="36"/>
  <c r="AQ23" i="36"/>
  <c r="AQ22" i="36"/>
  <c r="AQ20" i="36"/>
  <c r="AQ4" i="36"/>
  <c r="AQ7" i="36"/>
  <c r="DB60" i="36"/>
  <c r="DB59" i="36" s="1"/>
  <c r="CY54" i="36"/>
  <c r="CY62" i="36" a="1"/>
  <c r="CY62" i="36" s="1"/>
  <c r="CT16" i="40"/>
  <c r="CZ18" i="40" s="1"/>
  <c r="CZ17" i="40" s="1" a="1"/>
  <c r="CZ17" i="40" s="1"/>
  <c r="DB18" i="40" s="1"/>
  <c r="AN20" i="36"/>
  <c r="AN13" i="36"/>
  <c r="AN30" i="36"/>
  <c r="BO31" i="36"/>
  <c r="BC31" i="36"/>
  <c r="AN21" i="36"/>
  <c r="AN26" i="36"/>
  <c r="AL5" i="36"/>
  <c r="AL24" i="36"/>
  <c r="AL25" i="36"/>
  <c r="AL8" i="36"/>
  <c r="AL9" i="36"/>
  <c r="AL20" i="36"/>
  <c r="AM14" i="36"/>
  <c r="AM5" i="36"/>
  <c r="AM27" i="36"/>
  <c r="AM13" i="36"/>
  <c r="AM28" i="36"/>
  <c r="AM8" i="36"/>
  <c r="BO49" i="36"/>
  <c r="BC49" i="36"/>
  <c r="AP24" i="36"/>
  <c r="AP6" i="36"/>
  <c r="AP14" i="36"/>
  <c r="AP30" i="36"/>
  <c r="FN12" i="40" a="1"/>
  <c r="FN12" i="40" s="1"/>
  <c r="FM12" i="40"/>
  <c r="AK4" i="36"/>
  <c r="AK12" i="36"/>
  <c r="AK10" i="36"/>
  <c r="AK22" i="36"/>
  <c r="AK21" i="36"/>
  <c r="AK26" i="36"/>
  <c r="AY3" i="40"/>
  <c r="BA3" i="40" s="1"/>
  <c r="CL4" i="40"/>
  <c r="AX40" i="40"/>
  <c r="BP40" i="40" s="1"/>
  <c r="AU45" i="40" s="1" a="1"/>
  <c r="AU45" i="40" s="1"/>
  <c r="AV45" i="40" s="1"/>
  <c r="CP15" i="40"/>
  <c r="CP20" i="40" s="1"/>
  <c r="AO1" i="40"/>
  <c r="AO24" i="40" s="1"/>
  <c r="AX49" i="40"/>
  <c r="BP49" i="40" s="1"/>
  <c r="AU54" i="40" s="1" a="1"/>
  <c r="AU54" i="40" s="1"/>
  <c r="AV54" i="40" s="1"/>
  <c r="CQ15" i="40"/>
  <c r="CQ20" i="40" s="1"/>
  <c r="AP1" i="40"/>
  <c r="AP29" i="40" s="1"/>
  <c r="FN14" i="40" a="1"/>
  <c r="FN14" i="40" s="1"/>
  <c r="FM14" i="40"/>
  <c r="FN10" i="40" a="1"/>
  <c r="FN10" i="40" s="1"/>
  <c r="FM10" i="40"/>
  <c r="AE8" i="36"/>
  <c r="AQ27" i="36"/>
  <c r="AQ10" i="36"/>
  <c r="AQ26" i="36"/>
  <c r="AQ25" i="36"/>
  <c r="AQ29" i="36"/>
  <c r="AB15" i="40"/>
  <c r="AC15" i="40" s="1"/>
  <c r="AC7" i="40" s="1"/>
  <c r="AN12" i="36"/>
  <c r="AN28" i="36"/>
  <c r="AN5" i="36"/>
  <c r="AN8" i="36"/>
  <c r="AN23" i="36"/>
  <c r="AN27" i="36"/>
  <c r="AL7" i="36"/>
  <c r="AL4" i="36"/>
  <c r="AL27" i="36"/>
  <c r="AL12" i="36"/>
  <c r="AL10" i="36"/>
  <c r="AL22" i="36"/>
  <c r="DB47" i="36"/>
  <c r="DB46" i="36" s="1"/>
  <c r="CY41" i="36"/>
  <c r="CY49" i="36" a="1"/>
  <c r="CY49" i="36" s="1"/>
  <c r="AM22" i="36"/>
  <c r="AP23" i="36"/>
  <c r="FM16" i="40"/>
  <c r="FN16" i="40" a="1"/>
  <c r="FN16" i="40" s="1"/>
  <c r="CS4" i="36"/>
  <c r="DB1" i="36" s="1"/>
  <c r="AK29" i="36"/>
  <c r="AK13" i="36"/>
  <c r="AK28" i="36"/>
  <c r="AK23" i="36"/>
  <c r="AX22" i="40"/>
  <c r="BP22" i="40" s="1"/>
  <c r="AU27" i="40" s="1" a="1"/>
  <c r="AU27" i="40" s="1"/>
  <c r="AV27" i="40" s="1"/>
  <c r="CN15" i="40"/>
  <c r="CN20" i="40" s="1"/>
  <c r="AM1" i="40"/>
  <c r="AM24" i="40" s="1"/>
  <c r="CL15" i="40"/>
  <c r="AK1" i="40"/>
  <c r="AK27" i="40" s="1"/>
  <c r="AX3" i="40"/>
  <c r="BP3" i="40" s="1"/>
  <c r="AU8" i="40" s="1" a="1"/>
  <c r="AU8" i="40" s="1"/>
  <c r="AV8" i="40" s="1"/>
  <c r="AY31" i="40"/>
  <c r="BA31" i="40" s="1"/>
  <c r="CO4" i="40"/>
  <c r="AY58" i="40"/>
  <c r="BA58" i="40" s="1"/>
  <c r="CR4" i="40"/>
  <c r="FN13" i="40" a="1"/>
  <c r="FN13" i="40" s="1"/>
  <c r="FM13" i="40"/>
  <c r="FN18" i="40" a="1"/>
  <c r="FN18" i="40" s="1"/>
  <c r="FM18" i="40"/>
  <c r="AQ9" i="36"/>
  <c r="AQ11" i="36"/>
  <c r="AQ30" i="36"/>
  <c r="AQ28" i="36"/>
  <c r="AQ6" i="36"/>
  <c r="CT18" i="40"/>
  <c r="CZ44" i="40" s="1"/>
  <c r="CZ43" i="40" s="1" a="1"/>
  <c r="CZ43" i="40" s="1"/>
  <c r="DB44" i="40" s="1"/>
  <c r="AO4" i="36"/>
  <c r="AO12" i="36"/>
  <c r="AO9" i="36"/>
  <c r="AO20" i="36"/>
  <c r="AO11" i="36"/>
  <c r="AN4" i="36"/>
  <c r="AN14" i="36"/>
  <c r="AN6" i="36"/>
  <c r="AN9" i="36"/>
  <c r="AN24" i="36"/>
  <c r="AL21" i="36"/>
  <c r="AL11" i="36"/>
  <c r="BC13" i="36"/>
  <c r="BO13" i="36"/>
  <c r="AL13" i="36"/>
  <c r="AY5" i="27" l="1"/>
  <c r="DB60" i="40"/>
  <c r="DB59" i="40" s="1"/>
  <c r="AQ10" i="40"/>
  <c r="AQ28" i="40"/>
  <c r="AQ12" i="40"/>
  <c r="AQ7" i="40"/>
  <c r="AQ30" i="40"/>
  <c r="CR9" i="40" s="1"/>
  <c r="AQ6" i="40"/>
  <c r="AQ13" i="40"/>
  <c r="AQ24" i="40"/>
  <c r="AT2" i="40" a="1"/>
  <c r="AT2" i="40" s="1"/>
  <c r="AT39" i="40" s="1"/>
  <c r="AQ4" i="40"/>
  <c r="AQ29" i="40"/>
  <c r="AQ22" i="40"/>
  <c r="AQ25" i="40"/>
  <c r="AQ8" i="40"/>
  <c r="AQ14" i="40"/>
  <c r="AQ23" i="40"/>
  <c r="AE3" i="40"/>
  <c r="AM33" i="40" s="1"/>
  <c r="AQ27" i="40"/>
  <c r="AI3" i="40"/>
  <c r="AN35" i="40" s="1"/>
  <c r="AG3" i="40"/>
  <c r="AN34" i="40" s="1"/>
  <c r="AI8" i="40"/>
  <c r="AL8" i="40"/>
  <c r="AN26" i="40"/>
  <c r="AN12" i="40"/>
  <c r="AL25" i="40"/>
  <c r="CY16" i="40"/>
  <c r="CX16" i="40" s="1"/>
  <c r="E17" i="40"/>
  <c r="CY1" i="40" s="1"/>
  <c r="CX1" i="40" s="1"/>
  <c r="CY42" i="40"/>
  <c r="CX42" i="40" s="1"/>
  <c r="CY55" i="40"/>
  <c r="CX55" i="40" s="1"/>
  <c r="AN6" i="40"/>
  <c r="AC3" i="40"/>
  <c r="AM32" i="40" s="1"/>
  <c r="AN27" i="40"/>
  <c r="AN9" i="40"/>
  <c r="AI5" i="40"/>
  <c r="AQ5" i="40"/>
  <c r="AQ11" i="40"/>
  <c r="AQ9" i="40"/>
  <c r="AQ20" i="40"/>
  <c r="AQ21" i="40"/>
  <c r="AG8" i="40"/>
  <c r="AL9" i="40"/>
  <c r="AL28" i="40"/>
  <c r="AN5" i="40"/>
  <c r="AN28" i="40"/>
  <c r="AG5" i="40"/>
  <c r="AL22" i="40"/>
  <c r="AE9" i="40"/>
  <c r="AE8" i="40"/>
  <c r="AE7" i="40"/>
  <c r="AE5" i="40"/>
  <c r="AN14" i="40"/>
  <c r="AN21" i="40"/>
  <c r="AO31" i="36"/>
  <c r="AN4" i="40"/>
  <c r="AN10" i="40"/>
  <c r="AN7" i="40"/>
  <c r="AN22" i="40"/>
  <c r="AN11" i="40"/>
  <c r="AN23" i="40"/>
  <c r="AN8" i="40"/>
  <c r="AN30" i="40"/>
  <c r="CO9" i="40" s="1"/>
  <c r="AL13" i="40"/>
  <c r="AL26" i="40"/>
  <c r="CY54" i="40"/>
  <c r="AI9" i="40"/>
  <c r="AG9" i="40"/>
  <c r="AL4" i="40"/>
  <c r="AL6" i="40"/>
  <c r="AL11" i="40"/>
  <c r="AL24" i="40"/>
  <c r="AP7" i="40"/>
  <c r="AP10" i="40"/>
  <c r="AP27" i="40"/>
  <c r="AP5" i="40"/>
  <c r="AP13" i="40"/>
  <c r="AP21" i="40"/>
  <c r="AL5" i="40"/>
  <c r="AL30" i="40"/>
  <c r="CM9" i="40" s="1"/>
  <c r="AL14" i="40"/>
  <c r="AL21" i="40"/>
  <c r="AL29" i="40"/>
  <c r="AP22" i="40"/>
  <c r="AP23" i="40"/>
  <c r="AO15" i="36"/>
  <c r="AP4" i="40"/>
  <c r="AP6" i="40"/>
  <c r="AP11" i="40"/>
  <c r="AP26" i="40"/>
  <c r="AP15" i="36"/>
  <c r="AM31" i="36"/>
  <c r="AP12" i="40"/>
  <c r="AP28" i="40"/>
  <c r="AP14" i="40"/>
  <c r="AP25" i="40"/>
  <c r="AK14" i="40"/>
  <c r="AK13" i="40"/>
  <c r="AK9" i="40"/>
  <c r="AK21" i="40"/>
  <c r="AK25" i="40"/>
  <c r="AR12" i="36"/>
  <c r="CY41" i="40"/>
  <c r="CY49" i="40" a="1"/>
  <c r="CY49" i="40" s="1"/>
  <c r="DB47" i="40"/>
  <c r="DB46" i="40" s="1"/>
  <c r="DB3" i="36"/>
  <c r="DB2" i="36"/>
  <c r="AL15" i="36"/>
  <c r="FO14" i="40"/>
  <c r="FQ14" i="40"/>
  <c r="FP14" i="40"/>
  <c r="AK5" i="40"/>
  <c r="AK12" i="40"/>
  <c r="AK22" i="40"/>
  <c r="AC5" i="40"/>
  <c r="AQ31" i="36"/>
  <c r="BL13" i="36"/>
  <c r="BD13" i="36"/>
  <c r="AN15" i="36"/>
  <c r="FQ13" i="40"/>
  <c r="FP13" i="40"/>
  <c r="FO13" i="40"/>
  <c r="BO58" i="40"/>
  <c r="AT63" i="40" s="1" a="1"/>
  <c r="AT63" i="40" s="1"/>
  <c r="BC58" i="40"/>
  <c r="AN13" i="40"/>
  <c r="AN25" i="40"/>
  <c r="AN29" i="40"/>
  <c r="AN24" i="40"/>
  <c r="BO31" i="40"/>
  <c r="AT36" i="40" s="1" a="1"/>
  <c r="AT36" i="40" s="1"/>
  <c r="BC31" i="40"/>
  <c r="AC9" i="40"/>
  <c r="AK4" i="40"/>
  <c r="AK10" i="40"/>
  <c r="AK23" i="40"/>
  <c r="AK26" i="40"/>
  <c r="AK28" i="40"/>
  <c r="AK30" i="40"/>
  <c r="CL9" i="40" s="1"/>
  <c r="AL31" i="36"/>
  <c r="CY23" i="40" a="1"/>
  <c r="CY23" i="40" s="1"/>
  <c r="DB21" i="40"/>
  <c r="DB20" i="40" s="1"/>
  <c r="CY15" i="40"/>
  <c r="CY14" i="40"/>
  <c r="FQ8" i="40"/>
  <c r="FP8" i="40"/>
  <c r="FO8" i="40"/>
  <c r="AL7" i="40"/>
  <c r="AL12" i="40"/>
  <c r="AL10" i="40"/>
  <c r="AL20" i="40"/>
  <c r="AL23" i="40"/>
  <c r="AP8" i="40"/>
  <c r="AP20" i="40"/>
  <c r="AP9" i="40"/>
  <c r="AP30" i="40"/>
  <c r="CQ9" i="40" s="1"/>
  <c r="AP24" i="40"/>
  <c r="AR9" i="36"/>
  <c r="AP19" i="36" s="1"/>
  <c r="BL40" i="36"/>
  <c r="BD40" i="36"/>
  <c r="AM4" i="40"/>
  <c r="AM7" i="40"/>
  <c r="AM10" i="40"/>
  <c r="AM29" i="40"/>
  <c r="AM30" i="40"/>
  <c r="CN9" i="40" s="1"/>
  <c r="AM25" i="40"/>
  <c r="AO12" i="40"/>
  <c r="AO4" i="40"/>
  <c r="AO14" i="40"/>
  <c r="AO25" i="40"/>
  <c r="AO23" i="40"/>
  <c r="AO26" i="40"/>
  <c r="FQ9" i="40"/>
  <c r="FP9" i="40"/>
  <c r="FO9" i="40"/>
  <c r="BD22" i="36"/>
  <c r="BL22" i="36"/>
  <c r="AC8" i="40"/>
  <c r="AR13" i="36"/>
  <c r="FP16" i="40"/>
  <c r="FQ16" i="40"/>
  <c r="FO16" i="40"/>
  <c r="FQ10" i="40"/>
  <c r="FO10" i="40"/>
  <c r="FP10" i="40"/>
  <c r="BO3" i="40"/>
  <c r="AT8" i="40" s="1" a="1"/>
  <c r="AT8" i="40" s="1"/>
  <c r="BC3" i="40"/>
  <c r="AK8" i="40"/>
  <c r="AK6" i="40"/>
  <c r="AK11" i="40"/>
  <c r="AK7" i="40"/>
  <c r="AK29" i="40"/>
  <c r="AR10" i="36"/>
  <c r="FQ12" i="40"/>
  <c r="FP12" i="40"/>
  <c r="FO12" i="40"/>
  <c r="BL49" i="36"/>
  <c r="BD49" i="36"/>
  <c r="BL31" i="36"/>
  <c r="BD31" i="36"/>
  <c r="AN31" i="36"/>
  <c r="BO49" i="40"/>
  <c r="AT54" i="40" s="1" a="1"/>
  <c r="AT54" i="40" s="1"/>
  <c r="BC49" i="40"/>
  <c r="AJ119" i="40"/>
  <c r="AJ83" i="40"/>
  <c r="AJ44" i="40"/>
  <c r="AR7" i="36"/>
  <c r="AM8" i="40"/>
  <c r="AM13" i="40"/>
  <c r="AM20" i="40"/>
  <c r="AM21" i="40"/>
  <c r="AM26" i="40"/>
  <c r="AO5" i="40"/>
  <c r="AO8" i="40"/>
  <c r="AO20" i="40"/>
  <c r="AO27" i="40"/>
  <c r="AO7" i="40"/>
  <c r="AO29" i="40"/>
  <c r="AR14" i="36"/>
  <c r="BD3" i="36"/>
  <c r="BL3" i="36"/>
  <c r="AK20" i="40"/>
  <c r="FQ17" i="40"/>
  <c r="FP17" i="40"/>
  <c r="FO17" i="40"/>
  <c r="BO13" i="40"/>
  <c r="AT18" i="40" s="1" a="1"/>
  <c r="AT18" i="40" s="1"/>
  <c r="BC13" i="40"/>
  <c r="AR11" i="36"/>
  <c r="AR8" i="36"/>
  <c r="FO15" i="40"/>
  <c r="FQ15" i="40"/>
  <c r="FP15" i="40"/>
  <c r="AM6" i="40"/>
  <c r="AM12" i="40"/>
  <c r="AM14" i="40"/>
  <c r="AM22" i="40"/>
  <c r="AM23" i="40"/>
  <c r="AM27" i="40"/>
  <c r="AO6" i="40"/>
  <c r="AO10" i="40"/>
  <c r="AO30" i="40"/>
  <c r="CP9" i="40" s="1"/>
  <c r="AO21" i="40"/>
  <c r="BC40" i="40"/>
  <c r="BO40" i="40"/>
  <c r="AT45" i="40" s="1" a="1"/>
  <c r="AT45" i="40" s="1"/>
  <c r="AJ83" i="36"/>
  <c r="AJ119" i="36"/>
  <c r="AJ44" i="36"/>
  <c r="AO33" i="36"/>
  <c r="AK33" i="36"/>
  <c r="AO34" i="36"/>
  <c r="AN35" i="36"/>
  <c r="AN34" i="36"/>
  <c r="AO32" i="36"/>
  <c r="AK34" i="36"/>
  <c r="AL32" i="36"/>
  <c r="AM35" i="36"/>
  <c r="AM34" i="36"/>
  <c r="AL34" i="36"/>
  <c r="AK35" i="36"/>
  <c r="AN32" i="36"/>
  <c r="AP35" i="36"/>
  <c r="AP32" i="36"/>
  <c r="AL33" i="36"/>
  <c r="AP33" i="36"/>
  <c r="AQ34" i="36"/>
  <c r="AQ33" i="36"/>
  <c r="AQ35" i="36"/>
  <c r="AL35" i="36"/>
  <c r="AM33" i="36"/>
  <c r="AN33" i="36"/>
  <c r="AP34" i="36"/>
  <c r="AO35" i="36"/>
  <c r="AQ32" i="36"/>
  <c r="AM32" i="36"/>
  <c r="AK32" i="36"/>
  <c r="AR6" i="36"/>
  <c r="AP31" i="36"/>
  <c r="FO18" i="40"/>
  <c r="FQ18" i="40"/>
  <c r="FP18" i="40"/>
  <c r="AQ15" i="36"/>
  <c r="CL20" i="40"/>
  <c r="CT15" i="40"/>
  <c r="CZ5" i="40" s="1"/>
  <c r="CS4" i="40"/>
  <c r="DB1" i="40" s="1"/>
  <c r="AK24" i="40"/>
  <c r="AK15" i="36"/>
  <c r="AR4" i="36"/>
  <c r="AK31" i="36"/>
  <c r="BD58" i="36"/>
  <c r="BL58" i="36"/>
  <c r="FP11" i="40"/>
  <c r="FO11" i="40"/>
  <c r="FQ11" i="40"/>
  <c r="AM5" i="40"/>
  <c r="AM11" i="40"/>
  <c r="AM9" i="40"/>
  <c r="BO22" i="40"/>
  <c r="AT27" i="40" s="1" a="1"/>
  <c r="AT27" i="40" s="1"/>
  <c r="BC22" i="40"/>
  <c r="AM28" i="40"/>
  <c r="AO9" i="40"/>
  <c r="AO22" i="40"/>
  <c r="AO13" i="40"/>
  <c r="AO28" i="40"/>
  <c r="AO11" i="40"/>
  <c r="AT48" i="36"/>
  <c r="AT21" i="36"/>
  <c r="AT57" i="36"/>
  <c r="AT30" i="36"/>
  <c r="AT12" i="36"/>
  <c r="AW2" i="36"/>
  <c r="AT39" i="36"/>
  <c r="AV2" i="36"/>
  <c r="AU2" i="36"/>
  <c r="AR5" i="36"/>
  <c r="FQ7" i="40"/>
  <c r="FP7" i="40"/>
  <c r="FO7" i="40"/>
  <c r="AM15" i="36"/>
  <c r="CY36" i="40" a="1"/>
  <c r="CY36" i="40" s="1"/>
  <c r="DB34" i="40"/>
  <c r="DB33" i="40" s="1"/>
  <c r="CY29" i="40"/>
  <c r="AU2" i="40" l="1"/>
  <c r="AT21" i="40"/>
  <c r="AW21" i="40" s="1"/>
  <c r="AP33" i="40"/>
  <c r="CQ5" i="40" s="1"/>
  <c r="AP34" i="40"/>
  <c r="AP35" i="40"/>
  <c r="AO35" i="40"/>
  <c r="AQ34" i="40"/>
  <c r="AK34" i="40"/>
  <c r="AM34" i="40"/>
  <c r="AQ35" i="40"/>
  <c r="AM35" i="40"/>
  <c r="AK35" i="40"/>
  <c r="AK33" i="40"/>
  <c r="CL5" i="40" s="1"/>
  <c r="AV2" i="40"/>
  <c r="AT57" i="40"/>
  <c r="AW57" i="40" s="1"/>
  <c r="AK32" i="40"/>
  <c r="AQ33" i="40"/>
  <c r="CR5" i="40" s="1"/>
  <c r="AL33" i="40"/>
  <c r="CM5" i="40" s="1"/>
  <c r="AT30" i="40"/>
  <c r="AV30" i="40" s="1"/>
  <c r="AT48" i="40"/>
  <c r="AW48" i="40" s="1"/>
  <c r="AN33" i="40"/>
  <c r="AW2" i="40"/>
  <c r="AT12" i="40"/>
  <c r="AU12" i="40" s="1"/>
  <c r="AO33" i="40"/>
  <c r="CP5" i="40" s="1"/>
  <c r="AO34" i="40"/>
  <c r="AQ31" i="40"/>
  <c r="AO32" i="40"/>
  <c r="AL35" i="40"/>
  <c r="AQ32" i="40"/>
  <c r="AN32" i="40"/>
  <c r="AL34" i="40"/>
  <c r="AQ15" i="40"/>
  <c r="AP32" i="40"/>
  <c r="AL32" i="40"/>
  <c r="AN15" i="40"/>
  <c r="AL15" i="40"/>
  <c r="AN31" i="40"/>
  <c r="AP15" i="40"/>
  <c r="AP39" i="36"/>
  <c r="AV12" i="36"/>
  <c r="AU12" i="36"/>
  <c r="AW12" i="36"/>
  <c r="AQ112" i="36"/>
  <c r="AM111" i="36"/>
  <c r="AK96" i="36"/>
  <c r="AN112" i="36"/>
  <c r="AO112" i="36"/>
  <c r="AQ111" i="36"/>
  <c r="AL112" i="36"/>
  <c r="AN111" i="36"/>
  <c r="AO111" i="36"/>
  <c r="AP112" i="36"/>
  <c r="AL111" i="36"/>
  <c r="AK112" i="36"/>
  <c r="AP111" i="36"/>
  <c r="AK111" i="36"/>
  <c r="AM112" i="36"/>
  <c r="AV39" i="36"/>
  <c r="AU39" i="36"/>
  <c r="AW39" i="36"/>
  <c r="AM17" i="36"/>
  <c r="AM37" i="36" s="1"/>
  <c r="AM18" i="36"/>
  <c r="AM38" i="36" s="1"/>
  <c r="AM16" i="36"/>
  <c r="AM36" i="36" s="1"/>
  <c r="AM19" i="36"/>
  <c r="AM39" i="36" s="1"/>
  <c r="AO19" i="36"/>
  <c r="AO39" i="36" s="1"/>
  <c r="AO17" i="36"/>
  <c r="AO37" i="36" s="1"/>
  <c r="AO16" i="36"/>
  <c r="AO36" i="36" s="1"/>
  <c r="AO18" i="36"/>
  <c r="AO38" i="36" s="1"/>
  <c r="AL18" i="36"/>
  <c r="AL38" i="36" s="1"/>
  <c r="AL19" i="36"/>
  <c r="AL39" i="36" s="1"/>
  <c r="AL17" i="36"/>
  <c r="AL37" i="36" s="1"/>
  <c r="AL16" i="36"/>
  <c r="AL36" i="36" s="1"/>
  <c r="AW21" i="36"/>
  <c r="AV21" i="36"/>
  <c r="AU21" i="36"/>
  <c r="BL22" i="40"/>
  <c r="BD22" i="40"/>
  <c r="DB2" i="40"/>
  <c r="DB3" i="40"/>
  <c r="AR32" i="36"/>
  <c r="AR35" i="36"/>
  <c r="BD40" i="40"/>
  <c r="BL40" i="40"/>
  <c r="BI3" i="36"/>
  <c r="BE3" i="36"/>
  <c r="BF3" i="36" s="1"/>
  <c r="BH3" i="36"/>
  <c r="BG3" i="36"/>
  <c r="AK73" i="40"/>
  <c r="AM73" i="40"/>
  <c r="AO73" i="40"/>
  <c r="AO58" i="40"/>
  <c r="AO57" i="40"/>
  <c r="AK59" i="40"/>
  <c r="AL57" i="40"/>
  <c r="AL74" i="40"/>
  <c r="AL75" i="40"/>
  <c r="AN58" i="40"/>
  <c r="AN59" i="40"/>
  <c r="AM74" i="40"/>
  <c r="AK75" i="40"/>
  <c r="AK57" i="40"/>
  <c r="AL59" i="40"/>
  <c r="AL58" i="40"/>
  <c r="AN75" i="40"/>
  <c r="AN74" i="40"/>
  <c r="AM59" i="40"/>
  <c r="AM57" i="40"/>
  <c r="AO75" i="40"/>
  <c r="AO59" i="40"/>
  <c r="AK74" i="40"/>
  <c r="AK58" i="40"/>
  <c r="AL73" i="40"/>
  <c r="AN73" i="40"/>
  <c r="AN57" i="40"/>
  <c r="AM58" i="40"/>
  <c r="AM75" i="40"/>
  <c r="AO74" i="40"/>
  <c r="AP57" i="40"/>
  <c r="AP75" i="40"/>
  <c r="AP58" i="40"/>
  <c r="AP74" i="40"/>
  <c r="AQ59" i="40"/>
  <c r="AP73" i="40"/>
  <c r="AQ58" i="40"/>
  <c r="AP59" i="40"/>
  <c r="AQ74" i="40"/>
  <c r="AQ73" i="40"/>
  <c r="AQ57" i="40"/>
  <c r="AQ75" i="40"/>
  <c r="AR7" i="40"/>
  <c r="BD3" i="40"/>
  <c r="BL3" i="40"/>
  <c r="AP18" i="36"/>
  <c r="AP38" i="36" s="1"/>
  <c r="AP17" i="36"/>
  <c r="AP37" i="36" s="1"/>
  <c r="AP16" i="36"/>
  <c r="AP36" i="36" s="1"/>
  <c r="AP31" i="40"/>
  <c r="CS9" i="40"/>
  <c r="AR10" i="40"/>
  <c r="AR12" i="40"/>
  <c r="AR13" i="40"/>
  <c r="AW48" i="36"/>
  <c r="AU48" i="36"/>
  <c r="AV48" i="36"/>
  <c r="BH58" i="36"/>
  <c r="BG58" i="36"/>
  <c r="BE58" i="36"/>
  <c r="BF58" i="36" s="1"/>
  <c r="BI58" i="36"/>
  <c r="AR34" i="36"/>
  <c r="AQ132" i="36"/>
  <c r="AL146" i="36"/>
  <c r="AL132" i="36"/>
  <c r="AK146" i="36"/>
  <c r="AP132" i="36"/>
  <c r="AQ146" i="36"/>
  <c r="AK132" i="36"/>
  <c r="AM146" i="36"/>
  <c r="AP146" i="36"/>
  <c r="AM132" i="36"/>
  <c r="AN146" i="36"/>
  <c r="AO146" i="36"/>
  <c r="AN132" i="36"/>
  <c r="AO132" i="36"/>
  <c r="BL13" i="40"/>
  <c r="BD13" i="40"/>
  <c r="AK111" i="40"/>
  <c r="AK96" i="40"/>
  <c r="AL111" i="40"/>
  <c r="AL96" i="40"/>
  <c r="AN112" i="40"/>
  <c r="AM111" i="40"/>
  <c r="AM97" i="40"/>
  <c r="AO112" i="40"/>
  <c r="AK97" i="40"/>
  <c r="AM96" i="40"/>
  <c r="AO111" i="40"/>
  <c r="AO96" i="40"/>
  <c r="AN97" i="40"/>
  <c r="AK112" i="40"/>
  <c r="AL112" i="40"/>
  <c r="AL97" i="40"/>
  <c r="AN96" i="40"/>
  <c r="AN111" i="40"/>
  <c r="AM112" i="40"/>
  <c r="AM114" i="40" s="1"/>
  <c r="AO97" i="40"/>
  <c r="AQ111" i="40"/>
  <c r="AP112" i="40"/>
  <c r="AQ96" i="40"/>
  <c r="AP111" i="40"/>
  <c r="AQ97" i="40"/>
  <c r="AP97" i="40"/>
  <c r="AQ112" i="40"/>
  <c r="AP96" i="40"/>
  <c r="BH49" i="36"/>
  <c r="BG49" i="36"/>
  <c r="BE49" i="36"/>
  <c r="BF49" i="36" s="1"/>
  <c r="BI49" i="36"/>
  <c r="AR11" i="40"/>
  <c r="BI22" i="36"/>
  <c r="BE22" i="36"/>
  <c r="BF22" i="36" s="1"/>
  <c r="BH22" i="36"/>
  <c r="BG22" i="36"/>
  <c r="AM15" i="40"/>
  <c r="AK15" i="40"/>
  <c r="AR4" i="40"/>
  <c r="BD58" i="40"/>
  <c r="BL58" i="40"/>
  <c r="AR5" i="40"/>
  <c r="AR14" i="40"/>
  <c r="AK19" i="36"/>
  <c r="AK18" i="36"/>
  <c r="AK16" i="36"/>
  <c r="AK36" i="36" s="1"/>
  <c r="AU30" i="36"/>
  <c r="AW30" i="36"/>
  <c r="AV30" i="36"/>
  <c r="AR33" i="36"/>
  <c r="AW39" i="40"/>
  <c r="AV39" i="40"/>
  <c r="AU39" i="40"/>
  <c r="AK31" i="40"/>
  <c r="AK17" i="36"/>
  <c r="AO31" i="40"/>
  <c r="AN146" i="40"/>
  <c r="AK132" i="40"/>
  <c r="AL146" i="40"/>
  <c r="AN132" i="40"/>
  <c r="AM146" i="40"/>
  <c r="AK146" i="40"/>
  <c r="AL132" i="40"/>
  <c r="AM132" i="40"/>
  <c r="AO132" i="40"/>
  <c r="AO146" i="40"/>
  <c r="AQ146" i="40"/>
  <c r="AQ132" i="40"/>
  <c r="AP146" i="40"/>
  <c r="AP132" i="40"/>
  <c r="AQ18" i="36"/>
  <c r="AQ38" i="36" s="1"/>
  <c r="AQ16" i="36"/>
  <c r="AQ36" i="36" s="1"/>
  <c r="AQ19" i="36"/>
  <c r="AQ39" i="36" s="1"/>
  <c r="AQ17" i="36"/>
  <c r="AQ37" i="36" s="1"/>
  <c r="AR6" i="40"/>
  <c r="AO15" i="40"/>
  <c r="BH40" i="36"/>
  <c r="BG40" i="36"/>
  <c r="BI40" i="36"/>
  <c r="BE40" i="36"/>
  <c r="BF40" i="36" s="1"/>
  <c r="AV57" i="36"/>
  <c r="AU57" i="36"/>
  <c r="AW57" i="36"/>
  <c r="AM31" i="40"/>
  <c r="AN17" i="36"/>
  <c r="AN37" i="36" s="1"/>
  <c r="AN16" i="36"/>
  <c r="AN36" i="36" s="1"/>
  <c r="AN18" i="36"/>
  <c r="AN38" i="36" s="1"/>
  <c r="AN19" i="36"/>
  <c r="AN39" i="36" s="1"/>
  <c r="CN5" i="40"/>
  <c r="BD49" i="40"/>
  <c r="BL49" i="40"/>
  <c r="BG31" i="36"/>
  <c r="BE31" i="36"/>
  <c r="BF31" i="36" s="1"/>
  <c r="BI31" i="36"/>
  <c r="BH31" i="36"/>
  <c r="AR8" i="40"/>
  <c r="AL31" i="40"/>
  <c r="BD31" i="40"/>
  <c r="BL31" i="40"/>
  <c r="BI13" i="36"/>
  <c r="BE13" i="36"/>
  <c r="BF13" i="36" s="1"/>
  <c r="BH13" i="36"/>
  <c r="BG13" i="36"/>
  <c r="CZ4" i="36" a="1"/>
  <c r="CZ4" i="36" s="1"/>
  <c r="DB5" i="36" s="1"/>
  <c r="AR9" i="40"/>
  <c r="AV21" i="40" l="1"/>
  <c r="AU21" i="40"/>
  <c r="AU57" i="40"/>
  <c r="AU48" i="40"/>
  <c r="AN77" i="40"/>
  <c r="AV48" i="40"/>
  <c r="AR35" i="40"/>
  <c r="AV12" i="40"/>
  <c r="AW30" i="40"/>
  <c r="AW12" i="40"/>
  <c r="AU30" i="40"/>
  <c r="AV57" i="40"/>
  <c r="AR32" i="40"/>
  <c r="AR34" i="40"/>
  <c r="AR33" i="40"/>
  <c r="CO5" i="40"/>
  <c r="CS5" i="40" s="1"/>
  <c r="BM58" i="36"/>
  <c r="AM78" i="40"/>
  <c r="AN78" i="40"/>
  <c r="AL78" i="40"/>
  <c r="BM40" i="36"/>
  <c r="AR132" i="36"/>
  <c r="BM3" i="36"/>
  <c r="CZ4" i="40" a="1"/>
  <c r="CZ4" i="40" s="1"/>
  <c r="DB5" i="40" s="1"/>
  <c r="DB8" i="40" s="1"/>
  <c r="DB7" i="40" s="1"/>
  <c r="AO78" i="40"/>
  <c r="AP78" i="40"/>
  <c r="AN41" i="36"/>
  <c r="AN40" i="36"/>
  <c r="AQ40" i="36"/>
  <c r="AQ41" i="36"/>
  <c r="AM40" i="36"/>
  <c r="AM41" i="36"/>
  <c r="AK41" i="36"/>
  <c r="AK40" i="36"/>
  <c r="AP41" i="36"/>
  <c r="AP40" i="36"/>
  <c r="AO41" i="36"/>
  <c r="AO40" i="36"/>
  <c r="BN13" i="36"/>
  <c r="BJ13" i="36"/>
  <c r="BN22" i="36"/>
  <c r="BJ22" i="36"/>
  <c r="BN31" i="36"/>
  <c r="BJ31" i="36"/>
  <c r="AR146" i="40"/>
  <c r="AR17" i="36"/>
  <c r="BM31" i="36"/>
  <c r="BJ40" i="36"/>
  <c r="BN40" i="36"/>
  <c r="AR19" i="36"/>
  <c r="BG58" i="40"/>
  <c r="BI58" i="40"/>
  <c r="BH58" i="40"/>
  <c r="BE58" i="40"/>
  <c r="BF58" i="40" s="1"/>
  <c r="BM22" i="36"/>
  <c r="BM49" i="36"/>
  <c r="AQ114" i="40"/>
  <c r="AL114" i="40"/>
  <c r="AQ78" i="40"/>
  <c r="AP77" i="40"/>
  <c r="AO77" i="40"/>
  <c r="AR57" i="40"/>
  <c r="AR59" i="40"/>
  <c r="AK39" i="36"/>
  <c r="BH22" i="40"/>
  <c r="BG22" i="40"/>
  <c r="BI22" i="40"/>
  <c r="BE22" i="40"/>
  <c r="BF22" i="40" s="1"/>
  <c r="AR112" i="36"/>
  <c r="AK19" i="40"/>
  <c r="AK18" i="40"/>
  <c r="AK16" i="40"/>
  <c r="AK17" i="40"/>
  <c r="AP114" i="40"/>
  <c r="AR112" i="40"/>
  <c r="AK114" i="40"/>
  <c r="AR96" i="40"/>
  <c r="AR146" i="36"/>
  <c r="AK78" i="40"/>
  <c r="AR75" i="40"/>
  <c r="AR73" i="40"/>
  <c r="AP17" i="40"/>
  <c r="AP37" i="40" s="1"/>
  <c r="AP76" i="40" s="1"/>
  <c r="AP16" i="40"/>
  <c r="AP36" i="40" s="1"/>
  <c r="AP18" i="40"/>
  <c r="AP38" i="40" s="1"/>
  <c r="AP19" i="40"/>
  <c r="AP39" i="40" s="1"/>
  <c r="BI31" i="40"/>
  <c r="BE31" i="40"/>
  <c r="BF31" i="40" s="1"/>
  <c r="BH31" i="40"/>
  <c r="BG31" i="40"/>
  <c r="AM19" i="40"/>
  <c r="AM39" i="40" s="1"/>
  <c r="AM18" i="40"/>
  <c r="AM38" i="40" s="1"/>
  <c r="AM16" i="40"/>
  <c r="AM36" i="40" s="1"/>
  <c r="AM17" i="40"/>
  <c r="AM37" i="40" s="1"/>
  <c r="AM76" i="40" s="1"/>
  <c r="AL18" i="40"/>
  <c r="AL38" i="40" s="1"/>
  <c r="AL16" i="40"/>
  <c r="AL36" i="40" s="1"/>
  <c r="AL19" i="40"/>
  <c r="AL39" i="40" s="1"/>
  <c r="AL17" i="40"/>
  <c r="AL37" i="40" s="1"/>
  <c r="AL76" i="40" s="1"/>
  <c r="AN114" i="40"/>
  <c r="AR111" i="40"/>
  <c r="BG3" i="40"/>
  <c r="BI3" i="40"/>
  <c r="BE3" i="40"/>
  <c r="BF3" i="40" s="1"/>
  <c r="BH3" i="40"/>
  <c r="AR58" i="40"/>
  <c r="AM77" i="40"/>
  <c r="AL77" i="40"/>
  <c r="BI40" i="40"/>
  <c r="BE40" i="40"/>
  <c r="BF40" i="40" s="1"/>
  <c r="BH40" i="40"/>
  <c r="BG40" i="40"/>
  <c r="AL41" i="36"/>
  <c r="AL40" i="36"/>
  <c r="AR111" i="36"/>
  <c r="CY10" i="36" a="1"/>
  <c r="CY10" i="36" s="1"/>
  <c r="DB8" i="36"/>
  <c r="DB7" i="36" s="1"/>
  <c r="BG49" i="40"/>
  <c r="BE49" i="40"/>
  <c r="BF49" i="40" s="1"/>
  <c r="BI49" i="40"/>
  <c r="BH49" i="40"/>
  <c r="AR16" i="36"/>
  <c r="AR97" i="40"/>
  <c r="BM13" i="36"/>
  <c r="AO18" i="40"/>
  <c r="AO38" i="40" s="1"/>
  <c r="AO19" i="40"/>
  <c r="AO39" i="40" s="1"/>
  <c r="AO17" i="40"/>
  <c r="AO37" i="40" s="1"/>
  <c r="AO76" i="40" s="1"/>
  <c r="AO16" i="40"/>
  <c r="AO36" i="40" s="1"/>
  <c r="AR132" i="40"/>
  <c r="AK37" i="36"/>
  <c r="AR18" i="36"/>
  <c r="BJ49" i="36"/>
  <c r="BN49" i="36"/>
  <c r="AO114" i="40"/>
  <c r="BG13" i="40"/>
  <c r="BH13" i="40"/>
  <c r="BE13" i="40"/>
  <c r="BF13" i="40" s="1"/>
  <c r="BI13" i="40"/>
  <c r="AK38" i="36"/>
  <c r="BJ58" i="36"/>
  <c r="BN58" i="36"/>
  <c r="AQ16" i="40"/>
  <c r="AQ36" i="40" s="1"/>
  <c r="AQ19" i="40"/>
  <c r="AQ39" i="40" s="1"/>
  <c r="AQ18" i="40"/>
  <c r="AQ38" i="40" s="1"/>
  <c r="AQ17" i="40"/>
  <c r="AQ37" i="40" s="1"/>
  <c r="AQ76" i="40" s="1"/>
  <c r="AN18" i="40"/>
  <c r="AN38" i="40" s="1"/>
  <c r="AN19" i="40"/>
  <c r="AN39" i="40" s="1"/>
  <c r="AN17" i="40"/>
  <c r="AN37" i="40" s="1"/>
  <c r="AN76" i="40" s="1"/>
  <c r="AN16" i="40"/>
  <c r="AN36" i="40" s="1"/>
  <c r="AQ77" i="40"/>
  <c r="AK77" i="40"/>
  <c r="AR74" i="40"/>
  <c r="BN3" i="36"/>
  <c r="BJ3" i="36"/>
  <c r="AN113" i="40" l="1"/>
  <c r="AN115" i="40" s="1"/>
  <c r="BB34" i="40" s="1"/>
  <c r="AP113" i="40"/>
  <c r="AP115" i="40" s="1"/>
  <c r="BB52" i="40" s="1"/>
  <c r="BM3" i="40"/>
  <c r="BM31" i="40"/>
  <c r="CY10" i="40" a="1"/>
  <c r="CY10" i="40" s="1"/>
  <c r="AM147" i="40"/>
  <c r="AM148" i="40" s="1"/>
  <c r="BB26" i="40" s="1"/>
  <c r="AM113" i="40"/>
  <c r="AM115" i="40" s="1"/>
  <c r="BB25" i="40" s="1"/>
  <c r="AN147" i="40"/>
  <c r="AN148" i="40" s="1"/>
  <c r="BB35" i="40" s="1"/>
  <c r="AP147" i="40"/>
  <c r="AP149" i="40" s="1"/>
  <c r="AQ147" i="40"/>
  <c r="AQ149" i="40" s="1"/>
  <c r="AO147" i="40"/>
  <c r="AO148" i="40" s="1"/>
  <c r="BB44" i="40" s="1"/>
  <c r="AQ113" i="40"/>
  <c r="AQ116" i="40" s="1"/>
  <c r="BM13" i="40"/>
  <c r="AO113" i="40"/>
  <c r="AO116" i="40" s="1"/>
  <c r="AL113" i="40"/>
  <c r="AL116" i="40" s="1"/>
  <c r="AL147" i="40"/>
  <c r="AL149" i="40" s="1"/>
  <c r="AQ80" i="40"/>
  <c r="AQ79" i="40"/>
  <c r="BB60" i="40" s="1"/>
  <c r="AM79" i="40"/>
  <c r="BB24" i="40" s="1"/>
  <c r="AM80" i="40"/>
  <c r="AP80" i="40"/>
  <c r="AP79" i="40"/>
  <c r="BB51" i="40" s="1"/>
  <c r="AN41" i="40"/>
  <c r="AN40" i="40"/>
  <c r="BB32" i="40" s="1"/>
  <c r="AL40" i="40"/>
  <c r="BB14" i="40" s="1"/>
  <c r="AL41" i="40"/>
  <c r="BN22" i="40"/>
  <c r="BJ22" i="40"/>
  <c r="AN79" i="40"/>
  <c r="BB33" i="40" s="1"/>
  <c r="AN80" i="40"/>
  <c r="BJ58" i="40"/>
  <c r="BN58" i="40"/>
  <c r="CL9" i="36"/>
  <c r="BB4" i="36"/>
  <c r="BM40" i="40"/>
  <c r="AM41" i="40"/>
  <c r="AM40" i="40"/>
  <c r="BB23" i="40" s="1"/>
  <c r="AR18" i="40"/>
  <c r="AK38" i="40"/>
  <c r="AK113" i="40" s="1"/>
  <c r="BM22" i="40"/>
  <c r="AZ41" i="36"/>
  <c r="AO43" i="36"/>
  <c r="AZ4" i="36"/>
  <c r="AK43" i="36"/>
  <c r="BB59" i="36"/>
  <c r="CR9" i="36"/>
  <c r="AO80" i="40"/>
  <c r="AO79" i="40"/>
  <c r="BB42" i="40" s="1"/>
  <c r="BN49" i="40"/>
  <c r="BJ49" i="40"/>
  <c r="AL80" i="40"/>
  <c r="AL79" i="40"/>
  <c r="BB15" i="40" s="1"/>
  <c r="AR16" i="40"/>
  <c r="AK36" i="40"/>
  <c r="CP9" i="36"/>
  <c r="BB41" i="36"/>
  <c r="AZ59" i="36"/>
  <c r="AQ43" i="36"/>
  <c r="BN13" i="40"/>
  <c r="BJ13" i="40"/>
  <c r="AO40" i="40"/>
  <c r="BB41" i="40" s="1"/>
  <c r="AO41" i="40"/>
  <c r="CM9" i="36"/>
  <c r="BB14" i="36"/>
  <c r="BN3" i="40"/>
  <c r="BJ3" i="40"/>
  <c r="BN31" i="40"/>
  <c r="BJ31" i="40"/>
  <c r="AR19" i="40"/>
  <c r="AK39" i="40"/>
  <c r="AK147" i="40" s="1"/>
  <c r="CQ9" i="36"/>
  <c r="BB50" i="36"/>
  <c r="AM43" i="36"/>
  <c r="AZ23" i="36"/>
  <c r="CO9" i="36"/>
  <c r="BB32" i="36"/>
  <c r="AQ41" i="40"/>
  <c r="AQ40" i="40"/>
  <c r="BB59" i="40" s="1"/>
  <c r="BM49" i="40"/>
  <c r="AL43" i="36"/>
  <c r="AZ14" i="36"/>
  <c r="BN40" i="40"/>
  <c r="BJ40" i="40"/>
  <c r="AP41" i="40"/>
  <c r="AP40" i="40"/>
  <c r="BB50" i="40" s="1"/>
  <c r="AR17" i="40"/>
  <c r="AK37" i="40"/>
  <c r="AK76" i="40" s="1"/>
  <c r="BM58" i="40"/>
  <c r="AZ50" i="36"/>
  <c r="AP43" i="36"/>
  <c r="BB23" i="36"/>
  <c r="CN9" i="36"/>
  <c r="AZ32" i="36"/>
  <c r="AN43" i="36"/>
  <c r="AN116" i="40" l="1"/>
  <c r="AN118" i="40" s="1"/>
  <c r="AQ148" i="40"/>
  <c r="BB62" i="40" s="1"/>
  <c r="AP116" i="40"/>
  <c r="AP118" i="40" s="1"/>
  <c r="AN149" i="40"/>
  <c r="AN151" i="40" s="1"/>
  <c r="AM116" i="40"/>
  <c r="AZ25" i="40" s="1"/>
  <c r="AL148" i="40"/>
  <c r="BB17" i="40" s="1"/>
  <c r="AM149" i="40"/>
  <c r="AM151" i="40" s="1"/>
  <c r="AP148" i="40"/>
  <c r="BB53" i="40" s="1"/>
  <c r="AL115" i="40"/>
  <c r="BB16" i="40" s="1"/>
  <c r="AO149" i="40"/>
  <c r="AZ44" i="40" s="1"/>
  <c r="AO115" i="40"/>
  <c r="BB43" i="40" s="1"/>
  <c r="AQ115" i="40"/>
  <c r="BB61" i="40" s="1"/>
  <c r="AK148" i="40"/>
  <c r="BB7" i="40" s="1"/>
  <c r="AK149" i="40"/>
  <c r="AK80" i="40"/>
  <c r="AK79" i="40"/>
  <c r="BB5" i="40" s="1"/>
  <c r="AM67" i="36"/>
  <c r="AM63" i="36"/>
  <c r="AM62" i="36"/>
  <c r="AM55" i="36"/>
  <c r="AM70" i="36"/>
  <c r="AM66" i="36"/>
  <c r="AM61" i="36"/>
  <c r="AM69" i="36"/>
  <c r="AM51" i="36"/>
  <c r="AM47" i="36"/>
  <c r="AM65" i="36"/>
  <c r="AM60" i="36"/>
  <c r="AM50" i="36"/>
  <c r="AM49" i="36"/>
  <c r="AM64" i="36"/>
  <c r="AY23" i="36"/>
  <c r="BA23" i="36" s="1"/>
  <c r="BO23" i="36" s="1"/>
  <c r="AM46" i="36"/>
  <c r="AM54" i="36"/>
  <c r="AM53" i="36"/>
  <c r="AM48" i="36"/>
  <c r="AM68" i="36"/>
  <c r="AM45" i="36"/>
  <c r="AM52" i="36"/>
  <c r="CN5" i="36"/>
  <c r="AZ42" i="40"/>
  <c r="AO82" i="40"/>
  <c r="AL68" i="36"/>
  <c r="AL64" i="36"/>
  <c r="AL60" i="36"/>
  <c r="AL67" i="36"/>
  <c r="AL63" i="36"/>
  <c r="AL62" i="36"/>
  <c r="AL55" i="36"/>
  <c r="AL66" i="36"/>
  <c r="AL54" i="36"/>
  <c r="AL52" i="36"/>
  <c r="AL45" i="36"/>
  <c r="AY14" i="36"/>
  <c r="BA14" i="36" s="1"/>
  <c r="BO14" i="36" s="1"/>
  <c r="AL69" i="36"/>
  <c r="AL61" i="36"/>
  <c r="AL51" i="36"/>
  <c r="AL47" i="36"/>
  <c r="CM5" i="36"/>
  <c r="AL65" i="36"/>
  <c r="AL50" i="36"/>
  <c r="AL46" i="36"/>
  <c r="AL49" i="36"/>
  <c r="AL70" i="36"/>
  <c r="AL53" i="36"/>
  <c r="AL48" i="36"/>
  <c r="AO43" i="40"/>
  <c r="AZ41" i="40"/>
  <c r="AK40" i="40"/>
  <c r="BB4" i="40" s="1"/>
  <c r="AK41" i="40"/>
  <c r="AO69" i="36"/>
  <c r="AO65" i="36"/>
  <c r="AO68" i="36"/>
  <c r="AO64" i="36"/>
  <c r="AO60" i="36"/>
  <c r="AO62" i="36"/>
  <c r="AO61" i="36"/>
  <c r="AO53" i="36"/>
  <c r="AO48" i="36"/>
  <c r="AO46" i="36"/>
  <c r="CP5" i="36"/>
  <c r="AO70" i="36"/>
  <c r="AO67" i="36"/>
  <c r="AO55" i="36"/>
  <c r="AO54" i="36"/>
  <c r="AO52" i="36"/>
  <c r="AO45" i="36"/>
  <c r="AY41" i="36"/>
  <c r="BA41" i="36" s="1"/>
  <c r="BO41" i="36" s="1"/>
  <c r="AO49" i="36"/>
  <c r="AO47" i="36"/>
  <c r="AO51" i="36"/>
  <c r="AO50" i="36"/>
  <c r="AO63" i="36"/>
  <c r="AO66" i="36"/>
  <c r="AZ59" i="40"/>
  <c r="AQ43" i="40"/>
  <c r="AK115" i="40"/>
  <c r="BB6" i="40" s="1"/>
  <c r="AK116" i="40"/>
  <c r="AN43" i="40"/>
  <c r="AZ32" i="40"/>
  <c r="AM82" i="40"/>
  <c r="AZ24" i="40"/>
  <c r="AO118" i="40"/>
  <c r="AZ43" i="40"/>
  <c r="AZ61" i="40"/>
  <c r="AQ118" i="40"/>
  <c r="AQ67" i="36"/>
  <c r="AQ63" i="36"/>
  <c r="AQ62" i="36"/>
  <c r="AQ55" i="36"/>
  <c r="AQ70" i="36"/>
  <c r="AQ66" i="36"/>
  <c r="AQ61" i="36"/>
  <c r="AQ68" i="36"/>
  <c r="AQ64" i="36"/>
  <c r="AY59" i="36"/>
  <c r="BA59" i="36" s="1"/>
  <c r="BO59" i="36" s="1"/>
  <c r="AQ51" i="36"/>
  <c r="AQ47" i="36"/>
  <c r="AQ50" i="36"/>
  <c r="AQ49" i="36"/>
  <c r="AQ60" i="36"/>
  <c r="AQ54" i="36"/>
  <c r="AQ53" i="36"/>
  <c r="AQ48" i="36"/>
  <c r="CR5" i="36"/>
  <c r="AQ65" i="36"/>
  <c r="AQ52" i="36"/>
  <c r="AQ45" i="36"/>
  <c r="AQ69" i="36"/>
  <c r="AQ46" i="36"/>
  <c r="AK69" i="36"/>
  <c r="AK65" i="36"/>
  <c r="AK68" i="36"/>
  <c r="AK64" i="36"/>
  <c r="AK60" i="36"/>
  <c r="AK63" i="36"/>
  <c r="AK53" i="36"/>
  <c r="AK48" i="36"/>
  <c r="AK46" i="36"/>
  <c r="CL5" i="36"/>
  <c r="AK66" i="36"/>
  <c r="AK54" i="36"/>
  <c r="AK52" i="36"/>
  <c r="AK45" i="36"/>
  <c r="AK70" i="36"/>
  <c r="AK55" i="36"/>
  <c r="AK49" i="36"/>
  <c r="AK47" i="36"/>
  <c r="AK62" i="36"/>
  <c r="AK61" i="36"/>
  <c r="AY4" i="36"/>
  <c r="BA4" i="36" s="1"/>
  <c r="BO4" i="36" s="1"/>
  <c r="AK51" i="36"/>
  <c r="AK50" i="36"/>
  <c r="AK67" i="36"/>
  <c r="AZ23" i="40"/>
  <c r="AM43" i="40"/>
  <c r="AN82" i="40"/>
  <c r="AZ33" i="40"/>
  <c r="AQ82" i="40"/>
  <c r="AZ60" i="40"/>
  <c r="AL151" i="40"/>
  <c r="AZ17" i="40"/>
  <c r="AP151" i="40"/>
  <c r="AZ53" i="40"/>
  <c r="CS9" i="36"/>
  <c r="AZ34" i="40"/>
  <c r="AQ151" i="40"/>
  <c r="AZ62" i="40"/>
  <c r="AL82" i="40"/>
  <c r="AZ15" i="40"/>
  <c r="AN70" i="36"/>
  <c r="AN66" i="36"/>
  <c r="AN61" i="36"/>
  <c r="AN69" i="36"/>
  <c r="AN65" i="36"/>
  <c r="AN60" i="36"/>
  <c r="AN50" i="36"/>
  <c r="AN49" i="36"/>
  <c r="AN68" i="36"/>
  <c r="AN64" i="36"/>
  <c r="AN62" i="36"/>
  <c r="AN53" i="36"/>
  <c r="AN48" i="36"/>
  <c r="AN46" i="36"/>
  <c r="AN63" i="36"/>
  <c r="AN67" i="36"/>
  <c r="AN51" i="36"/>
  <c r="AN54" i="36"/>
  <c r="AN52" i="36"/>
  <c r="AN45" i="36"/>
  <c r="CO5" i="36"/>
  <c r="AN47" i="36"/>
  <c r="AY32" i="36"/>
  <c r="BA32" i="36" s="1"/>
  <c r="BO32" i="36" s="1"/>
  <c r="AN55" i="36"/>
  <c r="AP68" i="36"/>
  <c r="AP64" i="36"/>
  <c r="AP60" i="36"/>
  <c r="AP67" i="36"/>
  <c r="AP63" i="36"/>
  <c r="AP62" i="36"/>
  <c r="AP55" i="36"/>
  <c r="AP70" i="36"/>
  <c r="AP65" i="36"/>
  <c r="AP54" i="36"/>
  <c r="AP52" i="36"/>
  <c r="AP45" i="36"/>
  <c r="AP51" i="36"/>
  <c r="AP47" i="36"/>
  <c r="AP69" i="36"/>
  <c r="AP61" i="36"/>
  <c r="AP50" i="36"/>
  <c r="AP46" i="36"/>
  <c r="AP53" i="36"/>
  <c r="AY50" i="36"/>
  <c r="BA50" i="36" s="1"/>
  <c r="BO50" i="36" s="1"/>
  <c r="AP49" i="36"/>
  <c r="AP48" i="36"/>
  <c r="CQ5" i="36"/>
  <c r="AP66" i="36"/>
  <c r="AZ50" i="40"/>
  <c r="AP43" i="40"/>
  <c r="AL43" i="40"/>
  <c r="AZ14" i="40"/>
  <c r="AZ51" i="40"/>
  <c r="AP82" i="40"/>
  <c r="AL118" i="40"/>
  <c r="AZ16" i="40"/>
  <c r="AR63" i="36" l="1"/>
  <c r="AR65" i="36"/>
  <c r="AM72" i="36"/>
  <c r="AR60" i="36"/>
  <c r="AK72" i="36"/>
  <c r="AR69" i="36"/>
  <c r="AP72" i="36"/>
  <c r="AR67" i="36"/>
  <c r="AR61" i="36"/>
  <c r="AR64" i="36"/>
  <c r="AR62" i="36"/>
  <c r="AR70" i="36"/>
  <c r="AR66" i="36"/>
  <c r="AR68" i="36"/>
  <c r="AR51" i="36"/>
  <c r="AR47" i="36"/>
  <c r="AR45" i="36"/>
  <c r="AR49" i="36"/>
  <c r="AR52" i="36"/>
  <c r="AR46" i="36"/>
  <c r="AR55" i="36"/>
  <c r="AR54" i="36"/>
  <c r="AR48" i="36"/>
  <c r="AR50" i="36"/>
  <c r="AR53" i="36"/>
  <c r="AO151" i="40"/>
  <c r="AO171" i="40" s="1"/>
  <c r="AM118" i="40"/>
  <c r="AM127" i="40" s="1"/>
  <c r="AZ52" i="40"/>
  <c r="AZ35" i="40"/>
  <c r="AZ26" i="40"/>
  <c r="BC4" i="36"/>
  <c r="BQ4" i="36" s="1"/>
  <c r="BC23" i="36"/>
  <c r="BC41" i="36"/>
  <c r="BQ41" i="36" s="1"/>
  <c r="BC14" i="36"/>
  <c r="BQ14" i="36" s="1"/>
  <c r="AM56" i="36"/>
  <c r="BC59" i="36"/>
  <c r="AL67" i="40"/>
  <c r="AL63" i="40"/>
  <c r="AL62" i="40"/>
  <c r="AL55" i="40"/>
  <c r="AL51" i="40"/>
  <c r="AL47" i="40"/>
  <c r="AL66" i="40"/>
  <c r="AL65" i="40"/>
  <c r="AL52" i="40"/>
  <c r="AL50" i="40"/>
  <c r="AL48" i="40"/>
  <c r="AL46" i="40"/>
  <c r="AL64" i="40"/>
  <c r="CM6" i="40" s="1"/>
  <c r="AL53" i="40"/>
  <c r="AL70" i="40"/>
  <c r="AL61" i="40"/>
  <c r="CM10" i="40" s="1"/>
  <c r="AL60" i="40"/>
  <c r="AL49" i="40"/>
  <c r="AL69" i="40"/>
  <c r="AL54" i="40"/>
  <c r="AL45" i="40"/>
  <c r="AY14" i="40"/>
  <c r="BA14" i="40" s="1"/>
  <c r="AL68" i="40"/>
  <c r="AQ175" i="40"/>
  <c r="AQ173" i="40"/>
  <c r="AQ171" i="40"/>
  <c r="AQ166" i="40"/>
  <c r="AQ169" i="40"/>
  <c r="AQ174" i="40"/>
  <c r="AQ172" i="40"/>
  <c r="AQ156" i="40"/>
  <c r="AQ164" i="40" s="1"/>
  <c r="AY62" i="40"/>
  <c r="BA62" i="40" s="1"/>
  <c r="AQ168" i="40"/>
  <c r="AM160" i="40"/>
  <c r="AM167" i="40"/>
  <c r="AM163" i="40"/>
  <c r="AM159" i="40"/>
  <c r="AM156" i="40"/>
  <c r="AM154" i="40"/>
  <c r="AM162" i="40"/>
  <c r="AM158" i="40"/>
  <c r="AM153" i="40"/>
  <c r="AM155" i="40"/>
  <c r="AM161" i="40"/>
  <c r="AM157" i="40"/>
  <c r="AY26" i="40"/>
  <c r="AL169" i="40"/>
  <c r="AL174" i="40"/>
  <c r="AL172" i="40"/>
  <c r="AL168" i="40"/>
  <c r="AL175" i="40"/>
  <c r="AL171" i="40"/>
  <c r="AL153" i="40"/>
  <c r="AL164" i="40" s="1"/>
  <c r="AL173" i="40"/>
  <c r="AL166" i="40"/>
  <c r="AY17" i="40"/>
  <c r="BA17" i="40" s="1"/>
  <c r="AN105" i="40"/>
  <c r="AN101" i="40"/>
  <c r="AN93" i="40"/>
  <c r="AN89" i="40"/>
  <c r="AN85" i="40"/>
  <c r="AN107" i="40"/>
  <c r="AN103" i="40"/>
  <c r="AN99" i="40"/>
  <c r="AN108" i="40"/>
  <c r="AN102" i="40"/>
  <c r="AN98" i="40"/>
  <c r="AN90" i="40"/>
  <c r="AN86" i="40"/>
  <c r="AN104" i="40"/>
  <c r="AN100" i="40"/>
  <c r="AN88" i="40"/>
  <c r="AN92" i="40"/>
  <c r="CO11" i="40" s="1"/>
  <c r="AN87" i="40"/>
  <c r="AN91" i="40"/>
  <c r="AN84" i="40"/>
  <c r="AY33" i="40"/>
  <c r="BA33" i="40" s="1"/>
  <c r="AN106" i="40"/>
  <c r="AN94" i="40"/>
  <c r="BC50" i="36"/>
  <c r="AN71" i="36"/>
  <c r="AP163" i="40"/>
  <c r="AP159" i="40"/>
  <c r="AP156" i="40"/>
  <c r="AP162" i="40"/>
  <c r="AP158" i="40"/>
  <c r="AP155" i="40"/>
  <c r="AP153" i="40"/>
  <c r="AP170" i="40"/>
  <c r="AP161" i="40"/>
  <c r="AP157" i="40"/>
  <c r="AP160" i="40"/>
  <c r="AP154" i="40"/>
  <c r="AY53" i="40"/>
  <c r="BA53" i="40" s="1"/>
  <c r="BD4" i="36"/>
  <c r="AK71" i="36"/>
  <c r="AQ56" i="36"/>
  <c r="AK118" i="40"/>
  <c r="AZ6" i="40"/>
  <c r="AQ70" i="40"/>
  <c r="AQ66" i="40"/>
  <c r="AQ61" i="40"/>
  <c r="CR10" i="40" s="1"/>
  <c r="AQ50" i="40"/>
  <c r="AQ49" i="40"/>
  <c r="AQ65" i="40"/>
  <c r="AQ55" i="40"/>
  <c r="AQ51" i="40"/>
  <c r="AQ63" i="40"/>
  <c r="AQ52" i="40"/>
  <c r="AQ48" i="40"/>
  <c r="AQ47" i="40"/>
  <c r="AQ46" i="40"/>
  <c r="AQ69" i="40"/>
  <c r="AQ54" i="40"/>
  <c r="AQ45" i="40"/>
  <c r="AQ68" i="40"/>
  <c r="AQ67" i="40"/>
  <c r="AQ64" i="40"/>
  <c r="CR6" i="40" s="1"/>
  <c r="AY59" i="40"/>
  <c r="BA59" i="40" s="1"/>
  <c r="AQ53" i="40"/>
  <c r="AQ62" i="40"/>
  <c r="AQ60" i="40"/>
  <c r="AO56" i="36"/>
  <c r="AO71" i="36"/>
  <c r="AO68" i="40"/>
  <c r="AO64" i="40"/>
  <c r="CP6" i="40" s="1"/>
  <c r="AO60" i="40"/>
  <c r="AO54" i="40"/>
  <c r="AO52" i="40"/>
  <c r="AO45" i="40"/>
  <c r="AO53" i="40"/>
  <c r="AO49" i="40"/>
  <c r="AO70" i="40"/>
  <c r="AO69" i="40"/>
  <c r="AO61" i="40"/>
  <c r="CP10" i="40" s="1"/>
  <c r="AO55" i="40"/>
  <c r="AO51" i="40"/>
  <c r="AO62" i="40"/>
  <c r="AY41" i="40"/>
  <c r="BA41" i="40" s="1"/>
  <c r="AO50" i="40"/>
  <c r="AO46" i="40"/>
  <c r="AO63" i="40"/>
  <c r="AO47" i="40"/>
  <c r="AO66" i="40"/>
  <c r="AO67" i="40"/>
  <c r="AO48" i="40"/>
  <c r="AO65" i="40"/>
  <c r="AK82" i="40"/>
  <c r="AZ5" i="40"/>
  <c r="AM70" i="40"/>
  <c r="AM66" i="40"/>
  <c r="AM61" i="40"/>
  <c r="CN10" i="40" s="1"/>
  <c r="AM50" i="40"/>
  <c r="AM49" i="40"/>
  <c r="AM63" i="40"/>
  <c r="AM52" i="40"/>
  <c r="AM48" i="40"/>
  <c r="AM47" i="40"/>
  <c r="AM46" i="40"/>
  <c r="AM67" i="40"/>
  <c r="AM62" i="40"/>
  <c r="AM60" i="40"/>
  <c r="AM54" i="40"/>
  <c r="AM53" i="40"/>
  <c r="AM45" i="40"/>
  <c r="AM65" i="40"/>
  <c r="AM69" i="40"/>
  <c r="AY23" i="40"/>
  <c r="BA23" i="40" s="1"/>
  <c r="AM68" i="40"/>
  <c r="AM51" i="40"/>
  <c r="AM64" i="40"/>
  <c r="CN6" i="40" s="1"/>
  <c r="AM55" i="40"/>
  <c r="AO140" i="40"/>
  <c r="AO136" i="40"/>
  <c r="AO129" i="40"/>
  <c r="AO125" i="40"/>
  <c r="AO121" i="40"/>
  <c r="AO143" i="40"/>
  <c r="AO139" i="40"/>
  <c r="AO135" i="40"/>
  <c r="AO128" i="40"/>
  <c r="AO124" i="40"/>
  <c r="AO120" i="40"/>
  <c r="AO142" i="40"/>
  <c r="AO138" i="40"/>
  <c r="AO134" i="40"/>
  <c r="AO127" i="40"/>
  <c r="AO123" i="40"/>
  <c r="CP12" i="40" s="1"/>
  <c r="AO141" i="40"/>
  <c r="AO126" i="40"/>
  <c r="CP8" i="40" s="1"/>
  <c r="AO122" i="40"/>
  <c r="AO130" i="40"/>
  <c r="AO137" i="40"/>
  <c r="AO133" i="40"/>
  <c r="AY43" i="40"/>
  <c r="BA43" i="40" s="1"/>
  <c r="AM106" i="40"/>
  <c r="AM102" i="40"/>
  <c r="AM98" i="40"/>
  <c r="AM94" i="40"/>
  <c r="AM90" i="40"/>
  <c r="AM86" i="40"/>
  <c r="AM108" i="40"/>
  <c r="AM104" i="40"/>
  <c r="AM100" i="40"/>
  <c r="AM103" i="40"/>
  <c r="AM99" i="40"/>
  <c r="AM89" i="40"/>
  <c r="AM85" i="40"/>
  <c r="AM101" i="40"/>
  <c r="AM93" i="40"/>
  <c r="AM88" i="40"/>
  <c r="AM107" i="40"/>
  <c r="AM105" i="40"/>
  <c r="AM92" i="40"/>
  <c r="CN11" i="40" s="1"/>
  <c r="AM91" i="40"/>
  <c r="AM84" i="40"/>
  <c r="AY24" i="40"/>
  <c r="BA24" i="40" s="1"/>
  <c r="AM87" i="40"/>
  <c r="AK43" i="40"/>
  <c r="AZ4" i="40"/>
  <c r="AL143" i="40"/>
  <c r="AL139" i="40"/>
  <c r="AL135" i="40"/>
  <c r="AL128" i="40"/>
  <c r="AL124" i="40"/>
  <c r="AL120" i="40"/>
  <c r="AL142" i="40"/>
  <c r="AL138" i="40"/>
  <c r="AL134" i="40"/>
  <c r="AL127" i="40"/>
  <c r="AL123" i="40"/>
  <c r="CM12" i="40" s="1"/>
  <c r="AL141" i="40"/>
  <c r="AL137" i="40"/>
  <c r="AL133" i="40"/>
  <c r="AL130" i="40"/>
  <c r="AL126" i="40"/>
  <c r="CM8" i="40" s="1"/>
  <c r="AL122" i="40"/>
  <c r="AL125" i="40"/>
  <c r="AL121" i="40"/>
  <c r="AL140" i="40"/>
  <c r="AL136" i="40"/>
  <c r="AL129" i="40"/>
  <c r="AY16" i="40"/>
  <c r="BA16" i="40" s="1"/>
  <c r="AP56" i="36"/>
  <c r="AN56" i="36"/>
  <c r="AQ142" i="40"/>
  <c r="AQ138" i="40"/>
  <c r="AQ134" i="40"/>
  <c r="AQ127" i="40"/>
  <c r="AQ123" i="40"/>
  <c r="CR12" i="40" s="1"/>
  <c r="AQ141" i="40"/>
  <c r="AQ137" i="40"/>
  <c r="AQ133" i="40"/>
  <c r="AQ130" i="40"/>
  <c r="AQ126" i="40"/>
  <c r="CR8" i="40" s="1"/>
  <c r="AQ122" i="40"/>
  <c r="AQ140" i="40"/>
  <c r="AQ136" i="40"/>
  <c r="AQ129" i="40"/>
  <c r="AQ125" i="40"/>
  <c r="AQ121" i="40"/>
  <c r="AQ139" i="40"/>
  <c r="AQ135" i="40"/>
  <c r="AQ143" i="40"/>
  <c r="AQ128" i="40"/>
  <c r="AQ124" i="40"/>
  <c r="AQ120" i="40"/>
  <c r="AY61" i="40"/>
  <c r="BA61" i="40" s="1"/>
  <c r="AL56" i="36"/>
  <c r="AL71" i="36"/>
  <c r="AK151" i="40"/>
  <c r="AZ7" i="40"/>
  <c r="AP67" i="40"/>
  <c r="AP63" i="40"/>
  <c r="AP62" i="40"/>
  <c r="AP55" i="40"/>
  <c r="AP51" i="40"/>
  <c r="AP47" i="40"/>
  <c r="AP70" i="40"/>
  <c r="AP69" i="40"/>
  <c r="AP68" i="40"/>
  <c r="AP64" i="40"/>
  <c r="CQ6" i="40" s="1"/>
  <c r="AP61" i="40"/>
  <c r="CQ10" i="40" s="1"/>
  <c r="AP66" i="40"/>
  <c r="AP65" i="40"/>
  <c r="AP60" i="40"/>
  <c r="AP52" i="40"/>
  <c r="AP50" i="40"/>
  <c r="AP49" i="40"/>
  <c r="AP46" i="40"/>
  <c r="AP54" i="40"/>
  <c r="AP45" i="40"/>
  <c r="AY50" i="40"/>
  <c r="BA50" i="40" s="1"/>
  <c r="AP48" i="40"/>
  <c r="AP53" i="40"/>
  <c r="AN141" i="40"/>
  <c r="AN137" i="40"/>
  <c r="AN133" i="40"/>
  <c r="AN130" i="40"/>
  <c r="AN126" i="40"/>
  <c r="CO8" i="40" s="1"/>
  <c r="AN122" i="40"/>
  <c r="AN140" i="40"/>
  <c r="AN136" i="40"/>
  <c r="AN129" i="40"/>
  <c r="AN125" i="40"/>
  <c r="AN121" i="40"/>
  <c r="AN143" i="40"/>
  <c r="AN139" i="40"/>
  <c r="AN135" i="40"/>
  <c r="AN128" i="40"/>
  <c r="AN124" i="40"/>
  <c r="AN120" i="40"/>
  <c r="AN142" i="40"/>
  <c r="AN127" i="40"/>
  <c r="AN123" i="40"/>
  <c r="CO12" i="40" s="1"/>
  <c r="AN134" i="40"/>
  <c r="AN138" i="40"/>
  <c r="AY34" i="40"/>
  <c r="BA34" i="40" s="1"/>
  <c r="AP107" i="40"/>
  <c r="AP103" i="40"/>
  <c r="AP99" i="40"/>
  <c r="AP91" i="40"/>
  <c r="AP87" i="40"/>
  <c r="AP105" i="40"/>
  <c r="AP101" i="40"/>
  <c r="AY51" i="40"/>
  <c r="BA51" i="40" s="1"/>
  <c r="AP94" i="40"/>
  <c r="AP92" i="40"/>
  <c r="CQ11" i="40" s="1"/>
  <c r="AP85" i="40"/>
  <c r="AP108" i="40"/>
  <c r="AP86" i="40"/>
  <c r="AP84" i="40"/>
  <c r="AP106" i="40"/>
  <c r="AP104" i="40"/>
  <c r="AP102" i="40"/>
  <c r="AP100" i="40"/>
  <c r="AP98" i="40"/>
  <c r="AP90" i="40"/>
  <c r="AP89" i="40"/>
  <c r="AP93" i="40"/>
  <c r="AP88" i="40"/>
  <c r="AP71" i="36"/>
  <c r="AL107" i="40"/>
  <c r="AL103" i="40"/>
  <c r="AL99" i="40"/>
  <c r="AL91" i="40"/>
  <c r="AL87" i="40"/>
  <c r="AL105" i="40"/>
  <c r="AL101" i="40"/>
  <c r="AL106" i="40"/>
  <c r="AL94" i="40"/>
  <c r="AL93" i="40"/>
  <c r="AL92" i="40"/>
  <c r="CM11" i="40" s="1"/>
  <c r="AL88" i="40"/>
  <c r="AL84" i="40"/>
  <c r="AL102" i="40"/>
  <c r="AL98" i="40"/>
  <c r="AL89" i="40"/>
  <c r="AL104" i="40"/>
  <c r="AL100" i="40"/>
  <c r="AL90" i="40"/>
  <c r="AL108" i="40"/>
  <c r="AL85" i="40"/>
  <c r="AL86" i="40"/>
  <c r="AY15" i="40"/>
  <c r="BA15" i="40" s="1"/>
  <c r="AO168" i="40"/>
  <c r="AO166" i="40"/>
  <c r="AO172" i="40"/>
  <c r="AQ106" i="40"/>
  <c r="AQ102" i="40"/>
  <c r="AQ98" i="40"/>
  <c r="AQ94" i="40"/>
  <c r="AQ90" i="40"/>
  <c r="AQ86" i="40"/>
  <c r="AQ108" i="40"/>
  <c r="AQ104" i="40"/>
  <c r="AQ100" i="40"/>
  <c r="AQ107" i="40"/>
  <c r="AQ101" i="40"/>
  <c r="AQ93" i="40"/>
  <c r="AQ92" i="40"/>
  <c r="CR11" i="40" s="1"/>
  <c r="AQ88" i="40"/>
  <c r="AQ84" i="40"/>
  <c r="AQ87" i="40"/>
  <c r="AY60" i="40"/>
  <c r="BA60" i="40" s="1"/>
  <c r="AQ91" i="40"/>
  <c r="AQ89" i="40"/>
  <c r="AQ105" i="40"/>
  <c r="AQ85" i="40"/>
  <c r="AQ103" i="40"/>
  <c r="AQ99" i="40"/>
  <c r="AK56" i="36"/>
  <c r="CS5" i="36"/>
  <c r="DB14" i="36" s="1"/>
  <c r="AQ71" i="36"/>
  <c r="AN174" i="40"/>
  <c r="AN172" i="40"/>
  <c r="AN154" i="40"/>
  <c r="AN164" i="40" s="1"/>
  <c r="AN168" i="40"/>
  <c r="AN175" i="40"/>
  <c r="AN173" i="40"/>
  <c r="AN171" i="40"/>
  <c r="AN166" i="40"/>
  <c r="AN169" i="40"/>
  <c r="AY35" i="40"/>
  <c r="AN69" i="40"/>
  <c r="AN65" i="40"/>
  <c r="AN53" i="40"/>
  <c r="AN48" i="40"/>
  <c r="AN46" i="40"/>
  <c r="AN67" i="40"/>
  <c r="AN62" i="40"/>
  <c r="AN60" i="40"/>
  <c r="AN54" i="40"/>
  <c r="AN50" i="40"/>
  <c r="AN45" i="40"/>
  <c r="AN68" i="40"/>
  <c r="AN64" i="40"/>
  <c r="CO6" i="40" s="1"/>
  <c r="AN49" i="40"/>
  <c r="AN70" i="40"/>
  <c r="AN66" i="40"/>
  <c r="AN61" i="40"/>
  <c r="CO10" i="40" s="1"/>
  <c r="AN47" i="40"/>
  <c r="AY32" i="40"/>
  <c r="BA32" i="40" s="1"/>
  <c r="AN52" i="40"/>
  <c r="AN51" i="40"/>
  <c r="AN55" i="40"/>
  <c r="AN63" i="40"/>
  <c r="AP143" i="40"/>
  <c r="AP139" i="40"/>
  <c r="AP135" i="40"/>
  <c r="AP128" i="40"/>
  <c r="AP124" i="40"/>
  <c r="AP120" i="40"/>
  <c r="AP142" i="40"/>
  <c r="AP138" i="40"/>
  <c r="AP134" i="40"/>
  <c r="AP127" i="40"/>
  <c r="AP123" i="40"/>
  <c r="CQ12" i="40" s="1"/>
  <c r="AP141" i="40"/>
  <c r="AP137" i="40"/>
  <c r="AP133" i="40"/>
  <c r="AP130" i="40"/>
  <c r="AP126" i="40"/>
  <c r="CQ8" i="40" s="1"/>
  <c r="AP122" i="40"/>
  <c r="AP140" i="40"/>
  <c r="AP136" i="40"/>
  <c r="AP129" i="40"/>
  <c r="AP121" i="40"/>
  <c r="AY52" i="40"/>
  <c r="AP125" i="40"/>
  <c r="BC32" i="36"/>
  <c r="AO108" i="40"/>
  <c r="AO104" i="40"/>
  <c r="AO100" i="40"/>
  <c r="AO92" i="40"/>
  <c r="CP11" i="40" s="1"/>
  <c r="AO88" i="40"/>
  <c r="AO84" i="40"/>
  <c r="AO106" i="40"/>
  <c r="AO102" i="40"/>
  <c r="AO98" i="40"/>
  <c r="AO105" i="40"/>
  <c r="AO91" i="40"/>
  <c r="AO87" i="40"/>
  <c r="AO103" i="40"/>
  <c r="AO99" i="40"/>
  <c r="AO90" i="40"/>
  <c r="AO107" i="40"/>
  <c r="AO94" i="40"/>
  <c r="AO85" i="40"/>
  <c r="AO89" i="40"/>
  <c r="AO86" i="40"/>
  <c r="AY42" i="40"/>
  <c r="BA42" i="40" s="1"/>
  <c r="AO101" i="40"/>
  <c r="AO93" i="40"/>
  <c r="AM71" i="36"/>
  <c r="AO174" i="40" l="1"/>
  <c r="AO155" i="40"/>
  <c r="AO164" i="40" s="1"/>
  <c r="AO173" i="40"/>
  <c r="AY44" i="40"/>
  <c r="BA44" i="40" s="1"/>
  <c r="BO44" i="40" s="1"/>
  <c r="AO169" i="40"/>
  <c r="AO175" i="40"/>
  <c r="AP74" i="36"/>
  <c r="AP73" i="36"/>
  <c r="AP75" i="36"/>
  <c r="AQ73" i="36"/>
  <c r="AQ74" i="36"/>
  <c r="AQ75" i="36"/>
  <c r="AO74" i="36"/>
  <c r="AO73" i="36"/>
  <c r="AO75" i="36"/>
  <c r="AM73" i="36"/>
  <c r="AM74" i="36"/>
  <c r="AM75" i="36"/>
  <c r="AL74" i="36"/>
  <c r="AL73" i="36"/>
  <c r="AL75" i="36"/>
  <c r="AK75" i="36"/>
  <c r="AK73" i="36"/>
  <c r="AK74" i="36"/>
  <c r="AN75" i="36"/>
  <c r="AN73" i="36"/>
  <c r="AN74" i="36"/>
  <c r="DB15" i="36"/>
  <c r="DB16" i="36"/>
  <c r="AO59" i="36"/>
  <c r="AO58" i="36"/>
  <c r="AO57" i="36"/>
  <c r="AL72" i="36"/>
  <c r="AK57" i="36"/>
  <c r="AK59" i="36"/>
  <c r="AK58" i="36"/>
  <c r="AP57" i="36"/>
  <c r="AP58" i="36"/>
  <c r="AP59" i="36"/>
  <c r="AN72" i="36"/>
  <c r="AL59" i="36"/>
  <c r="AL78" i="36" s="1"/>
  <c r="AL57" i="36"/>
  <c r="AL58" i="36"/>
  <c r="AO72" i="36"/>
  <c r="AM58" i="36"/>
  <c r="AM77" i="36" s="1"/>
  <c r="AM59" i="36"/>
  <c r="AM78" i="36" s="1"/>
  <c r="AM57" i="36"/>
  <c r="AQ72" i="36"/>
  <c r="AN59" i="36"/>
  <c r="AN57" i="36"/>
  <c r="AN76" i="36" s="1"/>
  <c r="AN58" i="36"/>
  <c r="AQ58" i="36"/>
  <c r="AQ57" i="36"/>
  <c r="AQ59" i="36"/>
  <c r="AM122" i="40"/>
  <c r="AY25" i="40"/>
  <c r="BA25" i="40" s="1"/>
  <c r="BC25" i="40" s="1"/>
  <c r="AM137" i="40"/>
  <c r="AM143" i="40"/>
  <c r="AM134" i="40"/>
  <c r="AM125" i="40"/>
  <c r="AM120" i="40"/>
  <c r="AM135" i="40"/>
  <c r="AM129" i="40"/>
  <c r="AM126" i="40"/>
  <c r="CN8" i="40" s="1"/>
  <c r="AM141" i="40"/>
  <c r="AM138" i="40"/>
  <c r="AM124" i="40"/>
  <c r="AM139" i="40"/>
  <c r="AM136" i="40"/>
  <c r="AM130" i="40"/>
  <c r="AM123" i="40"/>
  <c r="CN12" i="40" s="1"/>
  <c r="AM142" i="40"/>
  <c r="AM128" i="40"/>
  <c r="AM121" i="40"/>
  <c r="AM140" i="40"/>
  <c r="AM133" i="40"/>
  <c r="BA52" i="40"/>
  <c r="BC52" i="40" s="1"/>
  <c r="BA35" i="40"/>
  <c r="BO35" i="40" s="1"/>
  <c r="BA26" i="40"/>
  <c r="BO26" i="40" s="1"/>
  <c r="BD59" i="36"/>
  <c r="BG59" i="36" s="1"/>
  <c r="BD23" i="36"/>
  <c r="BE23" i="36" s="1"/>
  <c r="BF23" i="36" s="1"/>
  <c r="BK23" i="36" s="1"/>
  <c r="BL23" i="36" s="1"/>
  <c r="BD14" i="36"/>
  <c r="BH14" i="36" s="1"/>
  <c r="BD41" i="36"/>
  <c r="BH41" i="36" s="1"/>
  <c r="BQ23" i="36"/>
  <c r="BQ59" i="36"/>
  <c r="AO144" i="40"/>
  <c r="AN131" i="40"/>
  <c r="AP56" i="40"/>
  <c r="AM164" i="40"/>
  <c r="AQ71" i="40"/>
  <c r="AP144" i="40"/>
  <c r="BO42" i="40"/>
  <c r="BC42" i="40"/>
  <c r="AO109" i="40"/>
  <c r="AN71" i="40"/>
  <c r="BQ32" i="36"/>
  <c r="BD32" i="36"/>
  <c r="BO32" i="40"/>
  <c r="BC32" i="40"/>
  <c r="AN56" i="40"/>
  <c r="BO60" i="40"/>
  <c r="BC60" i="40"/>
  <c r="BO15" i="40"/>
  <c r="BC15" i="40"/>
  <c r="AL109" i="40"/>
  <c r="AP109" i="40"/>
  <c r="BO50" i="40"/>
  <c r="BC50" i="40"/>
  <c r="BO43" i="40"/>
  <c r="BC43" i="40"/>
  <c r="AO131" i="40"/>
  <c r="AM56" i="40"/>
  <c r="BO59" i="40"/>
  <c r="BC59" i="40"/>
  <c r="AQ56" i="40"/>
  <c r="AP164" i="40"/>
  <c r="AN109" i="40"/>
  <c r="AP95" i="40"/>
  <c r="CQ7" i="40" s="1"/>
  <c r="CQ13" i="40" s="1"/>
  <c r="AQ144" i="40"/>
  <c r="BO16" i="40"/>
  <c r="BC16" i="40"/>
  <c r="AM109" i="40"/>
  <c r="BO23" i="40"/>
  <c r="BC23" i="40"/>
  <c r="BO41" i="40"/>
  <c r="BC41" i="40"/>
  <c r="AO71" i="40"/>
  <c r="BH4" i="36"/>
  <c r="BG4" i="36"/>
  <c r="BI4" i="36"/>
  <c r="BE4" i="36"/>
  <c r="BF4" i="36" s="1"/>
  <c r="BK4" i="36" s="1"/>
  <c r="BL4" i="36" s="1"/>
  <c r="BO62" i="40"/>
  <c r="BC62" i="40"/>
  <c r="AO95" i="40"/>
  <c r="CP7" i="40" s="1"/>
  <c r="CP13" i="40" s="1"/>
  <c r="AP131" i="40"/>
  <c r="AQ95" i="40"/>
  <c r="CR7" i="40" s="1"/>
  <c r="CR13" i="40" s="1"/>
  <c r="AQ109" i="40"/>
  <c r="AL95" i="40"/>
  <c r="CM7" i="40" s="1"/>
  <c r="CM13" i="40" s="1"/>
  <c r="AK161" i="40"/>
  <c r="AK157" i="40"/>
  <c r="AK155" i="40"/>
  <c r="AK153" i="40"/>
  <c r="AK160" i="40"/>
  <c r="AK165" i="40"/>
  <c r="AK163" i="40"/>
  <c r="AK159" i="40"/>
  <c r="AK156" i="40"/>
  <c r="AK154" i="40"/>
  <c r="AK158" i="40"/>
  <c r="AK162" i="40"/>
  <c r="AY7" i="40"/>
  <c r="BA7" i="40" s="1"/>
  <c r="BO61" i="40"/>
  <c r="BC61" i="40"/>
  <c r="AL144" i="40"/>
  <c r="AL131" i="40"/>
  <c r="AK68" i="40"/>
  <c r="AK64" i="40"/>
  <c r="CL6" i="40" s="1"/>
  <c r="AK60" i="40"/>
  <c r="AK54" i="40"/>
  <c r="AK52" i="40"/>
  <c r="AK70" i="40"/>
  <c r="AK69" i="40"/>
  <c r="AK61" i="40"/>
  <c r="CL10" i="40" s="1"/>
  <c r="CS10" i="40" s="1"/>
  <c r="AK55" i="40"/>
  <c r="AK51" i="40"/>
  <c r="AK66" i="40"/>
  <c r="AK65" i="40"/>
  <c r="AK63" i="40"/>
  <c r="AK47" i="40"/>
  <c r="AK67" i="40"/>
  <c r="AK48" i="40"/>
  <c r="AK62" i="40"/>
  <c r="AK53" i="40"/>
  <c r="AK50" i="40"/>
  <c r="AK49" i="40"/>
  <c r="AK46" i="40"/>
  <c r="AK45" i="40"/>
  <c r="AY4" i="40"/>
  <c r="BA4" i="40" s="1"/>
  <c r="BO24" i="40"/>
  <c r="BC24" i="40"/>
  <c r="AK108" i="40"/>
  <c r="AK104" i="40"/>
  <c r="AK100" i="40"/>
  <c r="AK92" i="40"/>
  <c r="CL11" i="40" s="1"/>
  <c r="CS11" i="40" s="1"/>
  <c r="AK88" i="40"/>
  <c r="AK84" i="40"/>
  <c r="AK106" i="40"/>
  <c r="AK102" i="40"/>
  <c r="AK98" i="40"/>
  <c r="AK105" i="40"/>
  <c r="AK91" i="40"/>
  <c r="AK86" i="40"/>
  <c r="AK103" i="40"/>
  <c r="AK101" i="40"/>
  <c r="AK99" i="40"/>
  <c r="AK93" i="40"/>
  <c r="AK89" i="40"/>
  <c r="AK107" i="40"/>
  <c r="AK90" i="40"/>
  <c r="AK94" i="40"/>
  <c r="AK85" i="40"/>
  <c r="AK87" i="40"/>
  <c r="AY5" i="40"/>
  <c r="BA5" i="40" s="1"/>
  <c r="AO56" i="40"/>
  <c r="BO53" i="40"/>
  <c r="BC53" i="40"/>
  <c r="BO33" i="40"/>
  <c r="BC33" i="40"/>
  <c r="BO14" i="40"/>
  <c r="BC14" i="40"/>
  <c r="BO51" i="40"/>
  <c r="BC51" i="40"/>
  <c r="BO34" i="40"/>
  <c r="BC34" i="40"/>
  <c r="AN144" i="40"/>
  <c r="AP71" i="40"/>
  <c r="AQ131" i="40"/>
  <c r="AM95" i="40"/>
  <c r="CN7" i="40" s="1"/>
  <c r="AM71" i="40"/>
  <c r="AK140" i="40"/>
  <c r="AK136" i="40"/>
  <c r="AK129" i="40"/>
  <c r="AK125" i="40"/>
  <c r="AK121" i="40"/>
  <c r="AK143" i="40"/>
  <c r="AK139" i="40"/>
  <c r="AK135" i="40"/>
  <c r="AK128" i="40"/>
  <c r="AK124" i="40"/>
  <c r="AK120" i="40"/>
  <c r="AK142" i="40"/>
  <c r="AK138" i="40"/>
  <c r="AK134" i="40"/>
  <c r="AK127" i="40"/>
  <c r="AK123" i="40"/>
  <c r="CL12" i="40" s="1"/>
  <c r="AK141" i="40"/>
  <c r="AK126" i="40"/>
  <c r="CL8" i="40" s="1"/>
  <c r="AK122" i="40"/>
  <c r="AK130" i="40"/>
  <c r="AK137" i="40"/>
  <c r="AK133" i="40"/>
  <c r="AY6" i="40"/>
  <c r="BA6" i="40" s="1"/>
  <c r="BQ50" i="36"/>
  <c r="BD50" i="36"/>
  <c r="AN95" i="40"/>
  <c r="CO7" i="40" s="1"/>
  <c r="CO13" i="40" s="1"/>
  <c r="BO17" i="40"/>
  <c r="BC17" i="40"/>
  <c r="AL56" i="40"/>
  <c r="AL71" i="40"/>
  <c r="AN77" i="36" l="1"/>
  <c r="BC44" i="40"/>
  <c r="BQ44" i="40" s="1"/>
  <c r="AN78" i="36"/>
  <c r="CS8" i="40"/>
  <c r="AQ77" i="36"/>
  <c r="AO76" i="36"/>
  <c r="AO80" i="36" s="1"/>
  <c r="AQ76" i="36"/>
  <c r="AQ79" i="36" s="1"/>
  <c r="AP78" i="36"/>
  <c r="CS12" i="40"/>
  <c r="AQ78" i="36"/>
  <c r="AL76" i="36"/>
  <c r="AL79" i="36" s="1"/>
  <c r="AP77" i="36"/>
  <c r="AO78" i="36"/>
  <c r="AP76" i="36"/>
  <c r="AP79" i="36" s="1"/>
  <c r="CZ17" i="36" a="1"/>
  <c r="CZ17" i="36" s="1"/>
  <c r="DB18" i="36" s="1"/>
  <c r="DB21" i="36" s="1"/>
  <c r="DB20" i="36" s="1"/>
  <c r="AM76" i="36"/>
  <c r="AM80" i="36" s="1"/>
  <c r="AR74" i="36"/>
  <c r="AL77" i="36"/>
  <c r="AO77" i="36"/>
  <c r="AR73" i="36"/>
  <c r="AR75" i="36"/>
  <c r="AR59" i="36"/>
  <c r="AK78" i="36"/>
  <c r="AN80" i="36"/>
  <c r="AN79" i="36"/>
  <c r="AR57" i="36"/>
  <c r="AK76" i="36"/>
  <c r="AK77" i="36"/>
  <c r="AK113" i="36" s="1"/>
  <c r="AR58" i="36"/>
  <c r="BE59" i="36"/>
  <c r="BF59" i="36" s="1"/>
  <c r="BJ59" i="36" s="1"/>
  <c r="CN13" i="40"/>
  <c r="BO25" i="40"/>
  <c r="AM131" i="40"/>
  <c r="AM144" i="40"/>
  <c r="BO52" i="40"/>
  <c r="BC35" i="40"/>
  <c r="BQ35" i="40" s="1"/>
  <c r="BI23" i="36"/>
  <c r="BC26" i="40"/>
  <c r="BL26" i="40" s="1"/>
  <c r="BH59" i="36"/>
  <c r="BH23" i="36"/>
  <c r="BI59" i="36"/>
  <c r="BI14" i="36"/>
  <c r="BG23" i="36"/>
  <c r="BI41" i="36"/>
  <c r="BG14" i="36"/>
  <c r="BE14" i="36"/>
  <c r="BF14" i="36" s="1"/>
  <c r="BE41" i="36"/>
  <c r="BF41" i="36" s="1"/>
  <c r="BG41" i="36"/>
  <c r="AK56" i="40"/>
  <c r="BM4" i="36"/>
  <c r="AK131" i="40"/>
  <c r="BL14" i="40"/>
  <c r="BD14" i="40"/>
  <c r="BQ14" i="40"/>
  <c r="AK95" i="40"/>
  <c r="CL7" i="40" s="1"/>
  <c r="CS7" i="40" s="1"/>
  <c r="AK109" i="40"/>
  <c r="BL51" i="40"/>
  <c r="BD51" i="40"/>
  <c r="BQ51" i="40"/>
  <c r="BM23" i="36"/>
  <c r="BO7" i="40"/>
  <c r="BC7" i="40"/>
  <c r="BD17" i="40"/>
  <c r="BQ17" i="40"/>
  <c r="BL17" i="40"/>
  <c r="BI50" i="36"/>
  <c r="BE50" i="36"/>
  <c r="BF50" i="36" s="1"/>
  <c r="BK50" i="36" s="1"/>
  <c r="BL50" i="36" s="1"/>
  <c r="BH50" i="36"/>
  <c r="BG50" i="36"/>
  <c r="BQ53" i="40"/>
  <c r="BD53" i="40"/>
  <c r="BL53" i="40"/>
  <c r="BO5" i="40"/>
  <c r="BC5" i="40"/>
  <c r="BD25" i="40"/>
  <c r="BQ25" i="40"/>
  <c r="BL25" i="40"/>
  <c r="BO4" i="40"/>
  <c r="BC4" i="40"/>
  <c r="AK71" i="40"/>
  <c r="AK164" i="40"/>
  <c r="BJ4" i="36"/>
  <c r="BN4" i="36"/>
  <c r="BQ41" i="40"/>
  <c r="BD41" i="40"/>
  <c r="BL41" i="40"/>
  <c r="BD60" i="40"/>
  <c r="BQ60" i="40"/>
  <c r="BL60" i="40"/>
  <c r="BI32" i="36"/>
  <c r="BE32" i="36"/>
  <c r="BF32" i="36" s="1"/>
  <c r="BK32" i="36" s="1"/>
  <c r="BL32" i="36" s="1"/>
  <c r="BH32" i="36"/>
  <c r="BG32" i="36"/>
  <c r="BN23" i="36"/>
  <c r="BJ23" i="36"/>
  <c r="CS6" i="40"/>
  <c r="BD61" i="40"/>
  <c r="BQ61" i="40"/>
  <c r="BL61" i="40"/>
  <c r="BD62" i="40"/>
  <c r="BQ62" i="40"/>
  <c r="BL62" i="40"/>
  <c r="BL16" i="40"/>
  <c r="BD16" i="40"/>
  <c r="BQ16" i="40"/>
  <c r="BD59" i="40"/>
  <c r="BQ59" i="40"/>
  <c r="BL59" i="40"/>
  <c r="BQ32" i="40"/>
  <c r="BL32" i="40"/>
  <c r="BD32" i="40"/>
  <c r="BO6" i="40"/>
  <c r="BC6" i="40"/>
  <c r="BD24" i="40"/>
  <c r="BQ24" i="40"/>
  <c r="BL24" i="40"/>
  <c r="BL23" i="40"/>
  <c r="BD23" i="40"/>
  <c r="BQ23" i="40"/>
  <c r="BQ43" i="40"/>
  <c r="BD43" i="40"/>
  <c r="BL43" i="40"/>
  <c r="BD50" i="40"/>
  <c r="BQ50" i="40"/>
  <c r="BL50" i="40"/>
  <c r="BL15" i="40"/>
  <c r="BD15" i="40"/>
  <c r="BQ15" i="40"/>
  <c r="BQ52" i="40"/>
  <c r="BD52" i="40"/>
  <c r="BL52" i="40"/>
  <c r="BQ34" i="40"/>
  <c r="BD34" i="40"/>
  <c r="BL34" i="40"/>
  <c r="BQ33" i="40"/>
  <c r="BL33" i="40"/>
  <c r="BD33" i="40"/>
  <c r="AK144" i="40"/>
  <c r="BQ42" i="40"/>
  <c r="BD42" i="40"/>
  <c r="BL42" i="40"/>
  <c r="F8" i="27" l="1"/>
  <c r="G8" i="27"/>
  <c r="BD44" i="40"/>
  <c r="BH44" i="40" s="1"/>
  <c r="BL44" i="40"/>
  <c r="CY14" i="36"/>
  <c r="AQ80" i="36"/>
  <c r="AZ60" i="36" s="1"/>
  <c r="AO79" i="36"/>
  <c r="BB42" i="36" s="1"/>
  <c r="AL80" i="36"/>
  <c r="AL82" i="36" s="1"/>
  <c r="AP80" i="36"/>
  <c r="AZ51" i="36" s="1"/>
  <c r="CY23" i="36" a="1"/>
  <c r="CY23" i="36" s="1"/>
  <c r="CY15" i="36" s="1"/>
  <c r="AM79" i="36"/>
  <c r="CN10" i="36" s="1"/>
  <c r="BM59" i="36"/>
  <c r="BJ41" i="36"/>
  <c r="BK41" i="36"/>
  <c r="BL41" i="36" s="1"/>
  <c r="BJ14" i="36"/>
  <c r="BK14" i="36"/>
  <c r="BL14" i="36" s="1"/>
  <c r="BN59" i="36"/>
  <c r="BK59" i="36"/>
  <c r="BL59" i="36" s="1"/>
  <c r="CQ10" i="36"/>
  <c r="BB51" i="36"/>
  <c r="AK80" i="36"/>
  <c r="AK79" i="36"/>
  <c r="BB33" i="36"/>
  <c r="CO10" i="36"/>
  <c r="AM82" i="36"/>
  <c r="AZ24" i="36"/>
  <c r="AK115" i="36"/>
  <c r="AK116" i="36"/>
  <c r="BB60" i="36"/>
  <c r="CR10" i="36"/>
  <c r="CM10" i="36"/>
  <c r="BB15" i="36"/>
  <c r="AN82" i="36"/>
  <c r="AZ33" i="36"/>
  <c r="AO82" i="36"/>
  <c r="AZ42" i="36"/>
  <c r="BM41" i="36"/>
  <c r="BL35" i="40"/>
  <c r="BD35" i="40"/>
  <c r="BI35" i="40" s="1"/>
  <c r="BQ26" i="40"/>
  <c r="BD26" i="40"/>
  <c r="BG26" i="40" s="1"/>
  <c r="CL13" i="40"/>
  <c r="BN41" i="36"/>
  <c r="BM14" i="36"/>
  <c r="BN14" i="36"/>
  <c r="BM32" i="36"/>
  <c r="BH24" i="40"/>
  <c r="BG24" i="40"/>
  <c r="BI24" i="40"/>
  <c r="BE24" i="40"/>
  <c r="BF24" i="40" s="1"/>
  <c r="BI42" i="40"/>
  <c r="BE42" i="40"/>
  <c r="BF42" i="40" s="1"/>
  <c r="BH42" i="40"/>
  <c r="BG42" i="40"/>
  <c r="BG33" i="40"/>
  <c r="BI33" i="40"/>
  <c r="BE33" i="40"/>
  <c r="BF33" i="40" s="1"/>
  <c r="BH33" i="40"/>
  <c r="BI34" i="40"/>
  <c r="BE34" i="40"/>
  <c r="BF34" i="40" s="1"/>
  <c r="BH34" i="40"/>
  <c r="BG34" i="40"/>
  <c r="BH52" i="40"/>
  <c r="BG52" i="40"/>
  <c r="BI52" i="40"/>
  <c r="BE52" i="40"/>
  <c r="BF52" i="40" s="1"/>
  <c r="BG43" i="40"/>
  <c r="BI43" i="40"/>
  <c r="BH43" i="40"/>
  <c r="BE43" i="40"/>
  <c r="BF43" i="40" s="1"/>
  <c r="BQ6" i="40"/>
  <c r="BD6" i="40"/>
  <c r="BL6" i="40"/>
  <c r="BG16" i="40"/>
  <c r="BI16" i="40"/>
  <c r="BH16" i="40"/>
  <c r="BE16" i="40"/>
  <c r="BF16" i="40" s="1"/>
  <c r="BH61" i="40"/>
  <c r="BE61" i="40"/>
  <c r="BF61" i="40" s="1"/>
  <c r="BI61" i="40"/>
  <c r="BG61" i="40"/>
  <c r="BI60" i="40"/>
  <c r="BH60" i="40"/>
  <c r="BG60" i="40"/>
  <c r="BE60" i="40"/>
  <c r="BF60" i="40" s="1"/>
  <c r="BQ5" i="40"/>
  <c r="BD5" i="40"/>
  <c r="BL5" i="40"/>
  <c r="BQ7" i="40"/>
  <c r="BD7" i="40"/>
  <c r="BL7" i="40"/>
  <c r="BG51" i="40"/>
  <c r="BE51" i="40"/>
  <c r="BF51" i="40" s="1"/>
  <c r="BH51" i="40"/>
  <c r="BI51" i="40"/>
  <c r="BH14" i="40"/>
  <c r="BG14" i="40"/>
  <c r="BE14" i="40"/>
  <c r="BF14" i="40" s="1"/>
  <c r="BI14" i="40"/>
  <c r="BH15" i="40"/>
  <c r="BG15" i="40"/>
  <c r="BE15" i="40"/>
  <c r="BF15" i="40" s="1"/>
  <c r="BI15" i="40"/>
  <c r="BH50" i="40"/>
  <c r="BI50" i="40"/>
  <c r="BG50" i="40"/>
  <c r="BE50" i="40"/>
  <c r="BF50" i="40" s="1"/>
  <c r="BH23" i="40"/>
  <c r="BG23" i="40"/>
  <c r="BE23" i="40"/>
  <c r="BF23" i="40" s="1"/>
  <c r="BI23" i="40"/>
  <c r="BG32" i="40"/>
  <c r="BI32" i="40"/>
  <c r="BE32" i="40"/>
  <c r="BF32" i="40" s="1"/>
  <c r="BH32" i="40"/>
  <c r="BG62" i="40"/>
  <c r="BI62" i="40"/>
  <c r="BH62" i="40"/>
  <c r="BE62" i="40"/>
  <c r="BF62" i="40" s="1"/>
  <c r="BH17" i="40"/>
  <c r="BI17" i="40"/>
  <c r="BG17" i="40"/>
  <c r="BE17" i="40"/>
  <c r="BF17" i="40" s="1"/>
  <c r="BH59" i="40"/>
  <c r="BG59" i="40"/>
  <c r="BE59" i="40"/>
  <c r="BF59" i="40" s="1"/>
  <c r="BI59" i="40"/>
  <c r="BJ50" i="36"/>
  <c r="BN50" i="36"/>
  <c r="BN32" i="36"/>
  <c r="BJ32" i="36"/>
  <c r="BI41" i="40"/>
  <c r="BE41" i="40"/>
  <c r="BF41" i="40" s="1"/>
  <c r="BG41" i="40"/>
  <c r="BH41" i="40"/>
  <c r="BQ4" i="40"/>
  <c r="BD4" i="40"/>
  <c r="BL4" i="40"/>
  <c r="BH25" i="40"/>
  <c r="BG25" i="40"/>
  <c r="BE25" i="40"/>
  <c r="BF25" i="40" s="1"/>
  <c r="BI25" i="40"/>
  <c r="BI53" i="40"/>
  <c r="BE53" i="40"/>
  <c r="BF53" i="40" s="1"/>
  <c r="BH53" i="40"/>
  <c r="BG53" i="40"/>
  <c r="BM50" i="36"/>
  <c r="BI44" i="40" l="1"/>
  <c r="G17" i="27"/>
  <c r="F17" i="27"/>
  <c r="G19" i="27"/>
  <c r="F19" i="27"/>
  <c r="G15" i="27"/>
  <c r="F15" i="27"/>
  <c r="G14" i="27"/>
  <c r="F14" i="27"/>
  <c r="A20" i="27"/>
  <c r="CI2" i="27" s="1"/>
  <c r="G18" i="27"/>
  <c r="F18" i="27"/>
  <c r="G10" i="27"/>
  <c r="F10" i="27"/>
  <c r="F9" i="27"/>
  <c r="G9" i="27"/>
  <c r="C20" i="27"/>
  <c r="D21" i="27" s="1" a="1"/>
  <c r="D21" i="27" s="1"/>
  <c r="D22" i="27" s="1"/>
  <c r="D20" i="27" s="1"/>
  <c r="F12" i="27"/>
  <c r="G12" i="27"/>
  <c r="G16" i="27"/>
  <c r="F16" i="27"/>
  <c r="F13" i="27"/>
  <c r="G13" i="27"/>
  <c r="BE44" i="40"/>
  <c r="BF44" i="40" s="1"/>
  <c r="BJ44" i="40" s="1"/>
  <c r="BG44" i="40"/>
  <c r="AP82" i="36"/>
  <c r="AP105" i="36" s="1"/>
  <c r="AQ82" i="36"/>
  <c r="AQ88" i="36" s="1"/>
  <c r="AZ15" i="36"/>
  <c r="CP10" i="36"/>
  <c r="BH26" i="40"/>
  <c r="BB24" i="36"/>
  <c r="AZ6" i="36"/>
  <c r="AK118" i="36"/>
  <c r="CL10" i="36"/>
  <c r="BB5" i="36"/>
  <c r="AO91" i="36"/>
  <c r="AO98" i="36"/>
  <c r="AO105" i="36"/>
  <c r="AO85" i="36"/>
  <c r="AO84" i="36"/>
  <c r="AO92" i="36"/>
  <c r="AO107" i="36"/>
  <c r="AO87" i="36"/>
  <c r="AO94" i="36"/>
  <c r="AO101" i="36"/>
  <c r="AO104" i="36"/>
  <c r="AY42" i="36"/>
  <c r="BA42" i="36" s="1"/>
  <c r="BO42" i="36" s="1"/>
  <c r="AT45" i="36" s="1" a="1"/>
  <c r="AT45" i="36" s="1"/>
  <c r="AO103" i="36"/>
  <c r="AO106" i="36"/>
  <c r="AO90" i="36"/>
  <c r="AO93" i="36"/>
  <c r="AO100" i="36"/>
  <c r="AO108" i="36"/>
  <c r="AO99" i="36"/>
  <c r="AO102" i="36"/>
  <c r="AO86" i="36"/>
  <c r="AO89" i="36"/>
  <c r="AO88" i="36"/>
  <c r="CP6" i="36"/>
  <c r="CL11" i="36"/>
  <c r="BB6" i="36"/>
  <c r="AK82" i="36"/>
  <c r="AZ5" i="36"/>
  <c r="AN92" i="36"/>
  <c r="AN103" i="36"/>
  <c r="AN106" i="36"/>
  <c r="AN90" i="36"/>
  <c r="AN101" i="36"/>
  <c r="AY33" i="36"/>
  <c r="BA33" i="36" s="1"/>
  <c r="BO33" i="36" s="1"/>
  <c r="AT36" i="36" s="1" a="1"/>
  <c r="AT36" i="36" s="1"/>
  <c r="AN108" i="36"/>
  <c r="AN88" i="36"/>
  <c r="AN99" i="36"/>
  <c r="AN102" i="36"/>
  <c r="AN86" i="36"/>
  <c r="AN89" i="36"/>
  <c r="AN104" i="36"/>
  <c r="AN84" i="36"/>
  <c r="AN91" i="36"/>
  <c r="AN98" i="36"/>
  <c r="CO6" i="36"/>
  <c r="AN85" i="36"/>
  <c r="AN100" i="36"/>
  <c r="AN107" i="36"/>
  <c r="AN87" i="36"/>
  <c r="AN94" i="36"/>
  <c r="AN105" i="36"/>
  <c r="AN93" i="36"/>
  <c r="AM101" i="36"/>
  <c r="AM108" i="36"/>
  <c r="AM88" i="36"/>
  <c r="AM99" i="36"/>
  <c r="CN6" i="36"/>
  <c r="AM102" i="36"/>
  <c r="AM93" i="36"/>
  <c r="AM104" i="36"/>
  <c r="AM84" i="36"/>
  <c r="AM91" i="36"/>
  <c r="AM106" i="36"/>
  <c r="AM98" i="36"/>
  <c r="AM110" i="36" s="1"/>
  <c r="AM89" i="36"/>
  <c r="AM100" i="36"/>
  <c r="AM107" i="36"/>
  <c r="AM87" i="36"/>
  <c r="AM90" i="36"/>
  <c r="AY24" i="36"/>
  <c r="BA24" i="36" s="1"/>
  <c r="BO24" i="36" s="1"/>
  <c r="AT27" i="36" s="1" a="1"/>
  <c r="AT27" i="36" s="1"/>
  <c r="AM105" i="36"/>
  <c r="AM85" i="36"/>
  <c r="AM92" i="36"/>
  <c r="AM103" i="36"/>
  <c r="AM94" i="36"/>
  <c r="AM86" i="36"/>
  <c r="AL106" i="36"/>
  <c r="AL90" i="36"/>
  <c r="AL93" i="36"/>
  <c r="AL104" i="36"/>
  <c r="AL84" i="36"/>
  <c r="AY15" i="36"/>
  <c r="AL102" i="36"/>
  <c r="AL86" i="36"/>
  <c r="AL89" i="36"/>
  <c r="AL100" i="36"/>
  <c r="AL103" i="36"/>
  <c r="AL91" i="36"/>
  <c r="AL98" i="36"/>
  <c r="AL105" i="36"/>
  <c r="AL85" i="36"/>
  <c r="AL92" i="36"/>
  <c r="AL99" i="36"/>
  <c r="AL107" i="36"/>
  <c r="AL94" i="36"/>
  <c r="AL101" i="36"/>
  <c r="AL108" i="36"/>
  <c r="AL88" i="36"/>
  <c r="AL87" i="36"/>
  <c r="CM6" i="36"/>
  <c r="BG35" i="40"/>
  <c r="BE35" i="40"/>
  <c r="BF35" i="40" s="1"/>
  <c r="BJ35" i="40" s="1"/>
  <c r="BH35" i="40"/>
  <c r="BE26" i="40"/>
  <c r="BF26" i="40" s="1"/>
  <c r="BJ26" i="40" s="1"/>
  <c r="BI26" i="40"/>
  <c r="BM32" i="40"/>
  <c r="BM50" i="40"/>
  <c r="BM51" i="40"/>
  <c r="BM16" i="40"/>
  <c r="BM24" i="40"/>
  <c r="BM53" i="40"/>
  <c r="BM41" i="40"/>
  <c r="BM14" i="40"/>
  <c r="BM42" i="40"/>
  <c r="BM43" i="40"/>
  <c r="BM33" i="40"/>
  <c r="BN59" i="40"/>
  <c r="BJ59" i="40"/>
  <c r="BN17" i="40"/>
  <c r="BJ17" i="40"/>
  <c r="BM62" i="40"/>
  <c r="BJ23" i="40"/>
  <c r="BN23" i="40"/>
  <c r="BG5" i="40"/>
  <c r="BI5" i="40"/>
  <c r="BH5" i="40"/>
  <c r="BE5" i="40"/>
  <c r="BF5" i="40" s="1"/>
  <c r="BN60" i="40"/>
  <c r="BJ60" i="40"/>
  <c r="BJ61" i="40"/>
  <c r="BN61" i="40"/>
  <c r="BN34" i="40"/>
  <c r="BJ34" i="40"/>
  <c r="BN33" i="40"/>
  <c r="BJ33" i="40"/>
  <c r="BJ62" i="40"/>
  <c r="BN62" i="40"/>
  <c r="BI7" i="40"/>
  <c r="BE7" i="40"/>
  <c r="BF7" i="40" s="1"/>
  <c r="BH7" i="40"/>
  <c r="BG7" i="40"/>
  <c r="BN53" i="40"/>
  <c r="BJ53" i="40"/>
  <c r="BJ25" i="40"/>
  <c r="BN25" i="40"/>
  <c r="BM59" i="40"/>
  <c r="BM17" i="40"/>
  <c r="BN32" i="40"/>
  <c r="BJ32" i="40"/>
  <c r="BM23" i="40"/>
  <c r="BM15" i="40"/>
  <c r="BJ14" i="40"/>
  <c r="BN14" i="40"/>
  <c r="BN51" i="40"/>
  <c r="BJ51" i="40"/>
  <c r="BN43" i="40"/>
  <c r="BJ43" i="40"/>
  <c r="BM34" i="40"/>
  <c r="BJ15" i="40"/>
  <c r="BN15" i="40"/>
  <c r="BM25" i="40"/>
  <c r="BG4" i="40"/>
  <c r="BE4" i="40"/>
  <c r="BF4" i="40" s="1"/>
  <c r="BI4" i="40"/>
  <c r="BH4" i="40"/>
  <c r="BN41" i="40"/>
  <c r="BJ41" i="40"/>
  <c r="BN50" i="40"/>
  <c r="BJ50" i="40"/>
  <c r="BM60" i="40"/>
  <c r="BM61" i="40"/>
  <c r="BN16" i="40"/>
  <c r="BJ16" i="40"/>
  <c r="BI6" i="40"/>
  <c r="BE6" i="40"/>
  <c r="BF6" i="40" s="1"/>
  <c r="BH6" i="40"/>
  <c r="BG6" i="40"/>
  <c r="BN52" i="40"/>
  <c r="BJ52" i="40"/>
  <c r="BM52" i="40"/>
  <c r="BJ42" i="40"/>
  <c r="BN42" i="40"/>
  <c r="BJ24" i="40"/>
  <c r="BN24" i="40"/>
  <c r="CN1" i="27" l="1"/>
  <c r="CN2" i="27" s="1"/>
  <c r="CO3" i="27" s="1"/>
  <c r="BM44" i="40"/>
  <c r="BN44" i="40"/>
  <c r="BN35" i="40"/>
  <c r="AQ105" i="36"/>
  <c r="AP107" i="36"/>
  <c r="AY51" i="36"/>
  <c r="BA51" i="36" s="1"/>
  <c r="BO51" i="36" s="1"/>
  <c r="AT54" i="36" s="1" a="1"/>
  <c r="AT54" i="36" s="1"/>
  <c r="AP104" i="36"/>
  <c r="AP93" i="36"/>
  <c r="AP94" i="36"/>
  <c r="AP89" i="36"/>
  <c r="AP91" i="36"/>
  <c r="AP98" i="36"/>
  <c r="AP86" i="36"/>
  <c r="AP108" i="36"/>
  <c r="AQ91" i="36"/>
  <c r="BA15" i="36"/>
  <c r="BO15" i="36" s="1"/>
  <c r="AT18" i="36" s="1" a="1"/>
  <c r="AT18" i="36" s="1"/>
  <c r="AQ93" i="36"/>
  <c r="AP84" i="36"/>
  <c r="AP99" i="36"/>
  <c r="AP92" i="36"/>
  <c r="AQ87" i="36"/>
  <c r="CQ6" i="36"/>
  <c r="AP102" i="36"/>
  <c r="AP106" i="36"/>
  <c r="AP101" i="36"/>
  <c r="AP85" i="36"/>
  <c r="AQ103" i="36"/>
  <c r="AQ108" i="36"/>
  <c r="AP100" i="36"/>
  <c r="AP87" i="36"/>
  <c r="AP90" i="36"/>
  <c r="AP88" i="36"/>
  <c r="AP103" i="36"/>
  <c r="AQ92" i="36"/>
  <c r="AQ104" i="36"/>
  <c r="AQ94" i="36"/>
  <c r="AQ107" i="36"/>
  <c r="AQ86" i="36"/>
  <c r="AQ98" i="36"/>
  <c r="AQ90" i="36"/>
  <c r="CR6" i="36"/>
  <c r="AY60" i="36"/>
  <c r="BA60" i="36" s="1"/>
  <c r="BO60" i="36" s="1"/>
  <c r="AT63" i="36" s="1" a="1"/>
  <c r="AT63" i="36" s="1"/>
  <c r="AQ85" i="36"/>
  <c r="AQ84" i="36"/>
  <c r="AQ99" i="36"/>
  <c r="AQ106" i="36"/>
  <c r="AQ101" i="36"/>
  <c r="AQ100" i="36"/>
  <c r="AQ102" i="36"/>
  <c r="AQ89" i="36"/>
  <c r="CS10" i="36"/>
  <c r="AL110" i="36"/>
  <c r="BC42" i="36"/>
  <c r="BD42" i="36" s="1"/>
  <c r="AP110" i="36"/>
  <c r="AN110" i="36"/>
  <c r="AQ110" i="36"/>
  <c r="AO110" i="36"/>
  <c r="BC33" i="36"/>
  <c r="BC24" i="36"/>
  <c r="AO109" i="36"/>
  <c r="AL109" i="36"/>
  <c r="AL95" i="36"/>
  <c r="AM95" i="36"/>
  <c r="AN95" i="36"/>
  <c r="AO95" i="36"/>
  <c r="AK133" i="36"/>
  <c r="AK142" i="36"/>
  <c r="AY6" i="36"/>
  <c r="BA6" i="36" s="1"/>
  <c r="BO6" i="36" s="1"/>
  <c r="AK139" i="36"/>
  <c r="AK124" i="36"/>
  <c r="AK134" i="36"/>
  <c r="AK140" i="36"/>
  <c r="AK125" i="36"/>
  <c r="AK120" i="36"/>
  <c r="AK135" i="36"/>
  <c r="AK126" i="36"/>
  <c r="AK143" i="36"/>
  <c r="AK127" i="36"/>
  <c r="AK129" i="36"/>
  <c r="AK122" i="36"/>
  <c r="AK138" i="36"/>
  <c r="AK136" i="36"/>
  <c r="AK128" i="36"/>
  <c r="AK137" i="36"/>
  <c r="AK141" i="36"/>
  <c r="CL7" i="36"/>
  <c r="AK123" i="36"/>
  <c r="AK130" i="36"/>
  <c r="AK121" i="36"/>
  <c r="AM109" i="36"/>
  <c r="AN109" i="36"/>
  <c r="AK103" i="36"/>
  <c r="AK106" i="36"/>
  <c r="AK90" i="36"/>
  <c r="AR90" i="36" s="1"/>
  <c r="AK93" i="36"/>
  <c r="AR93" i="36" s="1"/>
  <c r="AK100" i="36"/>
  <c r="CL6" i="36"/>
  <c r="AK99" i="36"/>
  <c r="AK102" i="36"/>
  <c r="AK86" i="36"/>
  <c r="AR86" i="36" s="1"/>
  <c r="AK89" i="36"/>
  <c r="AR89" i="36" s="1"/>
  <c r="AK88" i="36"/>
  <c r="AR88" i="36" s="1"/>
  <c r="AK108" i="36"/>
  <c r="AK91" i="36"/>
  <c r="AR91" i="36" s="1"/>
  <c r="AK98" i="36"/>
  <c r="AK105" i="36"/>
  <c r="AK85" i="36"/>
  <c r="AR85" i="36" s="1"/>
  <c r="AK84" i="36"/>
  <c r="AR84" i="36" s="1"/>
  <c r="AK97" i="36" s="1"/>
  <c r="AY5" i="36"/>
  <c r="BA5" i="36" s="1"/>
  <c r="BO5" i="36" s="1"/>
  <c r="AT8" i="36" s="1" a="1"/>
  <c r="AT8" i="36" s="1"/>
  <c r="AK107" i="36"/>
  <c r="AK87" i="36"/>
  <c r="AR87" i="36" s="1"/>
  <c r="AK94" i="36"/>
  <c r="AR94" i="36" s="1"/>
  <c r="AK101" i="36"/>
  <c r="AK104" i="36"/>
  <c r="AK92" i="36"/>
  <c r="AR92" i="36" s="1"/>
  <c r="AY10" i="27"/>
  <c r="BM35" i="40"/>
  <c r="BN26" i="40"/>
  <c r="BM26" i="40"/>
  <c r="BM6" i="40"/>
  <c r="BM7" i="40"/>
  <c r="BM5" i="40"/>
  <c r="BJ4" i="40"/>
  <c r="BN4" i="40"/>
  <c r="BN6" i="40"/>
  <c r="BJ6" i="40"/>
  <c r="BM4" i="40"/>
  <c r="BN7" i="40"/>
  <c r="BJ7" i="40"/>
  <c r="BN5" i="40"/>
  <c r="BJ5" i="40"/>
  <c r="B13" i="36"/>
  <c r="B16" i="36"/>
  <c r="B15" i="36"/>
  <c r="B14" i="36"/>
  <c r="B12" i="36"/>
  <c r="CN5" i="27" l="1"/>
  <c r="CQ4" i="27" s="1" a="1"/>
  <c r="CQ4" i="27" s="1"/>
  <c r="CT6" i="27"/>
  <c r="CO1" i="27"/>
  <c r="CQ1" i="27" s="1" a="1"/>
  <c r="CQ1" i="27" s="1"/>
  <c r="CO2" i="27" a="1"/>
  <c r="CO2" i="27" s="1"/>
  <c r="CQ6" i="27" s="1"/>
  <c r="CT5" i="27"/>
  <c r="BC51" i="36"/>
  <c r="BL51" i="36" s="1"/>
  <c r="BC15" i="36"/>
  <c r="BL15" i="36" s="1"/>
  <c r="AP109" i="36"/>
  <c r="AP95" i="36"/>
  <c r="AQ95" i="36"/>
  <c r="CS6" i="36"/>
  <c r="DB27" i="36" s="1"/>
  <c r="DB28" i="36" s="1"/>
  <c r="AQ109" i="36"/>
  <c r="BC60" i="36"/>
  <c r="BQ60" i="36" s="1"/>
  <c r="AW63" i="36" s="1" a="1"/>
  <c r="AW63" i="36" s="1"/>
  <c r="AX63" i="36" s="1"/>
  <c r="BL42" i="36"/>
  <c r="BQ42" i="36"/>
  <c r="AW45" i="36" s="1" a="1"/>
  <c r="AW45" i="36" s="1"/>
  <c r="AX45" i="36" s="1"/>
  <c r="AN96" i="36"/>
  <c r="AN113" i="36" s="1"/>
  <c r="AN97" i="36"/>
  <c r="AN114" i="36" s="1"/>
  <c r="AN147" i="36" s="1"/>
  <c r="AL97" i="36"/>
  <c r="AL114" i="36" s="1"/>
  <c r="AL147" i="36" s="1"/>
  <c r="AL96" i="36"/>
  <c r="AO97" i="36"/>
  <c r="AO114" i="36" s="1"/>
  <c r="AO147" i="36" s="1"/>
  <c r="AO96" i="36"/>
  <c r="AO113" i="36" s="1"/>
  <c r="AQ97" i="36"/>
  <c r="AQ114" i="36" s="1"/>
  <c r="AQ147" i="36" s="1"/>
  <c r="AQ96" i="36"/>
  <c r="AQ113" i="36" s="1"/>
  <c r="AK110" i="36"/>
  <c r="AP96" i="36"/>
  <c r="AP113" i="36" s="1"/>
  <c r="AP97" i="36"/>
  <c r="AP114" i="36" s="1"/>
  <c r="AP147" i="36" s="1"/>
  <c r="AK145" i="36"/>
  <c r="AK114" i="36"/>
  <c r="AK147" i="36" s="1"/>
  <c r="AM97" i="36"/>
  <c r="AM114" i="36" s="1"/>
  <c r="AM147" i="36" s="1"/>
  <c r="AM96" i="36"/>
  <c r="AM113" i="36" s="1"/>
  <c r="BQ33" i="36"/>
  <c r="AW36" i="36" s="1" a="1"/>
  <c r="AW36" i="36" s="1"/>
  <c r="AX36" i="36" s="1"/>
  <c r="BD33" i="36"/>
  <c r="BL33" i="36"/>
  <c r="AK109" i="36"/>
  <c r="BC5" i="36"/>
  <c r="BC6" i="36"/>
  <c r="AK95" i="36"/>
  <c r="AK131" i="36"/>
  <c r="AK144" i="36"/>
  <c r="BE42" i="36"/>
  <c r="BF42" i="36" s="1"/>
  <c r="BH42" i="36"/>
  <c r="BI42" i="36"/>
  <c r="BG42" i="36"/>
  <c r="BQ24" i="36"/>
  <c r="AW27" i="36" s="1" a="1"/>
  <c r="AW27" i="36" s="1"/>
  <c r="AX27" i="36" s="1"/>
  <c r="BD24" i="36"/>
  <c r="BL24" i="36"/>
  <c r="E17" i="36" a="1"/>
  <c r="E17" i="36" s="1"/>
  <c r="CY3" i="36" s="1"/>
  <c r="CX3" i="36" s="1"/>
  <c r="CR6" i="27" l="1"/>
  <c r="BD51" i="36"/>
  <c r="BQ51" i="36"/>
  <c r="AW54" i="36" s="1" a="1"/>
  <c r="AW54" i="36" s="1"/>
  <c r="AX54" i="36" s="1"/>
  <c r="BQ15" i="36"/>
  <c r="AW18" i="36" s="1" a="1"/>
  <c r="AW18" i="36" s="1"/>
  <c r="AX18" i="36" s="1"/>
  <c r="BD15" i="36"/>
  <c r="BI15" i="36" s="1"/>
  <c r="DB29" i="36"/>
  <c r="CZ30" i="36" s="1" a="1"/>
  <c r="CZ30" i="36" s="1"/>
  <c r="DB31" i="36" s="1"/>
  <c r="BD60" i="36"/>
  <c r="BH60" i="36" s="1"/>
  <c r="BL60" i="36"/>
  <c r="BM42" i="36"/>
  <c r="AR97" i="36"/>
  <c r="AN116" i="36"/>
  <c r="AN115" i="36"/>
  <c r="AK149" i="36"/>
  <c r="AK148" i="36"/>
  <c r="AP115" i="36"/>
  <c r="AP116" i="36"/>
  <c r="AO115" i="36"/>
  <c r="AO116" i="36"/>
  <c r="AN149" i="36"/>
  <c r="AN148" i="36"/>
  <c r="AO148" i="36"/>
  <c r="AO149" i="36"/>
  <c r="AM115" i="36"/>
  <c r="AM116" i="36"/>
  <c r="AQ116" i="36"/>
  <c r="AQ115" i="36"/>
  <c r="AR96" i="36"/>
  <c r="AL113" i="36"/>
  <c r="AM148" i="36"/>
  <c r="AM149" i="36"/>
  <c r="AP149" i="36"/>
  <c r="AP148" i="36"/>
  <c r="AQ149" i="36"/>
  <c r="AQ148" i="36"/>
  <c r="AL148" i="36"/>
  <c r="AL149" i="36"/>
  <c r="BN42" i="36"/>
  <c r="BJ42" i="36"/>
  <c r="BG33" i="36"/>
  <c r="BE33" i="36"/>
  <c r="BF33" i="36" s="1"/>
  <c r="BI33" i="36"/>
  <c r="BH33" i="36"/>
  <c r="BQ5" i="36"/>
  <c r="AW8" i="36" s="1" a="1"/>
  <c r="AW8" i="36" s="1"/>
  <c r="AX8" i="36" s="1"/>
  <c r="BL5" i="36"/>
  <c r="BD5" i="36"/>
  <c r="BE24" i="36"/>
  <c r="BF24" i="36" s="1"/>
  <c r="BH24" i="36"/>
  <c r="BG24" i="36"/>
  <c r="BI24" i="36"/>
  <c r="BD6" i="36"/>
  <c r="BL6" i="36"/>
  <c r="BQ6" i="36"/>
  <c r="AY11" i="27"/>
  <c r="CY55" i="36"/>
  <c r="CX55" i="36" s="1"/>
  <c r="CZ27" i="36"/>
  <c r="CY27" i="36" s="1"/>
  <c r="CY16" i="36"/>
  <c r="CX16" i="36" s="1"/>
  <c r="CY42" i="36"/>
  <c r="CX42" i="36" s="1"/>
  <c r="CQ3" i="27" l="1" a="1"/>
  <c r="CQ3" i="27" s="1"/>
  <c r="BI51" i="36"/>
  <c r="BG51" i="36"/>
  <c r="BH51" i="36"/>
  <c r="BE51" i="36"/>
  <c r="BF51" i="36" s="1"/>
  <c r="BE15" i="36"/>
  <c r="BF15" i="36" s="1"/>
  <c r="BJ15" i="36" s="1"/>
  <c r="BH15" i="36"/>
  <c r="BG15" i="36"/>
  <c r="BG60" i="36"/>
  <c r="BI60" i="36"/>
  <c r="BE60" i="36"/>
  <c r="BF60" i="36" s="1"/>
  <c r="BN60" i="36" s="1"/>
  <c r="BM33" i="36"/>
  <c r="AZ17" i="36"/>
  <c r="AL151" i="36"/>
  <c r="AL115" i="36"/>
  <c r="AL116" i="36"/>
  <c r="AZ25" i="36"/>
  <c r="AM118" i="36"/>
  <c r="CO11" i="36"/>
  <c r="BB34" i="36"/>
  <c r="DB34" i="36"/>
  <c r="DB33" i="36" s="1"/>
  <c r="CY29" i="36"/>
  <c r="CY36" i="36" a="1"/>
  <c r="CY36" i="36" s="1"/>
  <c r="AZ62" i="36"/>
  <c r="AQ151" i="36"/>
  <c r="CN12" i="36"/>
  <c r="BB26" i="36"/>
  <c r="AZ61" i="36"/>
  <c r="AQ118" i="36"/>
  <c r="CP12" i="36"/>
  <c r="BB44" i="36"/>
  <c r="BB43" i="36"/>
  <c r="CP11" i="36"/>
  <c r="AZ7" i="36"/>
  <c r="AK151" i="36"/>
  <c r="BB53" i="36"/>
  <c r="CQ12" i="36"/>
  <c r="AP118" i="36"/>
  <c r="AZ52" i="36"/>
  <c r="CM12" i="36"/>
  <c r="BB17" i="36"/>
  <c r="AZ53" i="36"/>
  <c r="AP151" i="36"/>
  <c r="CN11" i="36"/>
  <c r="BB25" i="36"/>
  <c r="AN151" i="36"/>
  <c r="AZ35" i="36"/>
  <c r="CQ11" i="36"/>
  <c r="BB52" i="36"/>
  <c r="AN118" i="36"/>
  <c r="AZ34" i="36"/>
  <c r="BM24" i="36"/>
  <c r="CO12" i="36"/>
  <c r="BB35" i="36"/>
  <c r="CR12" i="36"/>
  <c r="BB62" i="36"/>
  <c r="AZ26" i="36"/>
  <c r="AM151" i="36"/>
  <c r="BB61" i="36"/>
  <c r="CR11" i="36"/>
  <c r="AZ44" i="36"/>
  <c r="AO151" i="36"/>
  <c r="AZ43" i="36"/>
  <c r="AO118" i="36"/>
  <c r="BB7" i="36"/>
  <c r="CL12" i="36"/>
  <c r="BN24" i="36"/>
  <c r="BJ24" i="36"/>
  <c r="BI5" i="36"/>
  <c r="BG5" i="36"/>
  <c r="BH5" i="36"/>
  <c r="BE5" i="36"/>
  <c r="BF5" i="36" s="1"/>
  <c r="BJ33" i="36"/>
  <c r="BN33" i="36"/>
  <c r="BE6" i="36"/>
  <c r="BF6" i="36" s="1"/>
  <c r="BG6" i="36"/>
  <c r="BI6" i="36"/>
  <c r="BH6" i="36"/>
  <c r="AY12" i="27"/>
  <c r="ET23" i="36" l="1"/>
  <c r="EU18" i="36"/>
  <c r="EU27" i="40"/>
  <c r="ES10" i="40"/>
  <c r="ET25" i="40"/>
  <c r="ES13" i="40"/>
  <c r="ES25" i="40"/>
  <c r="ES8" i="40"/>
  <c r="ES11" i="40"/>
  <c r="ES7" i="40"/>
  <c r="ES3" i="40"/>
  <c r="ET13" i="40"/>
  <c r="ES9" i="40"/>
  <c r="ET21" i="36"/>
  <c r="ES4" i="40"/>
  <c r="ES5" i="40"/>
  <c r="ES12" i="40"/>
  <c r="ES19" i="36"/>
  <c r="EU23" i="40"/>
  <c r="ET2" i="36"/>
  <c r="EU13" i="40"/>
  <c r="ES2" i="40"/>
  <c r="EU25" i="40"/>
  <c r="ES25" i="36"/>
  <c r="ES6" i="40"/>
  <c r="ET10" i="40"/>
  <c r="BJ51" i="36"/>
  <c r="BN51" i="36"/>
  <c r="BM51" i="36"/>
  <c r="BN15" i="36"/>
  <c r="BM15" i="36"/>
  <c r="BM60" i="36"/>
  <c r="BJ60" i="36"/>
  <c r="BM5" i="36"/>
  <c r="AO126" i="36"/>
  <c r="AO134" i="36"/>
  <c r="AO125" i="36"/>
  <c r="AO127" i="36"/>
  <c r="AO130" i="36"/>
  <c r="AO138" i="36"/>
  <c r="AO123" i="36"/>
  <c r="AO128" i="36"/>
  <c r="AO129" i="36"/>
  <c r="CP7" i="36"/>
  <c r="AO135" i="36"/>
  <c r="AO133" i="36"/>
  <c r="AO136" i="36"/>
  <c r="AO142" i="36"/>
  <c r="AO137" i="36"/>
  <c r="AO141" i="36"/>
  <c r="AO120" i="36"/>
  <c r="AO122" i="36"/>
  <c r="AY43" i="36"/>
  <c r="BA43" i="36" s="1"/>
  <c r="BO43" i="36" s="1"/>
  <c r="AO121" i="36"/>
  <c r="AO124" i="36"/>
  <c r="AO139" i="36"/>
  <c r="AO140" i="36"/>
  <c r="AO143" i="36"/>
  <c r="AZ16" i="36"/>
  <c r="AL118" i="36"/>
  <c r="CS12" i="36"/>
  <c r="AO168" i="36"/>
  <c r="AY44" i="36"/>
  <c r="BA44" i="36" s="1"/>
  <c r="BO44" i="36" s="1"/>
  <c r="AO172" i="36"/>
  <c r="AO166" i="36"/>
  <c r="AO174" i="36"/>
  <c r="AO171" i="36"/>
  <c r="CP8" i="36"/>
  <c r="AO173" i="36"/>
  <c r="AO169" i="36"/>
  <c r="AO175" i="36"/>
  <c r="AO155" i="36"/>
  <c r="AO164" i="36" s="1"/>
  <c r="AM156" i="36"/>
  <c r="AM154" i="36"/>
  <c r="CN8" i="36"/>
  <c r="AM162" i="36"/>
  <c r="AM153" i="36"/>
  <c r="AM158" i="36"/>
  <c r="AY26" i="36"/>
  <c r="BA26" i="36" s="1"/>
  <c r="BO26" i="36" s="1"/>
  <c r="AM161" i="36"/>
  <c r="AM157" i="36"/>
  <c r="AM155" i="36"/>
  <c r="AM160" i="36"/>
  <c r="AM167" i="36"/>
  <c r="AM163" i="36"/>
  <c r="AM159" i="36"/>
  <c r="AN127" i="36"/>
  <c r="AN124" i="36"/>
  <c r="AN130" i="36"/>
  <c r="AN138" i="36"/>
  <c r="AN128" i="36"/>
  <c r="AN122" i="36"/>
  <c r="AN133" i="36"/>
  <c r="AN135" i="36"/>
  <c r="AN136" i="36"/>
  <c r="AN141" i="36"/>
  <c r="AY34" i="36"/>
  <c r="BA34" i="36" s="1"/>
  <c r="BO34" i="36" s="1"/>
  <c r="AN125" i="36"/>
  <c r="AN142" i="36"/>
  <c r="AN143" i="36"/>
  <c r="AN126" i="36"/>
  <c r="AN134" i="36"/>
  <c r="CO7" i="36"/>
  <c r="AN140" i="36"/>
  <c r="AN121" i="36"/>
  <c r="AN123" i="36"/>
  <c r="AN120" i="36"/>
  <c r="AN129" i="36"/>
  <c r="AN137" i="36"/>
  <c r="AN139" i="36"/>
  <c r="AN172" i="36"/>
  <c r="AY35" i="36"/>
  <c r="BA35" i="36" s="1"/>
  <c r="BO35" i="36" s="1"/>
  <c r="AN174" i="36"/>
  <c r="AN166" i="36"/>
  <c r="AN169" i="36"/>
  <c r="AN173" i="36"/>
  <c r="CO8" i="36"/>
  <c r="AN168" i="36"/>
  <c r="AN171" i="36"/>
  <c r="AN154" i="36"/>
  <c r="AN164" i="36" s="1"/>
  <c r="AN175" i="36"/>
  <c r="AP134" i="36"/>
  <c r="AP122" i="36"/>
  <c r="AP139" i="36"/>
  <c r="AP135" i="36"/>
  <c r="AP138" i="36"/>
  <c r="CQ7" i="36"/>
  <c r="AP143" i="36"/>
  <c r="AP133" i="36"/>
  <c r="AP121" i="36"/>
  <c r="AP136" i="36"/>
  <c r="AY52" i="36"/>
  <c r="BA52" i="36" s="1"/>
  <c r="BO52" i="36" s="1"/>
  <c r="AP125" i="36"/>
  <c r="AP120" i="36"/>
  <c r="AP140" i="36"/>
  <c r="AP130" i="36"/>
  <c r="AP126" i="36"/>
  <c r="AP141" i="36"/>
  <c r="AP124" i="36"/>
  <c r="AP127" i="36"/>
  <c r="AP129" i="36"/>
  <c r="AP123" i="36"/>
  <c r="AP128" i="36"/>
  <c r="AP142" i="36"/>
  <c r="AP137" i="36"/>
  <c r="AM138" i="36"/>
  <c r="AM121" i="36"/>
  <c r="AM137" i="36"/>
  <c r="AM120" i="36"/>
  <c r="AY25" i="36"/>
  <c r="BA25" i="36" s="1"/>
  <c r="BO25" i="36" s="1"/>
  <c r="AM130" i="36"/>
  <c r="AM133" i="36"/>
  <c r="AM141" i="36"/>
  <c r="AM143" i="36"/>
  <c r="AM122" i="36"/>
  <c r="AM127" i="36"/>
  <c r="AM135" i="36"/>
  <c r="AM136" i="36"/>
  <c r="AM126" i="36"/>
  <c r="AM124" i="36"/>
  <c r="CN7" i="36"/>
  <c r="AM142" i="36"/>
  <c r="AM125" i="36"/>
  <c r="AM128" i="36"/>
  <c r="AM129" i="36"/>
  <c r="AM134" i="36"/>
  <c r="AM139" i="36"/>
  <c r="AM140" i="36"/>
  <c r="AM123" i="36"/>
  <c r="AL175" i="36"/>
  <c r="AL169" i="36"/>
  <c r="CM8" i="36"/>
  <c r="AL153" i="36"/>
  <c r="AL164" i="36" s="1"/>
  <c r="AY17" i="36"/>
  <c r="BA17" i="36" s="1"/>
  <c r="BO17" i="36" s="1"/>
  <c r="AL166" i="36"/>
  <c r="AL168" i="36"/>
  <c r="AL171" i="36"/>
  <c r="AL172" i="36"/>
  <c r="AL173" i="36"/>
  <c r="AL174" i="36"/>
  <c r="AP154" i="36"/>
  <c r="AP163" i="36"/>
  <c r="AP155" i="36"/>
  <c r="AP153" i="36"/>
  <c r="AP160" i="36"/>
  <c r="AP162" i="36"/>
  <c r="AP158" i="36"/>
  <c r="AP157" i="36"/>
  <c r="CQ8" i="36"/>
  <c r="AP170" i="36"/>
  <c r="AY53" i="36"/>
  <c r="BA53" i="36" s="1"/>
  <c r="BO53" i="36" s="1"/>
  <c r="AP159" i="36"/>
  <c r="AP156" i="36"/>
  <c r="AP161" i="36"/>
  <c r="AK159" i="36"/>
  <c r="AK165" i="36"/>
  <c r="AK156" i="36"/>
  <c r="CL8" i="36"/>
  <c r="AK158" i="36"/>
  <c r="AK154" i="36"/>
  <c r="AY7" i="36"/>
  <c r="BA7" i="36" s="1"/>
  <c r="BO7" i="36" s="1"/>
  <c r="AK163" i="36"/>
  <c r="AK162" i="36"/>
  <c r="AK161" i="36"/>
  <c r="AK157" i="36"/>
  <c r="AK155" i="36"/>
  <c r="AK153" i="36"/>
  <c r="AK160" i="36"/>
  <c r="CM11" i="36"/>
  <c r="CS11" i="36" s="1"/>
  <c r="BB16" i="36"/>
  <c r="AQ138" i="36"/>
  <c r="AQ140" i="36"/>
  <c r="AQ137" i="36"/>
  <c r="AQ120" i="36"/>
  <c r="AQ125" i="36"/>
  <c r="AQ130" i="36"/>
  <c r="AQ141" i="36"/>
  <c r="AQ143" i="36"/>
  <c r="AQ122" i="36"/>
  <c r="AQ127" i="36"/>
  <c r="AQ135" i="36"/>
  <c r="AQ129" i="36"/>
  <c r="AQ126" i="36"/>
  <c r="AQ124" i="36"/>
  <c r="CR7" i="36"/>
  <c r="AQ133" i="36"/>
  <c r="AQ142" i="36"/>
  <c r="AQ121" i="36"/>
  <c r="AQ128" i="36"/>
  <c r="AY61" i="36"/>
  <c r="BA61" i="36" s="1"/>
  <c r="BO61" i="36" s="1"/>
  <c r="AQ134" i="36"/>
  <c r="AQ139" i="36"/>
  <c r="AQ136" i="36"/>
  <c r="AQ123" i="36"/>
  <c r="AQ156" i="36"/>
  <c r="AQ164" i="36" s="1"/>
  <c r="AY62" i="36"/>
  <c r="BA62" i="36" s="1"/>
  <c r="BO62" i="36" s="1"/>
  <c r="AQ168" i="36"/>
  <c r="AQ166" i="36"/>
  <c r="AQ172" i="36"/>
  <c r="AQ171" i="36"/>
  <c r="AQ174" i="36"/>
  <c r="AQ173" i="36"/>
  <c r="CR8" i="36"/>
  <c r="AQ175" i="36"/>
  <c r="AQ169" i="36"/>
  <c r="BJ6" i="36"/>
  <c r="BN6" i="36"/>
  <c r="BJ5" i="36"/>
  <c r="BN5" i="36"/>
  <c r="BM6" i="36"/>
  <c r="ES15" i="40" l="1"/>
  <c r="BC52" i="36"/>
  <c r="BD52" i="36" s="1"/>
  <c r="BC17" i="36"/>
  <c r="BD17" i="36" s="1"/>
  <c r="BC25" i="36"/>
  <c r="BQ25" i="36" s="1"/>
  <c r="BC44" i="36"/>
  <c r="BQ44" i="36" s="1"/>
  <c r="CN13" i="36"/>
  <c r="CP13" i="36"/>
  <c r="BC43" i="36"/>
  <c r="BD43" i="36" s="1"/>
  <c r="CR13" i="36"/>
  <c r="CS8" i="36"/>
  <c r="CL13" i="36"/>
  <c r="BC35" i="36"/>
  <c r="BL35" i="36" s="1"/>
  <c r="BC53" i="36"/>
  <c r="BQ53" i="36" s="1"/>
  <c r="CQ13" i="36"/>
  <c r="AN131" i="36"/>
  <c r="CO13" i="36"/>
  <c r="AQ145" i="36"/>
  <c r="AQ144" i="36"/>
  <c r="AQ131" i="36"/>
  <c r="AK164" i="36"/>
  <c r="AM145" i="36"/>
  <c r="AM144" i="36"/>
  <c r="AM164" i="36"/>
  <c r="AL121" i="36"/>
  <c r="AL143" i="36"/>
  <c r="AL139" i="36"/>
  <c r="AL137" i="36"/>
  <c r="AL135" i="36"/>
  <c r="AL120" i="36"/>
  <c r="AL128" i="36"/>
  <c r="AL124" i="36"/>
  <c r="AL125" i="36"/>
  <c r="AL127" i="36"/>
  <c r="AL123" i="36"/>
  <c r="AL141" i="36"/>
  <c r="AL138" i="36"/>
  <c r="AL134" i="36"/>
  <c r="AL142" i="36"/>
  <c r="AL122" i="36"/>
  <c r="AL130" i="36"/>
  <c r="AY16" i="36"/>
  <c r="BA16" i="36" s="1"/>
  <c r="BO16" i="36" s="1"/>
  <c r="AL140" i="36"/>
  <c r="AL136" i="36"/>
  <c r="AL129" i="36"/>
  <c r="AL126" i="36"/>
  <c r="AL133" i="36"/>
  <c r="CM7" i="36"/>
  <c r="AP131" i="36"/>
  <c r="BC62" i="36"/>
  <c r="AO131" i="36"/>
  <c r="BC7" i="36"/>
  <c r="AP164" i="36"/>
  <c r="BC61" i="36"/>
  <c r="AM131" i="36"/>
  <c r="AP145" i="36"/>
  <c r="AP144" i="36"/>
  <c r="AN145" i="36"/>
  <c r="AN144" i="36"/>
  <c r="BC34" i="36"/>
  <c r="AO145" i="36"/>
  <c r="AO144" i="36"/>
  <c r="BC26" i="36"/>
  <c r="BD44" i="36" l="1"/>
  <c r="BI44" i="36" s="1"/>
  <c r="BL17" i="36"/>
  <c r="BQ52" i="36"/>
  <c r="BL52" i="36"/>
  <c r="BQ17" i="36"/>
  <c r="BD35" i="36"/>
  <c r="BG35" i="36" s="1"/>
  <c r="BL53" i="36"/>
  <c r="BL25" i="36"/>
  <c r="BQ43" i="36"/>
  <c r="BL44" i="36"/>
  <c r="BD53" i="36"/>
  <c r="BH53" i="36" s="1"/>
  <c r="BD25" i="36"/>
  <c r="BE25" i="36" s="1"/>
  <c r="BF25" i="36" s="1"/>
  <c r="BQ35" i="36"/>
  <c r="BL43" i="36"/>
  <c r="BC16" i="36"/>
  <c r="BD16" i="36" s="1"/>
  <c r="CS7" i="36"/>
  <c r="CM13" i="36"/>
  <c r="BD26" i="36"/>
  <c r="BQ26" i="36"/>
  <c r="BL26" i="36"/>
  <c r="AL131" i="36"/>
  <c r="BI43" i="36"/>
  <c r="BE43" i="36"/>
  <c r="BF43" i="36" s="1"/>
  <c r="BG43" i="36"/>
  <c r="BH43" i="36"/>
  <c r="BQ62" i="36"/>
  <c r="BL62" i="36"/>
  <c r="BD62" i="36"/>
  <c r="BH17" i="36"/>
  <c r="BG17" i="36"/>
  <c r="BI17" i="36"/>
  <c r="BE17" i="36"/>
  <c r="BF17" i="36" s="1"/>
  <c r="BD61" i="36"/>
  <c r="BQ61" i="36"/>
  <c r="BL61" i="36"/>
  <c r="BG52" i="36"/>
  <c r="BE52" i="36"/>
  <c r="BF52" i="36" s="1"/>
  <c r="BH52" i="36"/>
  <c r="BI52" i="36"/>
  <c r="BD34" i="36"/>
  <c r="BL34" i="36"/>
  <c r="BQ34" i="36"/>
  <c r="BL7" i="36"/>
  <c r="BD7" i="36"/>
  <c r="BQ7" i="36"/>
  <c r="AL144" i="36"/>
  <c r="AL145" i="36"/>
  <c r="BG44" i="36" l="1"/>
  <c r="BH44" i="36"/>
  <c r="BI35" i="36"/>
  <c r="BE44" i="36"/>
  <c r="BF44" i="36" s="1"/>
  <c r="BN44" i="36" s="1"/>
  <c r="BH35" i="36"/>
  <c r="BE53" i="36"/>
  <c r="BF53" i="36" s="1"/>
  <c r="BJ53" i="36" s="1"/>
  <c r="BI53" i="36"/>
  <c r="BE35" i="36"/>
  <c r="BF35" i="36" s="1"/>
  <c r="BJ35" i="36" s="1"/>
  <c r="BQ16" i="36"/>
  <c r="BL16" i="36"/>
  <c r="BI25" i="36"/>
  <c r="BG53" i="36"/>
  <c r="BH25" i="36"/>
  <c r="BG25" i="36"/>
  <c r="BM52" i="36"/>
  <c r="BN43" i="36"/>
  <c r="BJ43" i="36"/>
  <c r="BM25" i="36"/>
  <c r="BE7" i="36"/>
  <c r="BF7" i="36" s="1"/>
  <c r="BI7" i="36"/>
  <c r="BH7" i="36"/>
  <c r="BG7" i="36"/>
  <c r="BE34" i="36"/>
  <c r="BF34" i="36" s="1"/>
  <c r="BI34" i="36"/>
  <c r="BH34" i="36"/>
  <c r="BG34" i="36"/>
  <c r="BJ52" i="36"/>
  <c r="BN52" i="36"/>
  <c r="BI61" i="36"/>
  <c r="BE61" i="36"/>
  <c r="BF61" i="36" s="1"/>
  <c r="BH61" i="36"/>
  <c r="BG61" i="36"/>
  <c r="BM17" i="36"/>
  <c r="BH26" i="36"/>
  <c r="BG26" i="36"/>
  <c r="BI26" i="36"/>
  <c r="BE26" i="36"/>
  <c r="BF26" i="36" s="1"/>
  <c r="BJ17" i="36"/>
  <c r="BN17" i="36"/>
  <c r="BE16" i="36"/>
  <c r="BF16" i="36" s="1"/>
  <c r="BH16" i="36"/>
  <c r="BG16" i="36"/>
  <c r="BI16" i="36"/>
  <c r="BN25" i="36"/>
  <c r="BJ25" i="36"/>
  <c r="BI62" i="36"/>
  <c r="BE62" i="36"/>
  <c r="BF62" i="36" s="1"/>
  <c r="BG62" i="36"/>
  <c r="BH62" i="36"/>
  <c r="BM43" i="36"/>
  <c r="BJ44" i="36" l="1"/>
  <c r="BM44" i="36"/>
  <c r="BN53" i="36"/>
  <c r="BN35" i="36"/>
  <c r="BM53" i="36"/>
  <c r="BM35" i="36"/>
  <c r="BM7" i="36"/>
  <c r="BM26" i="36"/>
  <c r="BM16" i="36"/>
  <c r="BJ34" i="36"/>
  <c r="BN34" i="36"/>
  <c r="BN61" i="36"/>
  <c r="BJ61" i="36"/>
  <c r="BM62" i="36"/>
  <c r="BJ16" i="36"/>
  <c r="BN16" i="36"/>
  <c r="BJ7" i="36"/>
  <c r="BN7" i="36"/>
  <c r="BM34" i="36"/>
  <c r="BJ62" i="36"/>
  <c r="BN62" i="36"/>
  <c r="BJ26" i="36"/>
  <c r="BN26" i="36"/>
  <c r="BM61" i="36"/>
  <c r="DU7" i="40"/>
  <c r="AV31" i="36" a="1"/>
  <c r="AV13" i="36" a="1"/>
  <c r="DS4" i="36"/>
  <c r="AS13" i="27"/>
  <c r="EL6" i="40"/>
  <c r="R15" i="27"/>
  <c r="AU8" i="27"/>
  <c r="BG4" i="27"/>
  <c r="EE16" i="36"/>
  <c r="AW40" i="40" a="1"/>
  <c r="AU43" i="27"/>
  <c r="AU18" i="27"/>
  <c r="AW31" i="36" a="1"/>
  <c r="EL10" i="36"/>
  <c r="EF10" i="36"/>
  <c r="AW58" i="36" a="1"/>
  <c r="DU6" i="36"/>
  <c r="DT5" i="36"/>
  <c r="EL9" i="40"/>
  <c r="BG3" i="27"/>
  <c r="EF11" i="40"/>
  <c r="EL7" i="40"/>
  <c r="DS14" i="40"/>
  <c r="EN24" i="40"/>
  <c r="AU29" i="27"/>
  <c r="DU12" i="36"/>
  <c r="Z12" i="27"/>
  <c r="AU13" i="27"/>
  <c r="EL25" i="36"/>
  <c r="DS10" i="36"/>
  <c r="EP10" i="36"/>
  <c r="DU9" i="40"/>
  <c r="EE14" i="40"/>
  <c r="DT13" i="40"/>
  <c r="Z1" i="27"/>
  <c r="EL20" i="40"/>
  <c r="DT15" i="40"/>
  <c r="AT25" i="27"/>
  <c r="AU37" i="27"/>
  <c r="AT26" i="27"/>
  <c r="AT41" i="27"/>
  <c r="EP27" i="40"/>
  <c r="EP6" i="36"/>
  <c r="EF2" i="36"/>
  <c r="EL29" i="40"/>
  <c r="R5" i="27"/>
  <c r="DT12" i="36"/>
  <c r="DT14" i="36"/>
  <c r="ED7" i="36"/>
  <c r="AW58" i="40" a="1"/>
  <c r="EL7" i="36"/>
  <c r="AU3" i="36" a="1"/>
  <c r="R14" i="27"/>
  <c r="Z7" i="27"/>
  <c r="EF10" i="40"/>
  <c r="Z5" i="27"/>
  <c r="DU10" i="40"/>
  <c r="ED9" i="36"/>
  <c r="EN3" i="40"/>
  <c r="DS6" i="36"/>
  <c r="AU20" i="27"/>
  <c r="EP19" i="40"/>
  <c r="EL19" i="40"/>
  <c r="R9" i="27"/>
  <c r="EL24" i="40"/>
  <c r="EP21" i="36"/>
  <c r="ED4" i="40"/>
  <c r="AS37" i="27"/>
  <c r="AS27" i="27"/>
  <c r="EN4" i="36"/>
  <c r="AU44" i="27"/>
  <c r="EP20" i="36"/>
  <c r="AT2" i="27"/>
  <c r="AU36" i="27"/>
  <c r="DT8" i="40"/>
  <c r="EN6" i="36"/>
  <c r="EF2" i="40"/>
  <c r="AS6" i="27"/>
  <c r="EP26" i="36"/>
  <c r="EN12" i="36"/>
  <c r="DS11" i="36"/>
  <c r="EE8" i="40"/>
  <c r="EN2" i="40"/>
  <c r="EE13" i="36"/>
  <c r="DT12" i="40"/>
  <c r="EP9" i="36"/>
  <c r="EP29" i="40"/>
  <c r="EF7" i="36"/>
  <c r="EL4" i="40"/>
  <c r="EL26" i="40"/>
  <c r="DS12" i="40"/>
  <c r="EN19" i="40"/>
  <c r="C44" i="27"/>
  <c r="EE12" i="36"/>
  <c r="AV40" i="40" a="1"/>
  <c r="C43" i="27"/>
  <c r="EF6" i="36"/>
  <c r="ED10" i="36"/>
  <c r="EN20" i="36"/>
  <c r="EF12" i="40"/>
  <c r="AT29" i="27"/>
  <c r="DT7" i="36"/>
  <c r="EP23" i="40"/>
  <c r="Z4" i="27"/>
  <c r="DT16" i="36"/>
  <c r="EN11" i="36"/>
  <c r="C45" i="27"/>
  <c r="EF14" i="40"/>
  <c r="EE4" i="40"/>
  <c r="AS38" i="27"/>
  <c r="EN8" i="40"/>
  <c r="EE15" i="36"/>
  <c r="R4" i="27"/>
  <c r="AU21" i="27"/>
  <c r="EF9" i="36"/>
  <c r="ED13" i="36"/>
  <c r="ED4" i="36"/>
  <c r="EN4" i="40"/>
  <c r="C40" i="27"/>
  <c r="EN21" i="36"/>
  <c r="EL12" i="40"/>
  <c r="AU41" i="27"/>
  <c r="EE3" i="40"/>
  <c r="AT7" i="27"/>
  <c r="DU1" i="40"/>
  <c r="EP21" i="40"/>
  <c r="ED13" i="40"/>
  <c r="BG5" i="27"/>
  <c r="DU11" i="40"/>
  <c r="EL3" i="40"/>
  <c r="EL13" i="36"/>
  <c r="EL5" i="40"/>
  <c r="DS13" i="36"/>
  <c r="DS7" i="40"/>
  <c r="AU40" i="36" a="1"/>
  <c r="Z9" i="27"/>
  <c r="DS14" i="36"/>
  <c r="EE4" i="36"/>
  <c r="EN24" i="36"/>
  <c r="AS8" i="27"/>
  <c r="DU14" i="36"/>
  <c r="AS9" i="27"/>
  <c r="ED10" i="40"/>
  <c r="AV58" i="40" a="1"/>
  <c r="EP13" i="36"/>
  <c r="DU3" i="40"/>
  <c r="EP28" i="40"/>
  <c r="C38" i="27"/>
  <c r="AV40" i="36" a="1"/>
  <c r="AT24" i="27"/>
  <c r="AT45" i="27"/>
  <c r="C42" i="27"/>
  <c r="EL21" i="40"/>
  <c r="EL27" i="36"/>
  <c r="DU13" i="36"/>
  <c r="AT8" i="27"/>
  <c r="DS3" i="36"/>
  <c r="Y1" i="27" a="1"/>
  <c r="R2" i="27"/>
  <c r="EE11" i="36"/>
  <c r="EE15" i="40"/>
  <c r="EL19" i="36"/>
  <c r="EP20" i="40"/>
  <c r="EF1" i="36"/>
  <c r="EN26" i="36"/>
  <c r="EL4" i="36"/>
  <c r="DS9" i="36"/>
  <c r="DU16" i="36"/>
  <c r="DT4" i="36"/>
  <c r="EF11" i="36"/>
  <c r="EE2" i="40"/>
  <c r="DS12" i="36"/>
  <c r="AU23" i="27"/>
  <c r="EE7" i="40"/>
  <c r="AT42" i="27"/>
  <c r="BG1" i="27"/>
  <c r="DU14" i="40"/>
  <c r="ED15" i="36"/>
  <c r="EN29" i="36"/>
  <c r="DS4" i="40"/>
  <c r="DT16" i="40"/>
  <c r="EN12" i="40"/>
  <c r="AU49" i="36" a="1"/>
  <c r="DU16" i="40"/>
  <c r="EN9" i="36"/>
  <c r="AU58" i="40" a="1"/>
  <c r="DT9" i="36"/>
  <c r="DS1" i="36"/>
  <c r="ED15" i="40"/>
  <c r="BG2" i="27"/>
  <c r="AS42" i="27"/>
  <c r="EN5" i="40"/>
  <c r="EE13" i="40"/>
  <c r="EN11" i="40"/>
  <c r="DU8" i="36"/>
  <c r="AU13" i="40" a="1"/>
  <c r="AU45" i="27"/>
  <c r="Z15" i="27"/>
  <c r="EP7" i="36"/>
  <c r="EF1" i="40"/>
  <c r="AU26" i="27"/>
  <c r="EL29" i="36"/>
  <c r="EF13" i="40"/>
  <c r="DT14" i="40"/>
  <c r="AW31" i="40" a="1"/>
  <c r="AT37" i="27"/>
  <c r="AU28" i="27"/>
  <c r="DT6" i="36"/>
  <c r="DU6" i="40"/>
  <c r="EL6" i="36"/>
  <c r="EE16" i="40"/>
  <c r="AT13" i="27"/>
  <c r="DT9" i="40"/>
  <c r="EN21" i="40"/>
  <c r="DU4" i="36"/>
  <c r="EL20" i="36"/>
  <c r="EF5" i="40"/>
  <c r="DS15" i="40"/>
  <c r="EL18" i="40"/>
  <c r="Z13" i="27"/>
  <c r="EF16" i="36"/>
  <c r="EN7" i="40"/>
  <c r="AV49" i="36" a="1"/>
  <c r="EF6" i="40"/>
  <c r="AS41" i="27"/>
  <c r="B34" i="27"/>
  <c r="AU58" i="36" a="1"/>
  <c r="C39" i="27"/>
  <c r="EF16" i="40"/>
  <c r="AT18" i="27"/>
  <c r="EE9" i="40"/>
  <c r="AS45" i="27"/>
  <c r="EP24" i="40"/>
  <c r="AS44" i="27"/>
  <c r="EN7" i="36"/>
  <c r="EF8" i="40"/>
  <c r="DU15" i="36"/>
  <c r="BF4" i="27" a="1"/>
  <c r="Z11" i="27"/>
  <c r="EP22" i="40"/>
  <c r="DS5" i="36"/>
  <c r="EN6" i="40"/>
  <c r="AV31" i="40" a="1"/>
  <c r="R6" i="27"/>
  <c r="DU5" i="40"/>
  <c r="EN23" i="36"/>
  <c r="BG7" i="27"/>
  <c r="ED1" i="36"/>
  <c r="R12" i="27"/>
  <c r="ED2" i="36"/>
  <c r="AU39" i="27"/>
  <c r="EN19" i="36"/>
  <c r="ED14" i="40"/>
  <c r="AT39" i="27"/>
  <c r="EL22" i="40"/>
  <c r="DU2" i="40"/>
  <c r="AT38" i="27"/>
  <c r="EP27" i="36"/>
  <c r="AU46" i="27"/>
  <c r="DU11" i="36"/>
  <c r="EN27" i="36"/>
  <c r="AU49" i="40" a="1"/>
  <c r="EL8" i="36"/>
  <c r="AS25" i="27"/>
  <c r="ED16" i="36"/>
  <c r="EE5" i="36"/>
  <c r="AT6" i="27"/>
  <c r="AU31" i="36" a="1"/>
  <c r="EN18" i="40"/>
  <c r="EE10" i="40"/>
  <c r="BG6" i="27"/>
  <c r="BF6" i="27" s="1" a="1"/>
  <c r="ED6" i="36"/>
  <c r="C35" i="27"/>
  <c r="EP22" i="36"/>
  <c r="EP4" i="36"/>
  <c r="AW13" i="36" a="1"/>
  <c r="EF7" i="40"/>
  <c r="ED8" i="36"/>
  <c r="EF12" i="36"/>
  <c r="EL23" i="40"/>
  <c r="DU10" i="36"/>
  <c r="EN2" i="36"/>
  <c r="DT8" i="36"/>
  <c r="DT6" i="40"/>
  <c r="EP26" i="40"/>
  <c r="EN22" i="36"/>
  <c r="ED7" i="40"/>
  <c r="Z3" i="27"/>
  <c r="DS5" i="40"/>
  <c r="EF13" i="36"/>
  <c r="EF3" i="40"/>
  <c r="EN25" i="36"/>
  <c r="DU15" i="40"/>
  <c r="EP3" i="36"/>
  <c r="AV22" i="36" a="1"/>
  <c r="EN10" i="36"/>
  <c r="EL8" i="40"/>
  <c r="AW49" i="36" a="1"/>
  <c r="EP28" i="36"/>
  <c r="EP11" i="36"/>
  <c r="BF7" i="27" a="1"/>
  <c r="BF10" i="27" a="1"/>
  <c r="EF9" i="40"/>
  <c r="R8" i="27"/>
  <c r="ED3" i="36"/>
  <c r="DS8" i="40"/>
  <c r="AV58" i="36" a="1"/>
  <c r="DS7" i="36"/>
  <c r="EN5" i="36"/>
  <c r="AU22" i="40" a="1"/>
  <c r="Z16" i="27"/>
  <c r="AU22" i="36" a="1"/>
  <c r="ED5" i="36"/>
  <c r="EL12" i="36"/>
  <c r="EE3" i="36"/>
  <c r="EP23" i="36"/>
  <c r="DT1" i="40"/>
  <c r="EL24" i="36"/>
  <c r="EE1" i="36"/>
  <c r="AU13" i="36" a="1"/>
  <c r="AS20" i="27"/>
  <c r="AU2" i="27"/>
  <c r="EE7" i="36"/>
  <c r="EF4" i="36"/>
  <c r="AU38" i="27"/>
  <c r="EF4" i="40"/>
  <c r="AT9" i="27"/>
  <c r="Z2" i="27"/>
  <c r="DS13" i="40"/>
  <c r="AT20" i="27"/>
  <c r="DT1" i="36"/>
  <c r="DT13" i="36"/>
  <c r="AT44" i="27"/>
  <c r="EF14" i="36"/>
  <c r="AU6" i="27"/>
  <c r="ED3" i="40"/>
  <c r="R13" i="27"/>
  <c r="AS24" i="27"/>
  <c r="AS18" i="27"/>
  <c r="DS8" i="36"/>
  <c r="DT4" i="40"/>
  <c r="BF3" i="27" a="1"/>
  <c r="Y5" i="27" a="1"/>
  <c r="BF11" i="27" a="1"/>
  <c r="EL11" i="40"/>
  <c r="EE11" i="40"/>
  <c r="DS2" i="40"/>
  <c r="AS26" i="27"/>
  <c r="BF2" i="27" a="1"/>
  <c r="BF9" i="27" a="1"/>
  <c r="DT11" i="36"/>
  <c r="EN29" i="40"/>
  <c r="EP5" i="36"/>
  <c r="AU27" i="27"/>
  <c r="Z8" i="27"/>
  <c r="AW22" i="36" a="1"/>
  <c r="R10" i="27"/>
  <c r="ED5" i="40"/>
  <c r="EE6" i="36"/>
  <c r="EE8" i="36"/>
  <c r="AS43" i="27"/>
  <c r="ED11" i="40"/>
  <c r="DU13" i="40"/>
  <c r="EN13" i="36"/>
  <c r="Z10" i="27"/>
  <c r="DU9" i="36"/>
  <c r="AT43" i="27"/>
  <c r="DT5" i="40"/>
  <c r="AT21" i="27"/>
  <c r="EN20" i="40"/>
  <c r="AW3" i="36" a="1"/>
  <c r="ED9" i="40"/>
  <c r="EN3" i="36"/>
  <c r="BF13" i="27" a="1"/>
  <c r="R1" i="27"/>
  <c r="EE10" i="36"/>
  <c r="AS29" i="27"/>
  <c r="DS9" i="40"/>
  <c r="ED12" i="36"/>
  <c r="AS23" i="27"/>
  <c r="EE6" i="40"/>
  <c r="AS46" i="27"/>
  <c r="AS7" i="27"/>
  <c r="EF15" i="36"/>
  <c r="DS1" i="40"/>
  <c r="Z6" i="27"/>
  <c r="DU3" i="36"/>
  <c r="R7" i="27"/>
  <c r="ED12" i="40"/>
  <c r="C37" i="27"/>
  <c r="EP24" i="36"/>
  <c r="R3" i="27"/>
  <c r="AW22" i="40" a="1"/>
  <c r="EN22" i="40"/>
  <c r="AS21" i="27"/>
  <c r="DU1" i="36"/>
  <c r="EE1" i="40"/>
  <c r="EE2" i="36"/>
  <c r="AV3" i="40" a="1"/>
  <c r="C34" i="27"/>
  <c r="EE9" i="36"/>
  <c r="EL18" i="36"/>
  <c r="DS16" i="36"/>
  <c r="EL2" i="40"/>
  <c r="EN26" i="40"/>
  <c r="EF5" i="36"/>
  <c r="DS11" i="40"/>
  <c r="EL11" i="36"/>
  <c r="EL9" i="36"/>
  <c r="AU9" i="27"/>
  <c r="DU12" i="40"/>
  <c r="EL28" i="40"/>
  <c r="EP12" i="36"/>
  <c r="AV3" i="36" a="1"/>
  <c r="EL3" i="36"/>
  <c r="EN8" i="36"/>
  <c r="DT3" i="40"/>
  <c r="AS36" i="27"/>
  <c r="AU24" i="27"/>
  <c r="AW40" i="36" a="1"/>
  <c r="DT2" i="40"/>
  <c r="DS15" i="36"/>
  <c r="DT11" i="40"/>
  <c r="EN9" i="40"/>
  <c r="AW13" i="40" a="1"/>
  <c r="AW49" i="40" a="1"/>
  <c r="AT23" i="27"/>
  <c r="DU8" i="40"/>
  <c r="AU3" i="40" a="1"/>
  <c r="AV49" i="40" a="1"/>
  <c r="ED6" i="40"/>
  <c r="AU42" i="27"/>
  <c r="BF1" i="27" a="1"/>
  <c r="Q6" i="27" a="1"/>
  <c r="EP29" i="36"/>
  <c r="AU7" i="27"/>
  <c r="Y7" i="27" a="1"/>
  <c r="BF8" i="27" a="1"/>
  <c r="Y4" i="27" a="1"/>
  <c r="EE5" i="40"/>
  <c r="AS39" i="27"/>
  <c r="DT2" i="36"/>
  <c r="ED1" i="40"/>
  <c r="DS2" i="36"/>
  <c r="DU4" i="40"/>
  <c r="ED8" i="40"/>
  <c r="R16" i="27"/>
  <c r="EP18" i="40"/>
  <c r="ED11" i="36"/>
  <c r="DU2" i="36"/>
  <c r="DS10" i="40"/>
  <c r="EN10" i="40"/>
  <c r="AT36" i="27"/>
  <c r="Z14" i="27"/>
  <c r="EL27" i="40"/>
  <c r="AW3" i="40" a="1"/>
  <c r="C36" i="27"/>
  <c r="EE12" i="40"/>
  <c r="AU40" i="40" a="1"/>
  <c r="EE14" i="36"/>
  <c r="DS3" i="40"/>
  <c r="AV13" i="40" a="1"/>
  <c r="AV22" i="40" a="1"/>
  <c r="EN28" i="36"/>
  <c r="EL22" i="36"/>
  <c r="EN28" i="40"/>
  <c r="EP8" i="36"/>
  <c r="C41" i="27"/>
  <c r="DU5" i="36"/>
  <c r="EF3" i="36"/>
  <c r="DS6" i="40"/>
  <c r="DT10" i="40"/>
  <c r="DU7" i="36"/>
  <c r="EF8" i="36"/>
  <c r="EL5" i="36"/>
  <c r="DS16" i="40"/>
  <c r="ED14" i="36"/>
  <c r="AU31" i="40" a="1"/>
  <c r="ED2" i="40"/>
  <c r="AS28" i="27"/>
  <c r="R11" i="27"/>
  <c r="ED16" i="40"/>
  <c r="DT3" i="36"/>
  <c r="EL26" i="36"/>
  <c r="EF15" i="40"/>
  <c r="AU25" i="27"/>
  <c r="EL28" i="36"/>
  <c r="DT7" i="40"/>
  <c r="DT15" i="36"/>
  <c r="Q5" i="27" a="1"/>
  <c r="Y8" i="27" a="1"/>
  <c r="Q11" i="27" a="1"/>
  <c r="DT10" i="36"/>
  <c r="BF5" i="27" a="1"/>
  <c r="BF12" i="27" a="1"/>
  <c r="Y16" i="27" a="1"/>
  <c r="Y3" i="27" a="1"/>
  <c r="Y2" i="27" a="1"/>
  <c r="Y11" i="27" a="1"/>
  <c r="Y9" i="27" a="1"/>
  <c r="Q12" i="27" a="1"/>
  <c r="Q10" i="27" a="1"/>
  <c r="Q8" i="27" a="1"/>
  <c r="Q9" i="27" a="1"/>
  <c r="Q4" i="27" a="1"/>
  <c r="Q2" i="27" a="1"/>
  <c r="Q1" i="27" a="1"/>
  <c r="Q14" i="27" a="1"/>
  <c r="Q15" i="27" a="1"/>
  <c r="Y10" i="27" a="1"/>
  <c r="Y12" i="27" a="1"/>
  <c r="Y6" i="27" a="1"/>
  <c r="Y13" i="27" a="1"/>
  <c r="Q7" i="27" a="1"/>
  <c r="Q3" i="27" a="1"/>
  <c r="Y15" i="27" a="1"/>
  <c r="Y14" i="27" a="1"/>
  <c r="Q16" i="27" a="1"/>
  <c r="Q13" i="27" a="1"/>
  <c r="Y12" i="27" l="1"/>
  <c r="Y4" i="27"/>
  <c r="Y10" i="27"/>
  <c r="Y3" i="27"/>
  <c r="Q11" i="27"/>
  <c r="J32" i="27" s="1"/>
  <c r="I32" i="27" s="1" a="1"/>
  <c r="I32" i="27" s="1"/>
  <c r="Y15" i="27"/>
  <c r="BF11" i="27"/>
  <c r="BH11" i="27" s="1"/>
  <c r="BF10" i="27"/>
  <c r="BH10" i="27" s="1"/>
  <c r="BF9" i="27"/>
  <c r="BH9" i="27" s="1"/>
  <c r="BF8" i="27"/>
  <c r="BH8" i="27" s="1"/>
  <c r="Y5" i="27"/>
  <c r="Q9" i="27"/>
  <c r="J30" i="27" s="1"/>
  <c r="I30" i="27" s="1" a="1"/>
  <c r="I30" i="27" s="1"/>
  <c r="BF13" i="27"/>
  <c r="BH13" i="27" s="1"/>
  <c r="Y7" i="27"/>
  <c r="Q12" i="27"/>
  <c r="J33" i="27" s="1"/>
  <c r="I33" i="27" s="1" a="1"/>
  <c r="I33" i="27" s="1"/>
  <c r="Y14" i="27"/>
  <c r="BF5" i="27"/>
  <c r="BH5" i="27" s="1"/>
  <c r="BF7" i="27"/>
  <c r="BH7" i="27" s="1"/>
  <c r="Y8" i="27"/>
  <c r="Y11" i="27"/>
  <c r="Y16" i="27"/>
  <c r="AX7" i="27"/>
  <c r="Y6" i="27"/>
  <c r="EU6" i="40"/>
  <c r="EU21" i="36"/>
  <c r="ES11" i="36"/>
  <c r="Q3" i="27"/>
  <c r="J24" i="27" s="1"/>
  <c r="I24" i="27" s="1" a="1"/>
  <c r="I24" i="27" s="1"/>
  <c r="DL26" i="36"/>
  <c r="DP26" i="36" s="1"/>
  <c r="Q13" i="27"/>
  <c r="J34" i="27" s="1"/>
  <c r="I34" i="27" s="1" a="1"/>
  <c r="I34" i="27" s="1"/>
  <c r="Y13" i="27"/>
  <c r="ES22" i="40"/>
  <c r="BF6" i="27"/>
  <c r="BH6" i="27" s="1"/>
  <c r="Y2" i="27"/>
  <c r="Q16" i="27"/>
  <c r="J37" i="27" s="1"/>
  <c r="I37" i="27" s="1" a="1"/>
  <c r="I37" i="27" s="1"/>
  <c r="EU4" i="40"/>
  <c r="ES29" i="36"/>
  <c r="Q7" i="27"/>
  <c r="J28" i="27" s="1"/>
  <c r="I28" i="27" s="1" a="1"/>
  <c r="I28" i="27" s="1"/>
  <c r="Y9" i="27"/>
  <c r="Q4" i="27"/>
  <c r="J25" i="27" s="1"/>
  <c r="I25" i="27" s="1" a="1"/>
  <c r="I25" i="27" s="1"/>
  <c r="BF2" i="27"/>
  <c r="BH2" i="27" s="1"/>
  <c r="Q14" i="27"/>
  <c r="J35" i="27" s="1"/>
  <c r="I35" i="27" s="1" a="1"/>
  <c r="I35" i="27" s="1"/>
  <c r="Q15" i="27"/>
  <c r="J36" i="27" s="1"/>
  <c r="I36" i="27" s="1" a="1"/>
  <c r="I36" i="27" s="1"/>
  <c r="Q6" i="27"/>
  <c r="J27" i="27" s="1"/>
  <c r="I27" i="27" s="1" a="1"/>
  <c r="I27" i="27" s="1"/>
  <c r="BF3" i="27"/>
  <c r="BH3" i="27" s="1"/>
  <c r="BF4" i="27"/>
  <c r="BH4" i="27" s="1"/>
  <c r="BF12" i="27"/>
  <c r="BH12" i="27" s="1"/>
  <c r="Q2" i="27"/>
  <c r="J23" i="27" s="1"/>
  <c r="I23" i="27" s="1" a="1"/>
  <c r="I23" i="27" s="1"/>
  <c r="Q5" i="27"/>
  <c r="J26" i="27" s="1"/>
  <c r="I26" i="27" s="1" a="1"/>
  <c r="I26" i="27" s="1"/>
  <c r="Q8" i="27"/>
  <c r="J29" i="27" s="1"/>
  <c r="I29" i="27" s="1" a="1"/>
  <c r="I29" i="27" s="1"/>
  <c r="Q10" i="27"/>
  <c r="J31" i="27" s="1"/>
  <c r="I31" i="27" s="1" a="1"/>
  <c r="I31" i="27" s="1"/>
  <c r="BF1" i="27"/>
  <c r="BH1" i="27" s="1"/>
  <c r="EU20" i="40"/>
  <c r="DM36" i="36"/>
  <c r="DQ36" i="36" s="1"/>
  <c r="ES28" i="36"/>
  <c r="EU3" i="36"/>
  <c r="AX42" i="27"/>
  <c r="EU7" i="36"/>
  <c r="AX21" i="27"/>
  <c r="AW49" i="36"/>
  <c r="AV26" i="27"/>
  <c r="AV44" i="27"/>
  <c r="K25" i="27"/>
  <c r="AW21" i="27"/>
  <c r="ES24" i="40"/>
  <c r="ET8" i="40"/>
  <c r="AV45" i="27"/>
  <c r="EU8" i="40"/>
  <c r="AV49" i="40"/>
  <c r="DL29" i="36"/>
  <c r="DP29" i="36" s="1"/>
  <c r="DN29" i="36" s="1"/>
  <c r="AV38" i="27"/>
  <c r="EU10" i="36"/>
  <c r="DL23" i="40"/>
  <c r="DP23" i="40" s="1"/>
  <c r="AW18" i="27"/>
  <c r="AU3" i="40"/>
  <c r="AV22" i="36"/>
  <c r="DM29" i="40"/>
  <c r="DQ29" i="40" s="1"/>
  <c r="AV18" i="27"/>
  <c r="AU58" i="36"/>
  <c r="EU11" i="36"/>
  <c r="ES3" i="36"/>
  <c r="AW23" i="27"/>
  <c r="AW43" i="27"/>
  <c r="AV41" i="27"/>
  <c r="DM36" i="40"/>
  <c r="DQ36" i="40" s="1"/>
  <c r="ES23" i="40"/>
  <c r="AW49" i="40"/>
  <c r="AV24" i="27"/>
  <c r="AV49" i="36"/>
  <c r="EU25" i="36"/>
  <c r="AW3" i="36"/>
  <c r="EU7" i="40"/>
  <c r="AW29" i="27"/>
  <c r="AW13" i="40"/>
  <c r="K34" i="27"/>
  <c r="ET28" i="36"/>
  <c r="EU20" i="36"/>
  <c r="EU9" i="40"/>
  <c r="DM30" i="36"/>
  <c r="DQ30" i="36" s="1"/>
  <c r="ET18" i="40"/>
  <c r="ET11" i="40"/>
  <c r="DL36" i="40"/>
  <c r="DP36" i="40" s="1"/>
  <c r="DN36" i="40" s="1"/>
  <c r="DL26" i="40"/>
  <c r="DP26" i="40" s="1"/>
  <c r="AX25" i="27"/>
  <c r="ET20" i="36"/>
  <c r="AV40" i="40"/>
  <c r="DL36" i="36"/>
  <c r="DP36" i="36" s="1"/>
  <c r="DM25" i="36"/>
  <c r="DQ25" i="36" s="1"/>
  <c r="EU21" i="40"/>
  <c r="AX6" i="27"/>
  <c r="EU19" i="40"/>
  <c r="ET26" i="36"/>
  <c r="AW13" i="27"/>
  <c r="DL33" i="40"/>
  <c r="DP33" i="40" s="1"/>
  <c r="AW40" i="36"/>
  <c r="EU13" i="36"/>
  <c r="ET26" i="40"/>
  <c r="EU22" i="36"/>
  <c r="ET6" i="36"/>
  <c r="ET4" i="40"/>
  <c r="AX24" i="27"/>
  <c r="DM27" i="40"/>
  <c r="DQ27" i="40" s="1"/>
  <c r="ES26" i="40"/>
  <c r="ES29" i="40"/>
  <c r="AV36" i="27"/>
  <c r="DM34" i="40"/>
  <c r="DQ34" i="40" s="1"/>
  <c r="AX28" i="27"/>
  <c r="AZ28" i="27" s="1"/>
  <c r="ES9" i="36"/>
  <c r="K32" i="27"/>
  <c r="AW37" i="27"/>
  <c r="AW44" i="27"/>
  <c r="AW31" i="40"/>
  <c r="AV28" i="27"/>
  <c r="AY28" i="27" s="1"/>
  <c r="EU2" i="40"/>
  <c r="EU8" i="36"/>
  <c r="EU2" i="36"/>
  <c r="ET29" i="36"/>
  <c r="DL32" i="36"/>
  <c r="DP32" i="36" s="1"/>
  <c r="ET3" i="36"/>
  <c r="AX26" i="27"/>
  <c r="EU12" i="36"/>
  <c r="DM31" i="36"/>
  <c r="DQ31" i="36" s="1"/>
  <c r="AU31" i="40"/>
  <c r="ES26" i="36"/>
  <c r="AV3" i="36"/>
  <c r="AV43" i="27"/>
  <c r="ES7" i="36"/>
  <c r="AV6" i="27"/>
  <c r="ET23" i="40"/>
  <c r="ES12" i="36"/>
  <c r="AX45" i="27"/>
  <c r="EU6" i="36"/>
  <c r="DL37" i="40"/>
  <c r="DP37" i="40" s="1"/>
  <c r="AU13" i="40"/>
  <c r="ET28" i="40"/>
  <c r="DM29" i="36"/>
  <c r="DQ29" i="36" s="1"/>
  <c r="AX36" i="27"/>
  <c r="ET5" i="36"/>
  <c r="EU11" i="40"/>
  <c r="AW2" i="27"/>
  <c r="DM33" i="40"/>
  <c r="DQ33" i="40" s="1"/>
  <c r="AW20" i="27"/>
  <c r="ES20" i="36"/>
  <c r="EP30" i="36" a="1"/>
  <c r="EP30" i="36" s="1"/>
  <c r="EU5" i="40"/>
  <c r="AX44" i="27"/>
  <c r="AX9" i="27"/>
  <c r="AV42" i="27"/>
  <c r="EU4" i="36"/>
  <c r="AW13" i="36"/>
  <c r="AV27" i="27"/>
  <c r="AY27" i="27" s="1"/>
  <c r="ET9" i="36"/>
  <c r="DL34" i="40"/>
  <c r="DP34" i="40" s="1"/>
  <c r="AV37" i="27"/>
  <c r="ES4" i="36"/>
  <c r="DM28" i="36"/>
  <c r="DQ28" i="36" s="1"/>
  <c r="DL22" i="36"/>
  <c r="DP22" i="36" s="1"/>
  <c r="ET11" i="36"/>
  <c r="ES21" i="36"/>
  <c r="ES22" i="36"/>
  <c r="AU58" i="40"/>
  <c r="ET24" i="40"/>
  <c r="DL32" i="40"/>
  <c r="DP32" i="40" s="1"/>
  <c r="EU9" i="36"/>
  <c r="K30" i="27"/>
  <c r="N30" i="27" s="1"/>
  <c r="DL27" i="40"/>
  <c r="DP27" i="40" s="1"/>
  <c r="DN27" i="40" s="1"/>
  <c r="DM37" i="40"/>
  <c r="DQ37" i="40" s="1"/>
  <c r="ET19" i="40"/>
  <c r="AW9" i="27"/>
  <c r="AU49" i="36"/>
  <c r="ES19" i="40"/>
  <c r="EU12" i="40"/>
  <c r="AX20" i="27"/>
  <c r="EU26" i="40"/>
  <c r="K31" i="27"/>
  <c r="DL27" i="36"/>
  <c r="DP27" i="36" s="1"/>
  <c r="Q1" i="27"/>
  <c r="J22" i="27" s="1"/>
  <c r="I22" i="27" s="1" a="1"/>
  <c r="I22" i="27" s="1"/>
  <c r="DM26" i="36"/>
  <c r="DQ26" i="36" s="1"/>
  <c r="DL25" i="40"/>
  <c r="DP25" i="40" s="1"/>
  <c r="EU3" i="40"/>
  <c r="ET2" i="40"/>
  <c r="AW22" i="36"/>
  <c r="EU29" i="36"/>
  <c r="DM31" i="40"/>
  <c r="DQ31" i="40" s="1"/>
  <c r="DL37" i="36"/>
  <c r="DP37" i="36" s="1"/>
  <c r="DM35" i="40"/>
  <c r="DQ35" i="40" s="1"/>
  <c r="ES8" i="36"/>
  <c r="BD14" i="27"/>
  <c r="ET18" i="36"/>
  <c r="AW42" i="27"/>
  <c r="EU18" i="40"/>
  <c r="EU28" i="40"/>
  <c r="K35" i="27"/>
  <c r="AX38" i="27"/>
  <c r="AX23" i="27"/>
  <c r="AU3" i="36"/>
  <c r="AU31" i="36"/>
  <c r="ET22" i="36"/>
  <c r="DL33" i="36"/>
  <c r="DP33" i="36" s="1"/>
  <c r="ET7" i="36"/>
  <c r="AW58" i="40"/>
  <c r="AW6" i="27"/>
  <c r="EU28" i="36"/>
  <c r="AV3" i="40"/>
  <c r="AX27" i="27"/>
  <c r="AZ27" i="27" s="1"/>
  <c r="AV22" i="40"/>
  <c r="DM37" i="36"/>
  <c r="DQ37" i="36" s="1"/>
  <c r="DL30" i="36"/>
  <c r="DP30" i="36" s="1"/>
  <c r="DN30" i="36" s="1"/>
  <c r="K26" i="27"/>
  <c r="AV13" i="40"/>
  <c r="ET4" i="36"/>
  <c r="ET29" i="40"/>
  <c r="AX2" i="27"/>
  <c r="EU26" i="36"/>
  <c r="AV25" i="27"/>
  <c r="DL24" i="40"/>
  <c r="DP24" i="40" s="1"/>
  <c r="ES6" i="36"/>
  <c r="DM22" i="36"/>
  <c r="DQ22" i="36" s="1"/>
  <c r="ES5" i="36"/>
  <c r="ES20" i="40"/>
  <c r="ES27" i="40"/>
  <c r="ET8" i="36"/>
  <c r="ET19" i="36"/>
  <c r="AW41" i="27"/>
  <c r="AV21" i="27"/>
  <c r="AV20" i="27"/>
  <c r="AW26" i="27"/>
  <c r="AU49" i="40"/>
  <c r="AU40" i="40"/>
  <c r="AX37" i="27"/>
  <c r="EU22" i="40"/>
  <c r="AU13" i="36"/>
  <c r="K23" i="27"/>
  <c r="AW25" i="27"/>
  <c r="EU27" i="36"/>
  <c r="Y1" i="27"/>
  <c r="AW22" i="40"/>
  <c r="DL24" i="36"/>
  <c r="DP24" i="36" s="1"/>
  <c r="DN24" i="36" s="1"/>
  <c r="ET20" i="40"/>
  <c r="DM32" i="36"/>
  <c r="DQ32" i="36" s="1"/>
  <c r="AW8" i="27"/>
  <c r="K24" i="27"/>
  <c r="ET24" i="36"/>
  <c r="DM34" i="36"/>
  <c r="DQ34" i="36" s="1"/>
  <c r="AX46" i="27"/>
  <c r="AZ46" i="27" s="1"/>
  <c r="AW3" i="40"/>
  <c r="ET27" i="36"/>
  <c r="ES24" i="36"/>
  <c r="ET21" i="40"/>
  <c r="DM30" i="40"/>
  <c r="DQ30" i="40" s="1"/>
  <c r="ES27" i="36"/>
  <c r="ET27" i="40"/>
  <c r="ES10" i="36"/>
  <c r="ES23" i="36"/>
  <c r="AW45" i="27"/>
  <c r="DL31" i="36"/>
  <c r="DP31" i="36" s="1"/>
  <c r="AW38" i="27"/>
  <c r="AW24" i="27"/>
  <c r="ET25" i="36"/>
  <c r="AV40" i="36"/>
  <c r="AX13" i="27"/>
  <c r="DM23" i="40"/>
  <c r="DQ23" i="40" s="1"/>
  <c r="AW36" i="27"/>
  <c r="K28" i="27"/>
  <c r="EU29" i="40"/>
  <c r="ES28" i="40"/>
  <c r="DM33" i="36"/>
  <c r="DQ33" i="36" s="1"/>
  <c r="ET22" i="40"/>
  <c r="EU10" i="40"/>
  <c r="DM24" i="40"/>
  <c r="DQ24" i="40" s="1"/>
  <c r="AX29" i="27"/>
  <c r="DM24" i="36"/>
  <c r="DQ24" i="36" s="1"/>
  <c r="ET12" i="36"/>
  <c r="ES13" i="36"/>
  <c r="EU24" i="40"/>
  <c r="AW39" i="27"/>
  <c r="DL31" i="40"/>
  <c r="DP31" i="40" s="1"/>
  <c r="DN31" i="40" s="1"/>
  <c r="AV58" i="40"/>
  <c r="DL35" i="40"/>
  <c r="DP35" i="40" s="1"/>
  <c r="ET7" i="40"/>
  <c r="DM23" i="36"/>
  <c r="DQ23" i="36" s="1"/>
  <c r="AV9" i="27"/>
  <c r="DL22" i="40"/>
  <c r="DP22" i="40" s="1"/>
  <c r="AU22" i="36"/>
  <c r="DM35" i="36"/>
  <c r="DQ35" i="36" s="1"/>
  <c r="EU19" i="36"/>
  <c r="AV8" i="27"/>
  <c r="ET9" i="40"/>
  <c r="EU24" i="36"/>
  <c r="AX39" i="27"/>
  <c r="EP30" i="40" a="1"/>
  <c r="EP30" i="40" s="1"/>
  <c r="ES18" i="40"/>
  <c r="DM27" i="36"/>
  <c r="DQ27" i="36" s="1"/>
  <c r="AV7" i="27"/>
  <c r="AU22" i="40"/>
  <c r="DL35" i="36"/>
  <c r="DP35" i="36" s="1"/>
  <c r="AW58" i="36"/>
  <c r="K37" i="27"/>
  <c r="N37" i="27" s="1"/>
  <c r="AV46" i="27"/>
  <c r="AY46" i="27" s="1"/>
  <c r="EU5" i="36"/>
  <c r="AU40" i="36"/>
  <c r="ET10" i="36"/>
  <c r="K33" i="27"/>
  <c r="DL28" i="40"/>
  <c r="DP28" i="40" s="1"/>
  <c r="AW31" i="36"/>
  <c r="DL28" i="36"/>
  <c r="DP28" i="36" s="1"/>
  <c r="DN28" i="36" s="1"/>
  <c r="DL34" i="36"/>
  <c r="DP34" i="36" s="1"/>
  <c r="AX18" i="27"/>
  <c r="DM25" i="40"/>
  <c r="DQ25" i="40" s="1"/>
  <c r="ET5" i="40"/>
  <c r="AX43" i="27"/>
  <c r="AV23" i="27"/>
  <c r="AV58" i="36"/>
  <c r="ET13" i="36"/>
  <c r="AW40" i="40"/>
  <c r="DL23" i="36"/>
  <c r="DP23" i="36" s="1"/>
  <c r="ET3" i="40"/>
  <c r="DL29" i="40"/>
  <c r="DP29" i="40" s="1"/>
  <c r="DN29" i="40" s="1"/>
  <c r="DM32" i="40"/>
  <c r="DQ32" i="40" s="1"/>
  <c r="EU23" i="36"/>
  <c r="AX8" i="27"/>
  <c r="DL30" i="40"/>
  <c r="DP30" i="40" s="1"/>
  <c r="DN30" i="40" s="1"/>
  <c r="K36" i="27"/>
  <c r="DM26" i="40"/>
  <c r="DQ26" i="40" s="1"/>
  <c r="ES21" i="40"/>
  <c r="ET6" i="40"/>
  <c r="AV29" i="27"/>
  <c r="K29" i="27"/>
  <c r="DM22" i="40"/>
  <c r="DQ22" i="40" s="1"/>
  <c r="AV13" i="27"/>
  <c r="K27" i="27"/>
  <c r="AV39" i="27"/>
  <c r="AW7" i="27"/>
  <c r="DL25" i="36"/>
  <c r="DP25" i="36" s="1"/>
  <c r="DN25" i="36" s="1"/>
  <c r="AV13" i="36"/>
  <c r="AV31" i="40"/>
  <c r="AX41" i="27"/>
  <c r="AV31" i="36"/>
  <c r="K22" i="27"/>
  <c r="ET12" i="40"/>
  <c r="DM28" i="40"/>
  <c r="DQ28" i="40" s="1"/>
  <c r="AB15" i="27"/>
  <c r="T1" i="27"/>
  <c r="T9" i="27"/>
  <c r="T7" i="27"/>
  <c r="T4" i="27"/>
  <c r="AB10" i="27"/>
  <c r="T3" i="27"/>
  <c r="T8" i="27"/>
  <c r="T16" i="27"/>
  <c r="AB6" i="27"/>
  <c r="AB12" i="27"/>
  <c r="AB1" i="27"/>
  <c r="T14" i="27"/>
  <c r="T10" i="27"/>
  <c r="AB5" i="27"/>
  <c r="AB2" i="27"/>
  <c r="T11" i="27"/>
  <c r="T6" i="27"/>
  <c r="T5" i="27"/>
  <c r="AB8" i="27"/>
  <c r="T15" i="27"/>
  <c r="AB16" i="27"/>
  <c r="T12" i="27"/>
  <c r="T13" i="27"/>
  <c r="T2" i="27"/>
  <c r="AB13" i="27"/>
  <c r="AB4" i="27"/>
  <c r="AB7" i="27"/>
  <c r="AB14" i="27"/>
  <c r="AB3" i="27"/>
  <c r="AB11" i="27"/>
  <c r="AB9" i="27"/>
  <c r="DN34" i="40" l="1"/>
  <c r="DN23" i="36"/>
  <c r="DN28" i="40"/>
  <c r="DN35" i="36"/>
  <c r="DS35" i="36" s="1" a="1"/>
  <c r="DS35" i="36" s="1"/>
  <c r="DR35" i="36" s="1"/>
  <c r="DN31" i="36"/>
  <c r="DN35" i="40"/>
  <c r="DN36" i="36"/>
  <c r="DS23" i="36" a="1"/>
  <c r="DS23" i="36" s="1"/>
  <c r="DR23" i="36" s="1"/>
  <c r="DU23" i="36"/>
  <c r="DV23" i="36"/>
  <c r="DT23" i="36"/>
  <c r="DV31" i="40"/>
  <c r="DS31" i="40" a="1"/>
  <c r="DS31" i="40" s="1"/>
  <c r="DR31" i="40" s="1"/>
  <c r="DT31" i="40"/>
  <c r="DU31" i="40"/>
  <c r="DT29" i="40"/>
  <c r="DV29" i="40"/>
  <c r="DS29" i="40" a="1"/>
  <c r="DS29" i="40" s="1"/>
  <c r="DR29" i="40" s="1"/>
  <c r="DU29" i="40"/>
  <c r="DT25" i="36"/>
  <c r="DU25" i="36"/>
  <c r="DV25" i="36" s="1"/>
  <c r="DS25" i="36" a="1"/>
  <c r="DS25" i="36" s="1"/>
  <c r="DR25" i="36" s="1"/>
  <c r="ES30" i="40"/>
  <c r="AZ38" i="27"/>
  <c r="AY38" i="27"/>
  <c r="AY41" i="27"/>
  <c r="AZ41" i="27"/>
  <c r="DN24" i="40"/>
  <c r="BI14" i="27"/>
  <c r="BK14" i="27"/>
  <c r="DN37" i="36"/>
  <c r="ET15" i="40"/>
  <c r="P22" i="27"/>
  <c r="N22" i="27"/>
  <c r="H22" i="27"/>
  <c r="DT27" i="40"/>
  <c r="DS27" i="40" a="1"/>
  <c r="DS27" i="40" s="1"/>
  <c r="DR27" i="40" s="1"/>
  <c r="DU27" i="40"/>
  <c r="DV27" i="40" s="1"/>
  <c r="DN32" i="40"/>
  <c r="AZ2" i="27"/>
  <c r="AY2" i="27"/>
  <c r="AV14" i="27"/>
  <c r="AW14" i="27" s="1" a="1"/>
  <c r="AW14" i="27" s="1"/>
  <c r="AY14" i="27" s="1"/>
  <c r="DN33" i="40"/>
  <c r="ET30" i="40"/>
  <c r="AZ43" i="27"/>
  <c r="AY43" i="27"/>
  <c r="BA1" i="27"/>
  <c r="BI1" i="27"/>
  <c r="P23" i="27"/>
  <c r="H23" i="27"/>
  <c r="O23" i="27"/>
  <c r="N23" i="27"/>
  <c r="P27" i="27"/>
  <c r="N27" i="27"/>
  <c r="O27" i="27"/>
  <c r="H27" i="27"/>
  <c r="O25" i="27"/>
  <c r="N25" i="27"/>
  <c r="P25" i="27"/>
  <c r="H25" i="27"/>
  <c r="BA6" i="27"/>
  <c r="BI6" i="27"/>
  <c r="DN26" i="36"/>
  <c r="O30" i="27"/>
  <c r="P30" i="27"/>
  <c r="H30" i="27"/>
  <c r="BA10" i="27"/>
  <c r="BI10" i="27"/>
  <c r="DT24" i="36"/>
  <c r="DS24" i="36" a="1"/>
  <c r="DS24" i="36" s="1"/>
  <c r="DR24" i="36" s="1"/>
  <c r="DU24" i="36"/>
  <c r="DV24" i="36" s="1"/>
  <c r="AZ25" i="27"/>
  <c r="AY25" i="27"/>
  <c r="AY26" i="27"/>
  <c r="AZ26" i="27"/>
  <c r="DS30" i="36" a="1"/>
  <c r="DS30" i="36" s="1"/>
  <c r="DR30" i="36" s="1"/>
  <c r="DT30" i="36"/>
  <c r="DU30" i="36"/>
  <c r="DV30" i="36" s="1"/>
  <c r="AZ42" i="27"/>
  <c r="AY42" i="27"/>
  <c r="DN27" i="36"/>
  <c r="AY9" i="27"/>
  <c r="AZ9" i="27"/>
  <c r="ES30" i="36"/>
  <c r="EU15" i="36"/>
  <c r="AY13" i="27"/>
  <c r="AZ13" i="27"/>
  <c r="DT36" i="36"/>
  <c r="DV36" i="36"/>
  <c r="DS36" i="36" a="1"/>
  <c r="DS36" i="36" s="1"/>
  <c r="DR36" i="36" s="1"/>
  <c r="DU36" i="36"/>
  <c r="DN26" i="40"/>
  <c r="AZ29" i="27"/>
  <c r="AY29" i="27"/>
  <c r="AY23" i="27"/>
  <c r="AZ23" i="27"/>
  <c r="AV30" i="27"/>
  <c r="AW30" i="27" s="1" a="1"/>
  <c r="AW30" i="27" s="1"/>
  <c r="AY30" i="27" s="1"/>
  <c r="AY18" i="27"/>
  <c r="AZ18" i="27"/>
  <c r="DT29" i="36"/>
  <c r="DS29" i="36" a="1"/>
  <c r="DS29" i="36" s="1"/>
  <c r="DR29" i="36" s="1"/>
  <c r="DU29" i="36"/>
  <c r="DV29" i="36"/>
  <c r="N31" i="27"/>
  <c r="O31" i="27"/>
  <c r="P31" i="27"/>
  <c r="H31" i="27"/>
  <c r="BI12" i="27"/>
  <c r="BA12" i="27"/>
  <c r="N36" i="27"/>
  <c r="O36" i="27"/>
  <c r="H36" i="27"/>
  <c r="P36" i="27"/>
  <c r="P24" i="27"/>
  <c r="H24" i="27"/>
  <c r="O24" i="27"/>
  <c r="N24" i="27"/>
  <c r="O33" i="27"/>
  <c r="H33" i="27"/>
  <c r="N33" i="27"/>
  <c r="P33" i="27"/>
  <c r="BA11" i="27"/>
  <c r="BI11" i="27"/>
  <c r="DT31" i="36"/>
  <c r="DS31" i="36" a="1"/>
  <c r="DS31" i="36" s="1"/>
  <c r="DR31" i="36" s="1"/>
  <c r="DU31" i="36"/>
  <c r="DV31" i="36" s="1"/>
  <c r="DN22" i="40"/>
  <c r="AZ39" i="27"/>
  <c r="AY39" i="27"/>
  <c r="AY24" i="27"/>
  <c r="AZ24" i="27"/>
  <c r="AY45" i="27"/>
  <c r="AZ45" i="27"/>
  <c r="AZ8" i="27"/>
  <c r="AY8" i="27"/>
  <c r="DN33" i="36"/>
  <c r="DN25" i="40"/>
  <c r="AZ20" i="27"/>
  <c r="AY20" i="27"/>
  <c r="ET15" i="36"/>
  <c r="AZ44" i="27"/>
  <c r="AY44" i="27"/>
  <c r="DS36" i="40" a="1"/>
  <c r="DS36" i="40" s="1"/>
  <c r="DR36" i="40" s="1"/>
  <c r="DT36" i="40"/>
  <c r="DU36" i="40"/>
  <c r="DV36" i="40" s="1"/>
  <c r="ES15" i="36"/>
  <c r="DN23" i="40"/>
  <c r="P29" i="27"/>
  <c r="N29" i="27"/>
  <c r="H29" i="27"/>
  <c r="O29" i="27"/>
  <c r="BA4" i="27"/>
  <c r="BI4" i="27"/>
  <c r="H35" i="27"/>
  <c r="O35" i="27"/>
  <c r="P35" i="27"/>
  <c r="N35" i="27"/>
  <c r="H28" i="27"/>
  <c r="N28" i="27"/>
  <c r="P28" i="27"/>
  <c r="O28" i="27"/>
  <c r="P37" i="27"/>
  <c r="O37" i="27"/>
  <c r="H37" i="27"/>
  <c r="BA7" i="27"/>
  <c r="BI7" i="27"/>
  <c r="BI8" i="27"/>
  <c r="BA8" i="27"/>
  <c r="AZ7" i="27"/>
  <c r="AY7" i="27"/>
  <c r="DT28" i="40"/>
  <c r="DS28" i="40" a="1"/>
  <c r="DS28" i="40" s="1"/>
  <c r="DR28" i="40" s="1"/>
  <c r="DV28" i="40"/>
  <c r="DU28" i="40"/>
  <c r="AV47" i="27"/>
  <c r="AW47" i="27" s="1" a="1"/>
  <c r="AW47" i="27" s="1"/>
  <c r="AY47" i="27" s="1"/>
  <c r="AZ36" i="27"/>
  <c r="AY36" i="27"/>
  <c r="DN34" i="36"/>
  <c r="DU30" i="40"/>
  <c r="DT30" i="40"/>
  <c r="DS30" i="40" a="1"/>
  <c r="DS30" i="40" s="1"/>
  <c r="DR30" i="40" s="1"/>
  <c r="DV30" i="40"/>
  <c r="DS28" i="36" a="1"/>
  <c r="DS28" i="36" s="1"/>
  <c r="DR28" i="36" s="1"/>
  <c r="DT28" i="36"/>
  <c r="DU28" i="36"/>
  <c r="DV28" i="36" s="1"/>
  <c r="EU30" i="36"/>
  <c r="DT35" i="40"/>
  <c r="DU35" i="40"/>
  <c r="DV35" i="40"/>
  <c r="DS35" i="40" a="1"/>
  <c r="DS35" i="40" s="1"/>
  <c r="DR35" i="40" s="1"/>
  <c r="AY6" i="27"/>
  <c r="AZ6" i="27"/>
  <c r="EU30" i="40"/>
  <c r="ET30" i="36"/>
  <c r="DN22" i="36"/>
  <c r="DS34" i="40" a="1"/>
  <c r="DS34" i="40" s="1"/>
  <c r="DR34" i="40" s="1"/>
  <c r="DU34" i="40"/>
  <c r="DV34" i="40" s="1"/>
  <c r="DT34" i="40"/>
  <c r="DN37" i="40"/>
  <c r="DN32" i="36"/>
  <c r="EU15" i="40"/>
  <c r="AZ37" i="27"/>
  <c r="AY37" i="27"/>
  <c r="AY21" i="27"/>
  <c r="AZ21" i="27"/>
  <c r="O26" i="27"/>
  <c r="H26" i="27"/>
  <c r="P26" i="27"/>
  <c r="N26" i="27"/>
  <c r="BI3" i="27"/>
  <c r="BA3" i="27"/>
  <c r="BI2" i="27"/>
  <c r="BA2" i="27"/>
  <c r="O34" i="27"/>
  <c r="H34" i="27"/>
  <c r="P34" i="27"/>
  <c r="N34" i="27"/>
  <c r="BH14" i="27"/>
  <c r="BI5" i="27"/>
  <c r="BA5" i="27"/>
  <c r="BI13" i="27"/>
  <c r="BA13" i="27"/>
  <c r="BA9" i="27"/>
  <c r="BI9" i="27"/>
  <c r="O32" i="27"/>
  <c r="P32" i="27"/>
  <c r="H32" i="27"/>
  <c r="N32" i="27"/>
  <c r="AA9" i="27" a="1"/>
  <c r="AA16" i="27" a="1"/>
  <c r="AA12" i="27" a="1"/>
  <c r="S4" i="27" a="1"/>
  <c r="S12" i="27" a="1"/>
  <c r="S5" i="27" a="1"/>
  <c r="AA5" i="27" a="1"/>
  <c r="S9" i="27" a="1"/>
  <c r="AA3" i="27" a="1"/>
  <c r="AA4" i="27" a="1"/>
  <c r="AA8" i="27" a="1"/>
  <c r="S16" i="27" a="1"/>
  <c r="S7" i="27" a="1"/>
  <c r="AA7" i="27" a="1"/>
  <c r="S6" i="27" a="1"/>
  <c r="S10" i="27" a="1"/>
  <c r="BL1" i="27" a="1"/>
  <c r="AA14" i="27" a="1"/>
  <c r="AA6" i="27" a="1"/>
  <c r="S2" i="27" a="1"/>
  <c r="AA13" i="27" a="1"/>
  <c r="AA2" i="27" a="1"/>
  <c r="S8" i="27" a="1"/>
  <c r="S1" i="27" a="1"/>
  <c r="AA1" i="27" a="1"/>
  <c r="S11" i="27" a="1"/>
  <c r="BJ1" i="27" a="1"/>
  <c r="AA11" i="27" a="1"/>
  <c r="S15" i="27" a="1"/>
  <c r="S3" i="27" a="1"/>
  <c r="S13" i="27" a="1"/>
  <c r="S14" i="27" a="1"/>
  <c r="AA10" i="27" a="1"/>
  <c r="AA15" i="27" a="1"/>
  <c r="AA15" i="27" l="1"/>
  <c r="AA10" i="27"/>
  <c r="S14" i="27"/>
  <c r="S13" i="27"/>
  <c r="S1" i="27"/>
  <c r="S8" i="27"/>
  <c r="AA2" i="27"/>
  <c r="AA13" i="27"/>
  <c r="S7" i="27"/>
  <c r="S16" i="27"/>
  <c r="AA8" i="27"/>
  <c r="AA4" i="27"/>
  <c r="S4" i="27"/>
  <c r="AA12" i="27"/>
  <c r="AA16" i="27"/>
  <c r="AA9" i="27"/>
  <c r="DV35" i="36"/>
  <c r="DU35" i="36"/>
  <c r="DT35" i="36"/>
  <c r="AZ47" i="27" a="1"/>
  <c r="AZ47" i="27" s="1"/>
  <c r="BB1" i="27"/>
  <c r="AA14" i="27"/>
  <c r="AA3" i="27"/>
  <c r="S2" i="27"/>
  <c r="AA11" i="27"/>
  <c r="BM3" i="27" a="1"/>
  <c r="BM3" i="27" s="1"/>
  <c r="BK7" i="27"/>
  <c r="BL1" i="27"/>
  <c r="BM8" i="27" a="1"/>
  <c r="BM8" i="27" s="1"/>
  <c r="BK2" i="27"/>
  <c r="BM7" i="27" a="1"/>
  <c r="BM7" i="27" s="1"/>
  <c r="BK6" i="27"/>
  <c r="BM5" i="27" a="1"/>
  <c r="BM5" i="27" s="1"/>
  <c r="BK3" i="27"/>
  <c r="BK5" i="27"/>
  <c r="BK4" i="27"/>
  <c r="BM2" i="27" a="1"/>
  <c r="BM2" i="27" s="1"/>
  <c r="BM6" i="27" a="1"/>
  <c r="BM6" i="27" s="1"/>
  <c r="BM4" i="27" a="1"/>
  <c r="BM4" i="27" s="1"/>
  <c r="BK8" i="27"/>
  <c r="S9" i="27"/>
  <c r="S3" i="27"/>
  <c r="BJ1" i="27"/>
  <c r="S10" i="27"/>
  <c r="AA5" i="27"/>
  <c r="AA6" i="27"/>
  <c r="S11" i="27"/>
  <c r="S6" i="27"/>
  <c r="S5" i="27"/>
  <c r="S15" i="27"/>
  <c r="AA1" i="27"/>
  <c r="AA7" i="27"/>
  <c r="S12" i="27"/>
  <c r="Q26" i="27"/>
  <c r="R26" i="27"/>
  <c r="DT32" i="36"/>
  <c r="DS32" i="36" a="1"/>
  <c r="DS32" i="36" s="1"/>
  <c r="DR32" i="36" s="1"/>
  <c r="DU32" i="36"/>
  <c r="DV32" i="36"/>
  <c r="DX30" i="40" a="1"/>
  <c r="DX30" i="40" s="1"/>
  <c r="DW30" i="40" a="1"/>
  <c r="DW30" i="40" s="1"/>
  <c r="M34" i="27"/>
  <c r="G34" i="27"/>
  <c r="DS37" i="40" a="1"/>
  <c r="DS37" i="40" s="1"/>
  <c r="DR37" i="40" s="1"/>
  <c r="DT37" i="40"/>
  <c r="DU37" i="40"/>
  <c r="DV37" i="40" s="1"/>
  <c r="R32" i="27"/>
  <c r="Q32" i="27"/>
  <c r="DU34" i="36"/>
  <c r="DV34" i="36" s="1"/>
  <c r="DT34" i="36"/>
  <c r="DS34" i="36" a="1"/>
  <c r="DS34" i="36" s="1"/>
  <c r="DR34" i="36" s="1"/>
  <c r="G35" i="27"/>
  <c r="M35" i="27"/>
  <c r="DU25" i="40"/>
  <c r="DV25" i="40" s="1"/>
  <c r="DS25" i="40" a="1"/>
  <c r="DS25" i="40" s="1"/>
  <c r="DR25" i="40" s="1"/>
  <c r="DT25" i="40"/>
  <c r="Q33" i="27"/>
  <c r="R33" i="27"/>
  <c r="R36" i="27"/>
  <c r="Q36" i="27"/>
  <c r="AZ30" i="27" a="1"/>
  <c r="AZ30" i="27" s="1"/>
  <c r="DT27" i="36"/>
  <c r="DS27" i="36" a="1"/>
  <c r="DS27" i="36" s="1"/>
  <c r="DR27" i="36" s="1"/>
  <c r="DU27" i="36"/>
  <c r="DV27" i="36" s="1"/>
  <c r="DW30" i="36" a="1"/>
  <c r="DW30" i="36" s="1"/>
  <c r="DX30" i="36" a="1"/>
  <c r="DX30" i="36" s="1"/>
  <c r="DX24" i="36" a="1"/>
  <c r="DX24" i="36" s="1"/>
  <c r="DW24" i="36" a="1"/>
  <c r="DW24" i="36" s="1"/>
  <c r="R30" i="27"/>
  <c r="Q30" i="27"/>
  <c r="Q27" i="27"/>
  <c r="R27" i="27"/>
  <c r="R23" i="27"/>
  <c r="Q23" i="27"/>
  <c r="DW23" i="36" a="1"/>
  <c r="DW23" i="36" s="1"/>
  <c r="DX23" i="36" a="1"/>
  <c r="DX23" i="36" s="1"/>
  <c r="Q34" i="27"/>
  <c r="R34" i="27"/>
  <c r="R28" i="27"/>
  <c r="Q28" i="27"/>
  <c r="R35" i="27"/>
  <c r="Q35" i="27"/>
  <c r="Q29" i="27"/>
  <c r="R29" i="27"/>
  <c r="DW36" i="40" a="1"/>
  <c r="DW36" i="40" s="1"/>
  <c r="DX36" i="40" a="1"/>
  <c r="DX36" i="40" s="1"/>
  <c r="DU33" i="36"/>
  <c r="DV33" i="36" s="1"/>
  <c r="DT33" i="36"/>
  <c r="DS33" i="36" a="1"/>
  <c r="DS33" i="36" s="1"/>
  <c r="DR33" i="36" s="1"/>
  <c r="DW31" i="36" a="1"/>
  <c r="DW31" i="36" s="1"/>
  <c r="DX31" i="36" a="1"/>
  <c r="DX31" i="36" s="1"/>
  <c r="G36" i="27"/>
  <c r="M36" i="27"/>
  <c r="DW29" i="36" a="1"/>
  <c r="DW29" i="36" s="1"/>
  <c r="DX29" i="36" a="1"/>
  <c r="DX29" i="36" s="1"/>
  <c r="DU26" i="40"/>
  <c r="DS26" i="40" a="1"/>
  <c r="DS26" i="40" s="1"/>
  <c r="DR26" i="40" s="1"/>
  <c r="DT26" i="40"/>
  <c r="DV26" i="40"/>
  <c r="DW36" i="36" a="1"/>
  <c r="DW36" i="36" s="1"/>
  <c r="DX36" i="36" a="1"/>
  <c r="DX36" i="36" s="1"/>
  <c r="G25" i="27"/>
  <c r="M25" i="27"/>
  <c r="G27" i="27"/>
  <c r="M27" i="27"/>
  <c r="DW27" i="40" a="1"/>
  <c r="DW27" i="40" s="1"/>
  <c r="DX27" i="40" a="1"/>
  <c r="DX27" i="40" s="1"/>
  <c r="R22" i="27"/>
  <c r="DX35" i="36" a="1"/>
  <c r="DX35" i="36" s="1"/>
  <c r="DW35" i="36" a="1"/>
  <c r="DW35" i="36" s="1"/>
  <c r="DX31" i="40" a="1"/>
  <c r="DX31" i="40" s="1"/>
  <c r="DW31" i="40" a="1"/>
  <c r="DW31" i="40" s="1"/>
  <c r="DS22" i="40" a="1"/>
  <c r="DS22" i="40" s="1"/>
  <c r="DR22" i="40" s="1"/>
  <c r="DT22" i="40"/>
  <c r="DU22" i="40"/>
  <c r="DV22" i="40" s="1"/>
  <c r="G33" i="27"/>
  <c r="M33" i="27"/>
  <c r="M24" i="27"/>
  <c r="G24" i="27"/>
  <c r="M31" i="27"/>
  <c r="G31" i="27"/>
  <c r="DU26" i="36"/>
  <c r="DS26" i="36" a="1"/>
  <c r="DS26" i="36" s="1"/>
  <c r="DR26" i="36" s="1"/>
  <c r="DT26" i="36"/>
  <c r="DV26" i="36"/>
  <c r="R25" i="27"/>
  <c r="Q25" i="27"/>
  <c r="DU33" i="40"/>
  <c r="DV33" i="40" s="1"/>
  <c r="DT33" i="40"/>
  <c r="DS33" i="40" a="1"/>
  <c r="DS33" i="40" s="1"/>
  <c r="DR33" i="40" s="1"/>
  <c r="DS32" i="40" a="1"/>
  <c r="DS32" i="40" s="1"/>
  <c r="DR32" i="40" s="1"/>
  <c r="DV32" i="40"/>
  <c r="DT32" i="40"/>
  <c r="DU32" i="40"/>
  <c r="DX28" i="36" a="1"/>
  <c r="DX28" i="36" s="1"/>
  <c r="DW28" i="36" a="1"/>
  <c r="DW28" i="36" s="1"/>
  <c r="G37" i="27"/>
  <c r="M37" i="27"/>
  <c r="M32" i="27"/>
  <c r="G32" i="27"/>
  <c r="M26" i="27"/>
  <c r="G26" i="27"/>
  <c r="DS22" i="36" a="1"/>
  <c r="DS22" i="36" s="1"/>
  <c r="DR22" i="36" s="1"/>
  <c r="DT22" i="36"/>
  <c r="DU22" i="36"/>
  <c r="DV22" i="36" s="1"/>
  <c r="DW35" i="40" a="1"/>
  <c r="DW35" i="40" s="1"/>
  <c r="DX35" i="40" a="1"/>
  <c r="DX35" i="40" s="1"/>
  <c r="DX28" i="40" a="1"/>
  <c r="DX28" i="40" s="1"/>
  <c r="DW28" i="40" a="1"/>
  <c r="DW28" i="40" s="1"/>
  <c r="DS23" i="40" a="1"/>
  <c r="DS23" i="40" s="1"/>
  <c r="DR23" i="40" s="1"/>
  <c r="DT23" i="40"/>
  <c r="DV23" i="40"/>
  <c r="DU23" i="40"/>
  <c r="DW34" i="40" a="1"/>
  <c r="DW34" i="40" s="1"/>
  <c r="DX34" i="40" a="1"/>
  <c r="DX34" i="40" s="1"/>
  <c r="R37" i="27"/>
  <c r="Q37" i="27"/>
  <c r="M28" i="27"/>
  <c r="G28" i="27"/>
  <c r="M29" i="27"/>
  <c r="G29" i="27"/>
  <c r="Q24" i="27"/>
  <c r="R24" i="27"/>
  <c r="R31" i="27"/>
  <c r="Q31" i="27"/>
  <c r="M30" i="27"/>
  <c r="G30" i="27"/>
  <c r="G23" i="27"/>
  <c r="M23" i="27"/>
  <c r="AZ14" i="27" a="1"/>
  <c r="AZ14" i="27" s="1"/>
  <c r="G22" i="27"/>
  <c r="DV37" i="36"/>
  <c r="DT37" i="36"/>
  <c r="DU37" i="36"/>
  <c r="DS37" i="36" a="1"/>
  <c r="DS37" i="36" s="1"/>
  <c r="DR37" i="36" s="1"/>
  <c r="DS24" i="40" a="1"/>
  <c r="DS24" i="40" s="1"/>
  <c r="DR24" i="40" s="1"/>
  <c r="DU24" i="40"/>
  <c r="DV24" i="40" s="1"/>
  <c r="DT24" i="40"/>
  <c r="DX25" i="36" a="1"/>
  <c r="DX25" i="36" s="1"/>
  <c r="DW25" i="36" a="1"/>
  <c r="DW25" i="36" s="1"/>
  <c r="DX29" i="40" a="1"/>
  <c r="DX29" i="40" s="1"/>
  <c r="DW29" i="40" a="1"/>
  <c r="DW29" i="40" s="1"/>
  <c r="DW23" i="40" l="1" a="1"/>
  <c r="DW23" i="40" s="1"/>
  <c r="DX23" i="40" a="1"/>
  <c r="DX23" i="40" s="1"/>
  <c r="DW37" i="36" a="1"/>
  <c r="DW37" i="36" s="1"/>
  <c r="DX37" i="36" a="1"/>
  <c r="DX37" i="36" s="1"/>
  <c r="DX22" i="40" a="1"/>
  <c r="DX22" i="40" s="1"/>
  <c r="DW22" i="40" a="1"/>
  <c r="DW22" i="40" s="1"/>
  <c r="DW22" i="36" a="1"/>
  <c r="DW22" i="36" s="1"/>
  <c r="DX22" i="36" a="1"/>
  <c r="DX22" i="36" s="1"/>
  <c r="DX26" i="36" a="1"/>
  <c r="DX26" i="36" s="1"/>
  <c r="DW26" i="36" a="1"/>
  <c r="DW26" i="36" s="1"/>
  <c r="DX37" i="40" a="1"/>
  <c r="DX37" i="40" s="1"/>
  <c r="DW37" i="40" a="1"/>
  <c r="DW37" i="40" s="1"/>
  <c r="BQ8" i="27"/>
  <c r="BN8" i="27"/>
  <c r="BO8" i="27" s="1"/>
  <c r="BP8" i="27"/>
  <c r="DX33" i="36" a="1"/>
  <c r="DX33" i="36" s="1"/>
  <c r="DW33" i="36" a="1"/>
  <c r="DW33" i="36" s="1"/>
  <c r="DW25" i="40" a="1"/>
  <c r="DW25" i="40" s="1"/>
  <c r="DX25" i="40" a="1"/>
  <c r="DX25" i="40" s="1"/>
  <c r="DX32" i="36" a="1"/>
  <c r="DX32" i="36" s="1"/>
  <c r="DW32" i="36" a="1"/>
  <c r="DW32" i="36" s="1"/>
  <c r="BK1" i="27"/>
  <c r="BB14" i="27" s="1"/>
  <c r="BL14" i="27"/>
  <c r="BM1" i="27" a="1"/>
  <c r="BM1" i="27" s="1"/>
  <c r="BN5" i="27" s="1"/>
  <c r="DW24" i="40" a="1"/>
  <c r="DW24" i="40" s="1"/>
  <c r="DX24" i="40" a="1"/>
  <c r="DX24" i="40" s="1"/>
  <c r="H21" i="27"/>
  <c r="I21" i="27"/>
  <c r="DW32" i="40" a="1"/>
  <c r="DW32" i="40" s="1"/>
  <c r="DX32" i="40" a="1"/>
  <c r="DX32" i="40" s="1"/>
  <c r="DW33" i="40" a="1"/>
  <c r="DW33" i="40" s="1"/>
  <c r="DX33" i="40" a="1"/>
  <c r="DX33" i="40" s="1"/>
  <c r="DW26" i="40" a="1"/>
  <c r="DW26" i="40" s="1"/>
  <c r="DX26" i="40" a="1"/>
  <c r="DX26" i="40" s="1"/>
  <c r="DW27" i="36" a="1"/>
  <c r="DW27" i="36" s="1"/>
  <c r="DX27" i="36" a="1"/>
  <c r="DX27" i="36" s="1"/>
  <c r="DW34" i="36" a="1"/>
  <c r="DW34" i="36" s="1"/>
  <c r="DX34" i="36" a="1"/>
  <c r="DX34" i="36" s="1"/>
  <c r="BN3" i="27" l="1"/>
  <c r="BO3" i="27" s="1"/>
  <c r="BN6" i="27"/>
  <c r="BO6" i="27" s="1"/>
  <c r="N20" i="27"/>
  <c r="BO5" i="27"/>
  <c r="BQ5" i="27"/>
  <c r="BP5" i="27"/>
  <c r="BN7" i="27"/>
  <c r="BN1" i="27"/>
  <c r="BO1" i="27" s="1"/>
  <c r="BN4" i="27"/>
  <c r="BP14" i="27"/>
  <c r="BQ14" i="27"/>
  <c r="BN2" i="27"/>
  <c r="O22" i="27"/>
  <c r="Q22" i="27"/>
  <c r="BQ1" i="27" l="1"/>
  <c r="BQ3" i="27"/>
  <c r="BP3" i="27"/>
  <c r="BP6" i="27"/>
  <c r="BQ6" i="27"/>
  <c r="BO4" i="27"/>
  <c r="BQ4" i="27"/>
  <c r="BP4" i="27"/>
  <c r="BO7" i="27"/>
  <c r="BP7" i="27"/>
  <c r="BQ7" i="27"/>
  <c r="BO2" i="27"/>
  <c r="BP2" i="27"/>
  <c r="BQ2" i="27"/>
  <c r="BP1" i="27"/>
  <c r="M22"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tc={62FE3AD8-A6D6-41D6-9AB2-73561C960565}</author>
  </authors>
  <commentList>
    <comment ref="B26" authorId="0" shapeId="0" xr:uid="{62FE3AD8-A6D6-41D6-9AB2-73561C960565}">
      <text>
        <t>[Threaded comment]
Your version of Excel allows you to read this threaded comment; however, any edits to it will get removed if the file is opened in a newer version of Excel. Learn more: https://go.microsoft.com/fwlink/?linkid=870924
Comment:
    Insérer son salaire annuel brut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764516-B94D-477F-88E0-18F3808F74A6}" keepAlive="1" name="Query - Master" description="Connection to the 'Master' query in the workbook." type="5" refreshedVersion="8" background="1" saveData="1">
    <dbPr connection="Provider=Microsoft.Mashup.OleDb.1;Data Source=$Workbook$;Location=Master;Extended Properties=&quot;&quot;" command="SELECT * FROM [Master]"/>
  </connection>
  <connection id="2" xr16:uid="{75CEDA46-2C94-467E-AE7D-9B0B4EA52D8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56A3787D-8C47-4CBF-9552-287A61CB9CD7}" name="WorksheetConnection_Finance.xlsx!DataTable" type="102" refreshedVersion="8" minRefreshableVersion="5">
    <extLst>
      <ext xmlns:x15="http://schemas.microsoft.com/office/spreadsheetml/2010/11/main" uri="{DE250136-89BD-433C-8126-D09CA5730AF9}">
        <x15:connection id="DataTable" autoDelete="1">
          <x15:rangePr sourceName="_xlcn.WorksheetConnection_Finance.xlsxDataTable"/>
        </x15:connection>
      </ext>
    </extLst>
  </connection>
  <connection id="4" xr16:uid="{020005C2-E929-4E43-A972-E3689E8D006E}" name="WorksheetConnection_Finance_Test.xlsm!Master" type="102" refreshedVersion="8" minRefreshableVersion="5">
    <extLst>
      <ext xmlns:x15="http://schemas.microsoft.com/office/spreadsheetml/2010/11/main" uri="{DE250136-89BD-433C-8126-D09CA5730AF9}">
        <x15:connection id="Master">
          <x15:rangePr sourceName="_xlcn.WorksheetConnection_Finance_Test.xlsmMaster"/>
        </x15:connection>
      </ext>
    </extLst>
  </connection>
  <connection id="5" xr16:uid="{3138D6E3-5C50-4CDF-8EFF-75A3FBA6FB2D}" name="WorksheetConnection_Finance_v1.5.xlsm!Extrap" type="102" refreshedVersion="8" minRefreshableVersion="5">
    <extLst>
      <ext xmlns:x15="http://schemas.microsoft.com/office/spreadsheetml/2010/11/main" uri="{DE250136-89BD-433C-8126-D09CA5730AF9}">
        <x15:connection id="Extrap" autoDelete="1">
          <x15:rangePr sourceName="_xlcn.WorksheetConnection_Finance_v1.5.xlsmExtrap"/>
        </x15:connection>
      </ext>
    </extLst>
  </connection>
  <connection id="6" xr16:uid="{F00B4856-7FD9-478E-92CD-CA99091BE564}" name="WorksheetConnection_Finance_v2.11.xlsm!DataBudget2" type="102" refreshedVersion="8" minRefreshableVersion="5">
    <extLst>
      <ext xmlns:x15="http://schemas.microsoft.com/office/spreadsheetml/2010/11/main" uri="{DE250136-89BD-433C-8126-D09CA5730AF9}">
        <x15:connection id="DataBudget2">
          <x15:rangePr sourceName="_xlcn.WorksheetConnection_Finance_v2.11.xlsmDataBudget2"/>
        </x15:connection>
      </ext>
    </extLst>
  </connection>
  <connection id="7" xr16:uid="{08ECF00F-1A96-4538-8D03-98B3B7CB7F5C}" name="WorksheetConnection_Finance_v2.8.xlsm!Budget1Data" type="102" refreshedVersion="8" minRefreshableVersion="5">
    <extLst>
      <ext xmlns:x15="http://schemas.microsoft.com/office/spreadsheetml/2010/11/main" uri="{DE250136-89BD-433C-8126-D09CA5730AF9}">
        <x15:connection id="Budget1Data">
          <x15:rangePr sourceName="_xlcn.WorksheetConnection_Finance_v2.8.xlsmBudget1Data"/>
        </x15:connection>
      </ext>
    </extLst>
  </connection>
  <connection id="8" xr16:uid="{757B421E-9F19-4FB0-9A48-F661BF36396C}" name="WorksheetConnection_WealthFinPilot_Retest14.xlsm!Master_1" type="102" refreshedVersion="8" minRefreshableVersion="5">
    <extLst>
      <ext xmlns:x15="http://schemas.microsoft.com/office/spreadsheetml/2010/11/main" uri="{DE250136-89BD-433C-8126-D09CA5730AF9}">
        <x15:connection id="Master_1">
          <x15:rangePr sourceName="_xlcn.WorksheetConnection_WealthFinPilot_Retest14.xlsmMaster_1"/>
        </x15:connection>
      </ext>
    </extLst>
  </connection>
  <connection id="9" xr16:uid="{68E62119-D47D-437C-9193-718EA9EABBD2}" name="WorksheetConnection_WealthFinPilot_v01.1.xlsm!Month" type="102" refreshedVersion="8" minRefreshableVersion="5">
    <extLst>
      <ext xmlns:x15="http://schemas.microsoft.com/office/spreadsheetml/2010/11/main" uri="{DE250136-89BD-433C-8126-D09CA5730AF9}">
        <x15:connection id="Month">
          <x15:rangePr sourceName="_xlcn.WorksheetConnection_WealthFinPilot_v01.1.xlsmMonth"/>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7">
    <s v="ThisWorkbookDataModel"/>
    <s v="{[Budget1Data].[Cat_1].&amp;[Dépense]}"/>
    <s v="{[DataBudget2].[Cat_1].&amp;[Dépense]}"/>
    <s v="{[DataBudget2].[Cat_1].&amp;[Income]}"/>
    <s v="{[Budget1Data].[Cat_1].&amp;[Income]}"/>
    <s v="{[Master_1].[Cat_1].&amp;[Income]}"/>
    <s v="{[Master_1].[Cat_1].&amp;[Dépense]}"/>
  </metadataStrings>
  <mdxMetadata count="6">
    <mdx n="0" f="s">
      <ms ns="1" c="0"/>
    </mdx>
    <mdx n="0" f="s">
      <ms ns="2" c="0"/>
    </mdx>
    <mdx n="0" f="s">
      <ms ns="3" c="0"/>
    </mdx>
    <mdx n="0" f="s">
      <ms ns="4" c="0"/>
    </mdx>
    <mdx n="0" f="s">
      <ms ns="5" c="0"/>
    </mdx>
    <mdx n="0" f="s">
      <ms ns="6" c="0"/>
    </mdx>
  </mdxMetadata>
  <futureMetadata name="XLDAPR" count="1">
    <bk>
      <extLst>
        <ext uri="{bdbb8cdc-fa1e-496e-a857-3c3f30c029c3}">
          <xda:dynamicArrayProperties fDynamic="1" fCollapsed="0"/>
        </ext>
      </extLst>
    </bk>
  </futureMetadata>
  <cellMetadata count="1">
    <bk>
      <rc t="2" v="0"/>
    </bk>
  </cellMetadata>
  <valueMetadata count="6">
    <bk>
      <rc t="1" v="0"/>
    </bk>
    <bk>
      <rc t="1" v="1"/>
    </bk>
    <bk>
      <rc t="1" v="2"/>
    </bk>
    <bk>
      <rc t="1" v="3"/>
    </bk>
    <bk>
      <rc t="1" v="4"/>
    </bk>
    <bk>
      <rc t="1" v="5"/>
    </bk>
  </valueMetadata>
</metadata>
</file>

<file path=xl/sharedStrings.xml><?xml version="1.0" encoding="utf-8"?>
<sst xmlns="http://schemas.openxmlformats.org/spreadsheetml/2006/main" count="4544" uniqueCount="1430">
  <si>
    <t>Taxes</t>
  </si>
  <si>
    <t>Net Income</t>
  </si>
  <si>
    <t>Total Income</t>
  </si>
  <si>
    <t>Indice des prix à la consommation (IPC), indice d'ensemble, Canada, Québec, RMR de Montréal et RMR de Québec, données mensuelles non désaisonnalisées (2002=100) (quebec.ca)</t>
  </si>
  <si>
    <t>Net mensuel</t>
  </si>
  <si>
    <t>Net Bi-mensuel</t>
  </si>
  <si>
    <t>Semaine payé par année</t>
  </si>
  <si>
    <t>Salaire annuel actuel</t>
  </si>
  <si>
    <t>Année</t>
  </si>
  <si>
    <t>Mois</t>
  </si>
  <si>
    <t>Cat_1</t>
  </si>
  <si>
    <t>Cat_2</t>
  </si>
  <si>
    <t>Cat_3</t>
  </si>
  <si>
    <t>Income</t>
  </si>
  <si>
    <t>Dépense</t>
  </si>
  <si>
    <t>Montant</t>
  </si>
  <si>
    <t>Autre</t>
  </si>
  <si>
    <t>février</t>
  </si>
  <si>
    <t>Row Labels</t>
  </si>
  <si>
    <t>Grand Total</t>
  </si>
  <si>
    <t>Sum of Montant</t>
  </si>
  <si>
    <t>C1</t>
  </si>
  <si>
    <t>janvier</t>
  </si>
  <si>
    <t>mars</t>
  </si>
  <si>
    <t>avril</t>
  </si>
  <si>
    <t>mai</t>
  </si>
  <si>
    <t>juin</t>
  </si>
  <si>
    <t>juillet</t>
  </si>
  <si>
    <t>septembre</t>
  </si>
  <si>
    <t>octobre</t>
  </si>
  <si>
    <t>novembre</t>
  </si>
  <si>
    <t>décembre</t>
  </si>
  <si>
    <t>C21</t>
  </si>
  <si>
    <t>C22</t>
  </si>
  <si>
    <t>C211</t>
  </si>
  <si>
    <t>C212</t>
  </si>
  <si>
    <t>C213</t>
  </si>
  <si>
    <t>C214</t>
  </si>
  <si>
    <t>C215</t>
  </si>
  <si>
    <t>C216</t>
  </si>
  <si>
    <t>C217</t>
  </si>
  <si>
    <t>C221</t>
  </si>
  <si>
    <t>C222</t>
  </si>
  <si>
    <t>Epargne</t>
  </si>
  <si>
    <t>C223</t>
  </si>
  <si>
    <t>C224</t>
  </si>
  <si>
    <t>Row</t>
  </si>
  <si>
    <t>Income_3</t>
  </si>
  <si>
    <t>Income_1</t>
  </si>
  <si>
    <t>Income_2</t>
  </si>
  <si>
    <t>Max</t>
  </si>
  <si>
    <t>Header1</t>
  </si>
  <si>
    <t>Header2</t>
  </si>
  <si>
    <t>Header3</t>
  </si>
  <si>
    <t>Header4</t>
  </si>
  <si>
    <t>Header5</t>
  </si>
  <si>
    <t>Header6</t>
  </si>
  <si>
    <t>Max2</t>
  </si>
  <si>
    <t>août</t>
  </si>
  <si>
    <t>Max1</t>
  </si>
  <si>
    <t>avr</t>
  </si>
  <si>
    <t>juil</t>
  </si>
  <si>
    <t>sept</t>
  </si>
  <si>
    <t>oct</t>
  </si>
  <si>
    <t>nov</t>
  </si>
  <si>
    <t>déc</t>
  </si>
  <si>
    <t>janv</t>
  </si>
  <si>
    <t>févr</t>
  </si>
  <si>
    <t>Mois (Month)</t>
  </si>
  <si>
    <t>Column Labels</t>
  </si>
  <si>
    <t>Analyse/Total dépense</t>
  </si>
  <si>
    <t>Analyse/Catégorie</t>
  </si>
  <si>
    <t>Check</t>
  </si>
  <si>
    <t>Log</t>
  </si>
  <si>
    <t>Header7</t>
  </si>
  <si>
    <t>Add +</t>
  </si>
  <si>
    <t>Ratio</t>
  </si>
  <si>
    <t>NbMonth</t>
  </si>
  <si>
    <t>Montant_Extrap</t>
  </si>
  <si>
    <t>Cat</t>
  </si>
  <si>
    <t>Header8</t>
  </si>
  <si>
    <t>Header9</t>
  </si>
  <si>
    <t>StartE</t>
  </si>
  <si>
    <t>EndE</t>
  </si>
  <si>
    <t>Add+</t>
  </si>
  <si>
    <t>Mp</t>
  </si>
  <si>
    <t>Limmonade</t>
  </si>
  <si>
    <t>2024</t>
  </si>
  <si>
    <t>Charge Total</t>
  </si>
  <si>
    <t>MoyenneNC</t>
  </si>
  <si>
    <t>MoyenneC</t>
  </si>
  <si>
    <t>R1F</t>
  </si>
  <si>
    <t>R2F</t>
  </si>
  <si>
    <t>R3F</t>
  </si>
  <si>
    <t>R4F</t>
  </si>
  <si>
    <t>Q1F</t>
  </si>
  <si>
    <t>Q2F</t>
  </si>
  <si>
    <t>Q3F</t>
  </si>
  <si>
    <t>Q4F</t>
  </si>
  <si>
    <t>Rates</t>
  </si>
  <si>
    <t>Step</t>
  </si>
  <si>
    <t xml:space="preserve"> </t>
  </si>
  <si>
    <t>TT</t>
  </si>
  <si>
    <t>GV</t>
  </si>
  <si>
    <t>Code</t>
  </si>
  <si>
    <t>Budget</t>
  </si>
  <si>
    <t>Budget1</t>
  </si>
  <si>
    <t>Months</t>
  </si>
  <si>
    <t>Background</t>
  </si>
  <si>
    <t>Gradiant stop1</t>
  </si>
  <si>
    <t>Gradiant stop2</t>
  </si>
  <si>
    <t>#000000</t>
  </si>
  <si>
    <t>#282530</t>
  </si>
  <si>
    <t>Shape</t>
  </si>
  <si>
    <t>Solid line</t>
  </si>
  <si>
    <t>#AADCD7</t>
  </si>
  <si>
    <t>Area</t>
  </si>
  <si>
    <t>#02C7B3</t>
  </si>
  <si>
    <t>Angle</t>
  </si>
  <si>
    <t>Position</t>
  </si>
  <si>
    <t>Transparency</t>
  </si>
  <si>
    <t>Serie1</t>
  </si>
  <si>
    <t>#2596FF</t>
  </si>
  <si>
    <t>Zero line</t>
  </si>
  <si>
    <t>Average</t>
  </si>
  <si>
    <t>Serie</t>
  </si>
  <si>
    <t>Selection</t>
  </si>
  <si>
    <t>Curseur</t>
  </si>
  <si>
    <t>Nb Month</t>
  </si>
  <si>
    <t>GrandT</t>
  </si>
  <si>
    <t>Sort by</t>
  </si>
  <si>
    <t>Dépenses</t>
  </si>
  <si>
    <t>Indent LEFT</t>
  </si>
  <si>
    <t>Middle</t>
  </si>
  <si>
    <t>Indent RIGHT</t>
  </si>
  <si>
    <t>SmallT</t>
  </si>
  <si>
    <t>Ratio (%)</t>
  </si>
  <si>
    <t>Data format</t>
  </si>
  <si>
    <t>S Layer</t>
  </si>
  <si>
    <t>Decor</t>
  </si>
  <si>
    <t>S LAyer2</t>
  </si>
  <si>
    <t>Qtr1</t>
  </si>
  <si>
    <t>Total ABSMontantE</t>
  </si>
  <si>
    <t>ABSMontantE</t>
  </si>
  <si>
    <t>TOTAL</t>
  </si>
  <si>
    <t>Remise</t>
  </si>
  <si>
    <t>Q</t>
  </si>
  <si>
    <t>Bas</t>
  </si>
  <si>
    <t>Haut</t>
  </si>
  <si>
    <t>Étiquette</t>
  </si>
  <si>
    <t>Transparent</t>
  </si>
  <si>
    <t>Feed</t>
  </si>
  <si>
    <t>CUT</t>
  </si>
  <si>
    <t>Extra CUT</t>
  </si>
  <si>
    <t>Extra Fix</t>
  </si>
  <si>
    <t>Extra dynamique</t>
  </si>
  <si>
    <t>Extra Budget</t>
  </si>
  <si>
    <t>Extra dynamique %</t>
  </si>
  <si>
    <t>Extra Quarter</t>
  </si>
  <si>
    <t>Feed dynamique</t>
  </si>
  <si>
    <t>Cut</t>
  </si>
  <si>
    <t>Q1</t>
  </si>
  <si>
    <t>Q2</t>
  </si>
  <si>
    <t>Q3</t>
  </si>
  <si>
    <t>Q4</t>
  </si>
  <si>
    <t>Q5</t>
  </si>
  <si>
    <t>Total</t>
  </si>
  <si>
    <t>Save</t>
  </si>
  <si>
    <t>ABSDépense</t>
  </si>
  <si>
    <t>Point</t>
  </si>
  <si>
    <t>2025</t>
  </si>
  <si>
    <t>Scale</t>
  </si>
  <si>
    <t>Cursor</t>
  </si>
  <si>
    <t>Last_Montant</t>
  </si>
  <si>
    <t>Sum of Montant_Extrap</t>
  </si>
  <si>
    <t>Sum of Last_Montant</t>
  </si>
  <si>
    <t>ABS_LastM</t>
  </si>
  <si>
    <t>Actuel</t>
  </si>
  <si>
    <t>Prévisionnel</t>
  </si>
  <si>
    <t>ABSB2ME</t>
  </si>
  <si>
    <t>ABSB2M</t>
  </si>
  <si>
    <t>Total ABSB2ME</t>
  </si>
  <si>
    <t>Total ABSB2M</t>
  </si>
  <si>
    <t>ABSB2LM</t>
  </si>
  <si>
    <t>Good</t>
  </si>
  <si>
    <t>Carreful</t>
  </si>
  <si>
    <t>Warning</t>
  </si>
  <si>
    <t>STOP</t>
  </si>
  <si>
    <t>Budget2</t>
  </si>
  <si>
    <t>Input</t>
  </si>
  <si>
    <t>Activate</t>
  </si>
  <si>
    <t>Diff</t>
  </si>
  <si>
    <t>Total ABSB1M</t>
  </si>
  <si>
    <t>ABSB1M</t>
  </si>
  <si>
    <t>R5F</t>
  </si>
  <si>
    <t>Plafond</t>
  </si>
  <si>
    <t>First Year</t>
  </si>
  <si>
    <t>Dernière analyse</t>
  </si>
  <si>
    <t>Inflation</t>
  </si>
  <si>
    <t>MR</t>
  </si>
  <si>
    <t>Birth</t>
  </si>
  <si>
    <t>AgeR</t>
  </si>
  <si>
    <t>AgeM</t>
  </si>
  <si>
    <t>R1</t>
  </si>
  <si>
    <t>R2</t>
  </si>
  <si>
    <t>R3</t>
  </si>
  <si>
    <t>CHR</t>
  </si>
  <si>
    <t>EndV</t>
  </si>
  <si>
    <t>EPCible</t>
  </si>
  <si>
    <t>StartV</t>
  </si>
  <si>
    <t>M</t>
  </si>
  <si>
    <t>tr</t>
  </si>
  <si>
    <t>tc</t>
  </si>
  <si>
    <t>r</t>
  </si>
  <si>
    <t>tf</t>
  </si>
  <si>
    <t>SB</t>
  </si>
  <si>
    <t>MEP</t>
  </si>
  <si>
    <t>FIRE</t>
  </si>
  <si>
    <t>r4</t>
  </si>
  <si>
    <t>YrY</t>
  </si>
  <si>
    <t>W</t>
  </si>
  <si>
    <t>AR</t>
  </si>
  <si>
    <t>Capital</t>
  </si>
  <si>
    <t>Stratégie1</t>
  </si>
  <si>
    <t>Stratégie2</t>
  </si>
  <si>
    <t>Stratégie3</t>
  </si>
  <si>
    <t>YRT</t>
  </si>
  <si>
    <t>FI1</t>
  </si>
  <si>
    <t>FI2</t>
  </si>
  <si>
    <t>FI3</t>
  </si>
  <si>
    <t>End Date</t>
  </si>
  <si>
    <t>CHK</t>
  </si>
  <si>
    <t>Curve</t>
  </si>
  <si>
    <t>TTEP</t>
  </si>
  <si>
    <t>Income Reglette</t>
  </si>
  <si>
    <t>Solde</t>
  </si>
  <si>
    <t>Cible</t>
  </si>
  <si>
    <t>Currency</t>
  </si>
  <si>
    <t>$</t>
  </si>
  <si>
    <t>€</t>
  </si>
  <si>
    <t>£</t>
  </si>
  <si>
    <t>¥</t>
  </si>
  <si>
    <t>Current</t>
  </si>
  <si>
    <t>Êtes vous sur de vouloir lancer l'extrapolation ?</t>
  </si>
  <si>
    <t>Cette année n'est pas enregistrer ! Voulez vous l'ajouter à votre classeur ?</t>
  </si>
  <si>
    <t>Êtes vous sur de vouloir tout supprimer ?</t>
  </si>
  <si>
    <t>Êtes vous sur de vouloir supprimer l'historique ?</t>
  </si>
  <si>
    <t>Module Chart Analyse</t>
  </si>
  <si>
    <t>Cette option n'est pas encore disponible !</t>
  </si>
  <si>
    <t>Assurez vous d'avoir au moins 1 année (12 mois) de données !</t>
  </si>
  <si>
    <t>Oups ! L'année n'a pas été trouvé dans le système !</t>
  </si>
  <si>
    <t>Code : WB_data Table Data_Line</t>
  </si>
  <si>
    <t>Vous n'avez pas encore enregistrer assez de data pour effectuer l'extrapolation (1 mois minimum). L'extrapolation est interompue.</t>
  </si>
  <si>
    <t>Module Extrapolation</t>
  </si>
  <si>
    <t xml:space="preserve">Pensez a paramétrer votre solde de début d'année </t>
  </si>
  <si>
    <t>ainsi que votre cible d'épargne.</t>
  </si>
  <si>
    <t xml:space="preserve"> ne semble pas exister..</t>
  </si>
  <si>
    <t xml:space="preserve"> transaction(s) manquée(s)</t>
  </si>
  <si>
    <t xml:space="preserve"> transaction(s) traitée(s).</t>
  </si>
  <si>
    <t>L'analyse est complétée avec succès !</t>
  </si>
  <si>
    <t xml:space="preserve"> transaction(s) manquante(s)</t>
  </si>
  <si>
    <t>Module Triage</t>
  </si>
  <si>
    <t>Module</t>
  </si>
  <si>
    <t>Français</t>
  </si>
  <si>
    <t>English</t>
  </si>
  <si>
    <t>Ajouter une année.</t>
  </si>
  <si>
    <t>Ajouter votre nouvelle année:</t>
  </si>
  <si>
    <t>Format: yyyy</t>
  </si>
  <si>
    <t>AddAn</t>
  </si>
  <si>
    <t>Soumettre</t>
  </si>
  <si>
    <t>AddCat</t>
  </si>
  <si>
    <t>Ajouter une sous catégorie.</t>
  </si>
  <si>
    <t>Inserer une nouvelle sous catégorie dans la catégorie :</t>
  </si>
  <si>
    <t>Plafond CELI</t>
  </si>
  <si>
    <t>Première année :</t>
  </si>
  <si>
    <t>(NAS Valide)</t>
  </si>
  <si>
    <t>Plafond annuel</t>
  </si>
  <si>
    <t>ChangeCAT</t>
  </si>
  <si>
    <t>FERMER</t>
  </si>
  <si>
    <t>Ajouter</t>
  </si>
  <si>
    <t>Modifier</t>
  </si>
  <si>
    <t>Sélectionez une sous-catégorie puis modifier</t>
  </si>
  <si>
    <t>MODIFICATION</t>
  </si>
  <si>
    <t>Mot de Passe</t>
  </si>
  <si>
    <t>VALIDER</t>
  </si>
  <si>
    <t>Income_1 : Revenus fixes</t>
  </si>
  <si>
    <t>Income_2 : Épargne</t>
  </si>
  <si>
    <t>Income_3 : Revenus Ponctuels</t>
  </si>
  <si>
    <t>Devises</t>
  </si>
  <si>
    <t>Sous Catégories</t>
  </si>
  <si>
    <t>Grandes Catégories</t>
  </si>
  <si>
    <t>Paramètres</t>
  </si>
  <si>
    <t>Erreur de nom. Assurez vous que le nouveau nom est unique et valide.</t>
  </si>
  <si>
    <t>Erreur ! La catégorie n'a pas été trouvé.</t>
  </si>
  <si>
    <t>Complété</t>
  </si>
  <si>
    <t>Cette catégorie est déjà utilisé par le système.</t>
  </si>
  <si>
    <t>La Catégorie éxiste déjà.</t>
  </si>
  <si>
    <t>Êtes vous sûr ?</t>
  </si>
  <si>
    <t>Erreur</t>
  </si>
  <si>
    <t>Erreur ! Vous ne pouvez malheureusement pas vider une catégorie.</t>
  </si>
  <si>
    <t>Modifier l'orgaisation de vos catégories peut entrainer des erreurs dans vos budgets présentement actifs.</t>
  </si>
  <si>
    <t>Voulez vous continuer ?</t>
  </si>
  <si>
    <t>Are you sure you want to delete everything?</t>
  </si>
  <si>
    <t>Are you sure you want to delete the history?</t>
  </si>
  <si>
    <t>This option is not yet available!</t>
  </si>
  <si>
    <t>Oops! The year was not found in the system!</t>
  </si>
  <si>
    <t>Code: WB_data Table Data_Line</t>
  </si>
  <si>
    <t xml:space="preserve"> transaction(s) processed.</t>
  </si>
  <si>
    <t>Add a year.</t>
  </si>
  <si>
    <t>Add your new year:</t>
  </si>
  <si>
    <t>Submit</t>
  </si>
  <si>
    <t>Annual limit</t>
  </si>
  <si>
    <t>CLOSE</t>
  </si>
  <si>
    <t>Add</t>
  </si>
  <si>
    <t>Password</t>
  </si>
  <si>
    <t>Currencies</t>
  </si>
  <si>
    <t>Main categories</t>
  </si>
  <si>
    <t>Error</t>
  </si>
  <si>
    <t>Completed</t>
  </si>
  <si>
    <t>Paramétrez votre objectf d'épargne</t>
  </si>
  <si>
    <t>Compte chèque</t>
  </si>
  <si>
    <t>Épargne cible / Mois</t>
  </si>
  <si>
    <t xml:space="preserve">Vous n'avez pas encore de donéée pour l'année </t>
  </si>
  <si>
    <t>EPProgress</t>
  </si>
  <si>
    <t>Enregistrer votre progression</t>
  </si>
  <si>
    <t>Montant total investit au débût de l'année</t>
  </si>
  <si>
    <t>Enregistrer</t>
  </si>
  <si>
    <t>Fermer</t>
  </si>
  <si>
    <t>Période non trouvée !</t>
  </si>
  <si>
    <t>Veuillez selectionner le début de l'année souhaitez.</t>
  </si>
  <si>
    <t>ExtraP</t>
  </si>
  <si>
    <t>Commencer l'extrapolation des données</t>
  </si>
  <si>
    <t>A partir de quel mois voulez vous commencer l'analyse ? :</t>
  </si>
  <si>
    <t>(Notez que l'extrapolation ne se feras que sur une année (12Mois pour éviter les biais)</t>
  </si>
  <si>
    <t>InputAsk</t>
  </si>
  <si>
    <t>Continuer et ne plus voir</t>
  </si>
  <si>
    <t>Continuer</t>
  </si>
  <si>
    <t>Arrêter l'analyse</t>
  </si>
  <si>
    <t>Catégories</t>
  </si>
  <si>
    <t>Supprimer</t>
  </si>
  <si>
    <t>Last amount</t>
  </si>
  <si>
    <t>Cancel</t>
  </si>
  <si>
    <t>Veuillez entrer tous les champs necessaires.</t>
  </si>
  <si>
    <t>Données</t>
  </si>
  <si>
    <t>Historique</t>
  </si>
  <si>
    <t>MOY</t>
  </si>
  <si>
    <t>Console</t>
  </si>
  <si>
    <t>1er Mois de l'analyse</t>
  </si>
  <si>
    <t>Dernier Mois de l'analyse</t>
  </si>
  <si>
    <t>Montant:</t>
  </si>
  <si>
    <t>Pondérer:</t>
  </si>
  <si>
    <t>Pondérer</t>
  </si>
  <si>
    <t>Réinitialiser</t>
  </si>
  <si>
    <t>Budget Total :</t>
  </si>
  <si>
    <t>Moyenne :</t>
  </si>
  <si>
    <t>Gain Total :</t>
  </si>
  <si>
    <t>Gain sur la période :</t>
  </si>
  <si>
    <t>Sélectionner un mois et laisser le second vide si vous ne voulez appliquer un changement a un seul Mois.</t>
  </si>
  <si>
    <t>Attention, utilisez le signe "-" pour signifier une dépense !</t>
  </si>
  <si>
    <t>Réinitialiser tout</t>
  </si>
  <si>
    <t>Perte Total :</t>
  </si>
  <si>
    <t>Etes vous sur de vouloir recommancer ?</t>
  </si>
  <si>
    <t>Confirmation</t>
  </si>
  <si>
    <t>Perte sur la période :</t>
  </si>
  <si>
    <t>NetIncome</t>
  </si>
  <si>
    <t>Tranches d'imposition</t>
  </si>
  <si>
    <t>Palier 1 :</t>
  </si>
  <si>
    <t>Palier 2 :</t>
  </si>
  <si>
    <t>Palier 3 :</t>
  </si>
  <si>
    <t>Palier 4 :</t>
  </si>
  <si>
    <t>Palier 5 :</t>
  </si>
  <si>
    <t>Taux</t>
  </si>
  <si>
    <t>Limite</t>
  </si>
  <si>
    <t>Nombre de semaines Payer :</t>
  </si>
  <si>
    <t>PROVINCIAL</t>
  </si>
  <si>
    <t>FEDERAL</t>
  </si>
  <si>
    <t>SETEP</t>
  </si>
  <si>
    <t>Plannifiez vos stratégies</t>
  </si>
  <si>
    <t>Âge actuel*</t>
  </si>
  <si>
    <t>Âge de retraite prévus*</t>
  </si>
  <si>
    <t>Éspérence de vie*</t>
  </si>
  <si>
    <t>Salaire Brut*</t>
  </si>
  <si>
    <t>Montant épargner jusqu'à maintenant</t>
  </si>
  <si>
    <t>Épargne Cible / Mois*</t>
  </si>
  <si>
    <t>Je ne sais pas.</t>
  </si>
  <si>
    <t>Sans inflation.</t>
  </si>
  <si>
    <t>Ans</t>
  </si>
  <si>
    <t>*Champs obligatoires</t>
  </si>
  <si>
    <t>Valeurs assujetties a l'inflation</t>
  </si>
  <si>
    <t>Vos Informations</t>
  </si>
  <si>
    <t>Phase d'accumulation</t>
  </si>
  <si>
    <t>Stratégie 1 : Low Risk</t>
  </si>
  <si>
    <t>Stratégie 2 : Moderate</t>
  </si>
  <si>
    <t>Stratégie 3 : High Risk</t>
  </si>
  <si>
    <t>Phase de distribution</t>
  </si>
  <si>
    <t>Stratégie 4</t>
  </si>
  <si>
    <t xml:space="preserve">Inflation annuelle </t>
  </si>
  <si>
    <t>Montant distribué / année*</t>
  </si>
  <si>
    <t>Capital accumulé à l'age de votre retraite</t>
  </si>
  <si>
    <t>Année(s) manquante(s)</t>
  </si>
  <si>
    <t xml:space="preserve">Stratégie 1 </t>
  </si>
  <si>
    <t>Année(s)</t>
  </si>
  <si>
    <t>Calculer</t>
  </si>
  <si>
    <t>Stratégie 2</t>
  </si>
  <si>
    <t>Stratégie 3</t>
  </si>
  <si>
    <t>Plannifiez vos stratégies - Traitement en cours.</t>
  </si>
  <si>
    <t>Période non trouvé !</t>
  </si>
  <si>
    <t>DashBoard</t>
  </si>
  <si>
    <t>PARAMÈTRES</t>
  </si>
  <si>
    <t>ANALYSE</t>
  </si>
  <si>
    <t>BUDGÉTISER</t>
  </si>
  <si>
    <t>RÉINITIALISER</t>
  </si>
  <si>
    <t>Stratégie 1</t>
  </si>
  <si>
    <t>Financial DashBoard</t>
  </si>
  <si>
    <t>Dernière analyse:</t>
  </si>
  <si>
    <t>Moyenne</t>
  </si>
  <si>
    <t>GESTION SALAIRE :</t>
  </si>
  <si>
    <t>Salaire Annuel Brut :</t>
  </si>
  <si>
    <t>Salaire Annuel Net :</t>
  </si>
  <si>
    <t>Net Mensuel :</t>
  </si>
  <si>
    <t>Bi-Menseul Net :</t>
  </si>
  <si>
    <t>GESTION CELI :</t>
  </si>
  <si>
    <t>Plafond CELI :</t>
  </si>
  <si>
    <t>GESTION EPARGNE :</t>
  </si>
  <si>
    <t>Indépendance :</t>
  </si>
  <si>
    <t>Stratégie :</t>
  </si>
  <si>
    <t>Épargne / mois :</t>
  </si>
  <si>
    <t>Distribution / Année :</t>
  </si>
  <si>
    <t>Année(s) manquante  :</t>
  </si>
  <si>
    <t>Épargne total :</t>
  </si>
  <si>
    <t>Objectif :</t>
  </si>
  <si>
    <t>Language</t>
  </si>
  <si>
    <t>ChoiceL</t>
  </si>
  <si>
    <t>January</t>
  </si>
  <si>
    <t>February</t>
  </si>
  <si>
    <t>March</t>
  </si>
  <si>
    <t>April</t>
  </si>
  <si>
    <t>May</t>
  </si>
  <si>
    <t>June</t>
  </si>
  <si>
    <t>July</t>
  </si>
  <si>
    <t>August</t>
  </si>
  <si>
    <t>September</t>
  </si>
  <si>
    <t>October</t>
  </si>
  <si>
    <t>November</t>
  </si>
  <si>
    <t>December</t>
  </si>
  <si>
    <t>enero</t>
  </si>
  <si>
    <t>febrero</t>
  </si>
  <si>
    <t>marzo</t>
  </si>
  <si>
    <t>abril</t>
  </si>
  <si>
    <t>mayo</t>
  </si>
  <si>
    <t>junio</t>
  </si>
  <si>
    <t>julio</t>
  </si>
  <si>
    <t>agosto</t>
  </si>
  <si>
    <t>septiembre</t>
  </si>
  <si>
    <t>octubre</t>
  </si>
  <si>
    <t>noviembre</t>
  </si>
  <si>
    <t>diciembre</t>
  </si>
  <si>
    <t>十二月</t>
  </si>
  <si>
    <t>十一月</t>
  </si>
  <si>
    <t>十月</t>
  </si>
  <si>
    <t>九月</t>
  </si>
  <si>
    <t>八月</t>
  </si>
  <si>
    <t>七月</t>
  </si>
  <si>
    <t>六月</t>
  </si>
  <si>
    <t>五月</t>
  </si>
  <si>
    <t>四月</t>
  </si>
  <si>
    <t>三月</t>
  </si>
  <si>
    <t>二月</t>
  </si>
  <si>
    <t>一月</t>
  </si>
  <si>
    <t>Español</t>
  </si>
  <si>
    <t>中文</t>
  </si>
  <si>
    <t>Jan</t>
  </si>
  <si>
    <t>ene</t>
  </si>
  <si>
    <t>1月</t>
  </si>
  <si>
    <t>Feb</t>
  </si>
  <si>
    <t>feb</t>
  </si>
  <si>
    <t>2月</t>
  </si>
  <si>
    <t>Mar</t>
  </si>
  <si>
    <t>mar</t>
  </si>
  <si>
    <t>3月</t>
  </si>
  <si>
    <t>Apr</t>
  </si>
  <si>
    <t>abr</t>
  </si>
  <si>
    <t>4月</t>
  </si>
  <si>
    <t>may</t>
  </si>
  <si>
    <t>5月</t>
  </si>
  <si>
    <t>Jun</t>
  </si>
  <si>
    <t>jun</t>
  </si>
  <si>
    <t>6月</t>
  </si>
  <si>
    <t>Jul</t>
  </si>
  <si>
    <t>jul</t>
  </si>
  <si>
    <t>7月</t>
  </si>
  <si>
    <t>Aug</t>
  </si>
  <si>
    <t>ago</t>
  </si>
  <si>
    <t>8月</t>
  </si>
  <si>
    <t>Sep</t>
  </si>
  <si>
    <t>sep</t>
  </si>
  <si>
    <t>9月</t>
  </si>
  <si>
    <t>Oct</t>
  </si>
  <si>
    <t>10月</t>
  </si>
  <si>
    <t>Nov</t>
  </si>
  <si>
    <t>11月</t>
  </si>
  <si>
    <t>Dec</t>
  </si>
  <si>
    <t>dic</t>
  </si>
  <si>
    <t>12月</t>
  </si>
  <si>
    <t>Nous sommes ici</t>
  </si>
  <si>
    <t>Are you sure you want to start extrapolating?</t>
  </si>
  <si>
    <t>This year is not recorded! Do you want to add it to your binder?</t>
  </si>
  <si>
    <t>Make sure you have at least 1 year (12 months) of data!</t>
  </si>
  <si>
    <t>You haven't yet recorded enough data to perform extrapolation (1 month minimum). The extrapolation is interrupted.</t>
  </si>
  <si>
    <t xml:space="preserve">Remember to set your balance at the beginning of the year </t>
  </si>
  <si>
    <t>and your savings target.</t>
  </si>
  <si>
    <t xml:space="preserve"> does not seem to exist...</t>
  </si>
  <si>
    <t xml:space="preserve"> missed transaction(s)</t>
  </si>
  <si>
    <t>Analysis successfully completed!</t>
  </si>
  <si>
    <t xml:space="preserve"> missing transaction(s)</t>
  </si>
  <si>
    <t>Add a sub-category.</t>
  </si>
  <si>
    <t>Insert a new sub-category in the category :</t>
  </si>
  <si>
    <t>TFSA</t>
  </si>
  <si>
    <t>TFSA limit</t>
  </si>
  <si>
    <t>First year :</t>
  </si>
  <si>
    <t>(SIN Valid)</t>
  </si>
  <si>
    <t>Edit</t>
  </si>
  <si>
    <t>Select a sub-category then edit</t>
  </si>
  <si>
    <t>Expenses</t>
  </si>
  <si>
    <t>ACCEPT</t>
  </si>
  <si>
    <t>Income_1 : Fixed income</t>
  </si>
  <si>
    <t>Income_2 : Savings</t>
  </si>
  <si>
    <t>Income_3 : Punctual Income</t>
  </si>
  <si>
    <t>Sub Categories</t>
  </si>
  <si>
    <t>Parameters</t>
  </si>
  <si>
    <t>Category already exists.</t>
  </si>
  <si>
    <t>Name error. Make sure the new name is unique and valid.</t>
  </si>
  <si>
    <t>Category not found. Category not found.</t>
  </si>
  <si>
    <t>¿Seguro que quieres empezar a extrapolar?</t>
  </si>
  <si>
    <t>¡Este año no está registrado! ¿Quieres añadirlo a tu carpeta?</t>
  </si>
  <si>
    <t>¿Estás seguro de que quieres borrarlo todo?</t>
  </si>
  <si>
    <t>¿Estás seguro de que quieres borrar el historial?</t>
  </si>
  <si>
    <t>¡Esta opción aún no está disponible!</t>
  </si>
  <si>
    <t>¡Asegúrate de tener al menos 1 año (12 meses) de datos!</t>
  </si>
  <si>
    <t>¡Uy! ¡No se ha encontrado el año en el sistema!</t>
  </si>
  <si>
    <t>Código: WB_data Tabla Data_Line</t>
  </si>
  <si>
    <t>Aún no ha registrado suficientes datos para realizar la extrapolación (1 mes como mínimo). La extrapolación se interrumpe.</t>
  </si>
  <si>
    <t xml:space="preserve">Recuerde establecer su saldo a principios de año </t>
  </si>
  <si>
    <t>y su objetivo de ahorro.</t>
  </si>
  <si>
    <t xml:space="preserve"> no parece existir...</t>
  </si>
  <si>
    <t xml:space="preserve"> transacción(es) omitida(s)</t>
  </si>
  <si>
    <t xml:space="preserve"> transacción(es) procesada(s).</t>
  </si>
  <si>
    <t>El análisis se ha realizado correctamente.</t>
  </si>
  <si>
    <t xml:space="preserve"> transacción(es) perdida(s)</t>
  </si>
  <si>
    <t>Añadir un</t>
  </si>
  <si>
    <t>Añade un año.</t>
  </si>
  <si>
    <t>Añada un nuevo año:</t>
  </si>
  <si>
    <t>Formato: aaaa</t>
  </si>
  <si>
    <t>Enviar</t>
  </si>
  <si>
    <t>AñadirCategoría</t>
  </si>
  <si>
    <t>Añadir una subcategoría.</t>
  </si>
  <si>
    <t>Inserte una nueva subcategoría en la categoría :</t>
  </si>
  <si>
    <t>Límite TFSA</t>
  </si>
  <si>
    <t>Primer año :</t>
  </si>
  <si>
    <t>(SIN válido)</t>
  </si>
  <si>
    <t>Límite anual</t>
  </si>
  <si>
    <t>CambiarCAT</t>
  </si>
  <si>
    <t>CERRAR</t>
  </si>
  <si>
    <t>Añadir</t>
  </si>
  <si>
    <t>Editar</t>
  </si>
  <si>
    <t>Selecciona una subcategoría y edítala</t>
  </si>
  <si>
    <t>Gastos</t>
  </si>
  <si>
    <t>Ingresos</t>
  </si>
  <si>
    <t>CAMBIAR</t>
  </si>
  <si>
    <t>Contraseña</t>
  </si>
  <si>
    <t>ACEPTAR</t>
  </si>
  <si>
    <t>Ingreso_1 : Renta fija</t>
  </si>
  <si>
    <t>Renta_2 : Ahorro</t>
  </si>
  <si>
    <t>Income_3 : Rentas puntuales</t>
  </si>
  <si>
    <t>Divisas</t>
  </si>
  <si>
    <t>Subcategorías</t>
  </si>
  <si>
    <t>Categorías generales</t>
  </si>
  <si>
    <t>Parámetros</t>
  </si>
  <si>
    <t>Categoría ya existente.</t>
  </si>
  <si>
    <t>Error de nombre. Asegúrese de que el nuevo nombre es único y válido.</t>
  </si>
  <si>
    <t>Error. Categoría no encontrada.</t>
  </si>
  <si>
    <t>Sind Sie sicher, dass Sie die Extrapolation starten wollen?</t>
  </si>
  <si>
    <t>Dieses Jahr wird nicht aufgenommen! Möchten Sie es zu Ihrem Ordner hinzufügen?</t>
  </si>
  <si>
    <t>Sind Sie sicher, dass Sie alles löschen möchten?</t>
  </si>
  <si>
    <t>Sind Sie sicher, dass Sie den Verlauf löschen möchten?</t>
  </si>
  <si>
    <t>Diese Option ist noch nicht verfügbar!</t>
  </si>
  <si>
    <t>Stellen Sie sicher, dass Sie mindestens 1 Jahr (12 Monate) Daten haben!</t>
  </si>
  <si>
    <t>Ups! Das Jahr wurde im System nicht gefunden!</t>
  </si>
  <si>
    <t>Code: WB_data Tabelle Data_Line.</t>
  </si>
  <si>
    <t>Sie haben noch nicht genug Daten gespeichert, um die Hochrechnung durchzuführen (mindestens 1 Monat). Die Hochrechnung ist interomputiert.</t>
  </si>
  <si>
    <t xml:space="preserve">Denken Sie daran, Ihren Saldo am Jahresanfang einzustellen. </t>
  </si>
  <si>
    <t>sowie Ihr Sparziel.</t>
  </si>
  <si>
    <t xml:space="preserve"> scheint nicht zu existieren...</t>
  </si>
  <si>
    <t xml:space="preserve"> verpasste Transaktion(en)</t>
  </si>
  <si>
    <t xml:space="preserve"> verarbeitete Transaktion(en).</t>
  </si>
  <si>
    <t>Die Analyse wurde erfolgreich abgeschlossen!</t>
  </si>
  <si>
    <t xml:space="preserve"> fehlende Transaktion(en)</t>
  </si>
  <si>
    <t>Fügt ein Jahr hinzu.</t>
  </si>
  <si>
    <t>Fügt Ihr neues Jahr hinzu:</t>
  </si>
  <si>
    <t>Einreichen</t>
  </si>
  <si>
    <t>Fügen Sie eine Unterkategorie hinzu.</t>
  </si>
  <si>
    <t>Fügt eine neue Unterkategorie in die Kategorie ein:</t>
  </si>
  <si>
    <t>Obergrenze CELI</t>
  </si>
  <si>
    <t>Erstes Jahr :</t>
  </si>
  <si>
    <t>(SIN Gültig)</t>
  </si>
  <si>
    <t>Jährliche Obergrenze</t>
  </si>
  <si>
    <t>SCHLIESSEN</t>
  </si>
  <si>
    <t>Hinzufügen</t>
  </si>
  <si>
    <t>Bearbeiten</t>
  </si>
  <si>
    <t>Wählen Sie eine Unterkategorie aus und ändern Sie dann.</t>
  </si>
  <si>
    <t>Ausgaben</t>
  </si>
  <si>
    <t>Einkommen</t>
  </si>
  <si>
    <t>ÄNDERN</t>
  </si>
  <si>
    <t>Passwort</t>
  </si>
  <si>
    <t>BESTÄTIGEN</t>
  </si>
  <si>
    <t>Income_1 : Feste Einkünfte</t>
  </si>
  <si>
    <t>Income_2: Sparen</t>
  </si>
  <si>
    <t>Income_3 : Punktuelle Einkünfte</t>
  </si>
  <si>
    <t>Währungen</t>
  </si>
  <si>
    <t>Unterkategorien</t>
  </si>
  <si>
    <t>Große Kategorien</t>
  </si>
  <si>
    <t>Einstellungen</t>
  </si>
  <si>
    <t>Die Kategorie existiert bereits.</t>
  </si>
  <si>
    <t>Der Name ist falsch. Stellen Sie sicher, dass der neue Name eindeutig und gültig ist.</t>
  </si>
  <si>
    <t>Fehler. Die Kategorie wurde nicht gefunden.</t>
  </si>
  <si>
    <t>你确定要删除所有记录吗？</t>
  </si>
  <si>
    <t>哎呀！系统中找不到年份！</t>
  </si>
  <si>
    <t xml:space="preserve"> 似乎不存在...</t>
  </si>
  <si>
    <t>添加一个</t>
  </si>
  <si>
    <t>添加新年份：</t>
  </si>
  <si>
    <t>格式：yyyy</t>
  </si>
  <si>
    <t>提交</t>
  </si>
  <si>
    <t>添加类别</t>
  </si>
  <si>
    <t>在类别中插入一个新的子类别：</t>
  </si>
  <si>
    <t>第一年 ：</t>
  </si>
  <si>
    <t>(个人身份号码有效）</t>
  </si>
  <si>
    <t>年度限额</t>
  </si>
  <si>
    <t>更改类别</t>
  </si>
  <si>
    <t>关闭</t>
  </si>
  <si>
    <t>添加</t>
  </si>
  <si>
    <t>编辑</t>
  </si>
  <si>
    <t>选择一个子类别，然后编辑</t>
  </si>
  <si>
    <t>支出</t>
  </si>
  <si>
    <t>收入</t>
  </si>
  <si>
    <t>更改</t>
  </si>
  <si>
    <t>密码</t>
  </si>
  <si>
    <t>接受</t>
  </si>
  <si>
    <t>收入 1 : 固定收入</t>
  </si>
  <si>
    <t>收入 2 : 储蓄</t>
  </si>
  <si>
    <t>收入_3 : 定期收入</t>
  </si>
  <si>
    <t>货币</t>
  </si>
  <si>
    <t>子类别</t>
  </si>
  <si>
    <t>大类</t>
  </si>
  <si>
    <t>参数</t>
  </si>
  <si>
    <t>This category is already used by the system.</t>
  </si>
  <si>
    <t>Are you sure?</t>
  </si>
  <si>
    <t>Error! Unfortunately, you cannot empty a category.</t>
  </si>
  <si>
    <t>Modifying the organization of your categories may lead to errors in your currently active budgets.</t>
  </si>
  <si>
    <t>Would you like to continue?</t>
  </si>
  <si>
    <t>Savings</t>
  </si>
  <si>
    <t>Set your savings target</t>
  </si>
  <si>
    <t>Year</t>
  </si>
  <si>
    <t>Chequing account</t>
  </si>
  <si>
    <t>Target savings / Month</t>
  </si>
  <si>
    <t xml:space="preserve">You don't have a donation yet for the year </t>
  </si>
  <si>
    <t>Register your progress</t>
  </si>
  <si>
    <t>Total amount invested at the beginning of the year</t>
  </si>
  <si>
    <t>Register</t>
  </si>
  <si>
    <t>Close</t>
  </si>
  <si>
    <t>Period not found!</t>
  </si>
  <si>
    <t>Please select the beginning of the year.</t>
  </si>
  <si>
    <t>Start data extrapolation</t>
  </si>
  <si>
    <t>From which month do you want to start the analysis? :</t>
  </si>
  <si>
    <t>(Note that the extrapolation will only be done for one year (12Months to avoid bias)</t>
  </si>
  <si>
    <t>Month</t>
  </si>
  <si>
    <t>Go on and don't see</t>
  </si>
  <si>
    <t>Continue</t>
  </si>
  <si>
    <t>Stop analysis</t>
  </si>
  <si>
    <t>Enter your data</t>
  </si>
  <si>
    <t>Categories</t>
  </si>
  <si>
    <t>Under Categories</t>
  </si>
  <si>
    <t>Delete</t>
  </si>
  <si>
    <t>Amount</t>
  </si>
  <si>
    <t>Please enter all required fields.</t>
  </si>
  <si>
    <t>Data</t>
  </si>
  <si>
    <t>History</t>
  </si>
  <si>
    <t>1st Month of analysis</t>
  </si>
  <si>
    <t>Last month of analysis</t>
  </si>
  <si>
    <t>Amount:</t>
  </si>
  <si>
    <t>Weight:</t>
  </si>
  <si>
    <t>Weight</t>
  </si>
  <si>
    <t>Reset</t>
  </si>
  <si>
    <t>Total budget :</t>
  </si>
  <si>
    <t>Completado</t>
  </si>
  <si>
    <t>Esta categoría ya está siendo utilizada por el sistema.</t>
  </si>
  <si>
    <t>¿Está seguro?</t>
  </si>
  <si>
    <t>¡Error! Desafortunadamente, no puede vaciar una categoría.</t>
  </si>
  <si>
    <t>Modificar la organización de sus categorías puede provocar errores en sus presupuestos actualmente activos.</t>
  </si>
  <si>
    <t>¿Desea continuar?</t>
  </si>
  <si>
    <t>Ahorro</t>
  </si>
  <si>
    <t>Establezca su objetivo de ahorro</t>
  </si>
  <si>
    <t>Año</t>
  </si>
  <si>
    <t>Cuenta corriente</t>
  </si>
  <si>
    <t>Objetivo de ahorro / Mes</t>
  </si>
  <si>
    <t xml:space="preserve">Aún no tiene una donación para el año </t>
  </si>
  <si>
    <t>Registre su progreso</t>
  </si>
  <si>
    <t>Importe total invertido a principios de año</t>
  </si>
  <si>
    <t>Registrar</t>
  </si>
  <si>
    <t>Cerrar</t>
  </si>
  <si>
    <t>¡Periodo no encontrado !</t>
  </si>
  <si>
    <t>Por favor, seleccione el principio del año.</t>
  </si>
  <si>
    <t>Iniciar extrapolación de datos</t>
  </si>
  <si>
    <t>¿A partir de qué mes desea iniciar el análisis? :</t>
  </si>
  <si>
    <t>(Tenga en cuenta que la extrapolación sólo se hará para un año (12 meses) para evitar sesgos)</t>
  </si>
  <si>
    <t>Mes</t>
  </si>
  <si>
    <t>Continúa y no lo vuelvas a ver</t>
  </si>
  <si>
    <t>Continuar</t>
  </si>
  <si>
    <t>Detener el análisis</t>
  </si>
  <si>
    <t>Introduzca sus datos</t>
  </si>
  <si>
    <t>Categorías</t>
  </si>
  <si>
    <t>En Categorías</t>
  </si>
  <si>
    <t>Guardar</t>
  </si>
  <si>
    <t>Borrar</t>
  </si>
  <si>
    <t>Importe</t>
  </si>
  <si>
    <t>Último importe</t>
  </si>
  <si>
    <t>Cancelar</t>
  </si>
  <si>
    <t>Por favor, introduzca todos los campos obligatorios.</t>
  </si>
  <si>
    <t>Datos</t>
  </si>
  <si>
    <t>Historial</t>
  </si>
  <si>
    <t>Consola</t>
  </si>
  <si>
    <t>1er mes de análisis</t>
  </si>
  <si>
    <t>Último mes de análisis</t>
  </si>
  <si>
    <t>Cantidad</t>
  </si>
  <si>
    <t>Peso:</t>
  </si>
  <si>
    <t>Peso</t>
  </si>
  <si>
    <t>Restablecer</t>
  </si>
  <si>
    <t>Presupuesto total :</t>
  </si>
  <si>
    <t>Ergänzt</t>
  </si>
  <si>
    <t>Diese Kategorie wird bereits vom System verwendet.</t>
  </si>
  <si>
    <t>Sind Sie sich sicher?</t>
  </si>
  <si>
    <t>Fehler</t>
  </si>
  <si>
    <t>Fehler! Leider können Sie eine Kategorie nicht leeren.</t>
  </si>
  <si>
    <t>Wenn Sie Ihre Kategorien anders organisieren, kann dies zu Fehlern in Ihren derzeit aktiven Budgets führen.</t>
  </si>
  <si>
    <t>Möchten Sie fortfahren?</t>
  </si>
  <si>
    <t>Sparen</t>
  </si>
  <si>
    <t>Stellen Sie Ihr Sparziel ein.</t>
  </si>
  <si>
    <t>Jahr</t>
  </si>
  <si>
    <t>Scheckkonto</t>
  </si>
  <si>
    <t>Sparziel / Monat</t>
  </si>
  <si>
    <t xml:space="preserve">Sie haben noch keine Spende für das Jahr. </t>
  </si>
  <si>
    <t>Zeichnen Sie Ihren Fortschritt auf.</t>
  </si>
  <si>
    <t>Insgesamt investierter Betrag zu Beginn des Jahres</t>
  </si>
  <si>
    <t>Registrieren</t>
  </si>
  <si>
    <t>Schließen</t>
  </si>
  <si>
    <t>Zeitraum nicht gefunden!</t>
  </si>
  <si>
    <t>Bitte wählen Sie den gewünschten Jahresbeginn aus.</t>
  </si>
  <si>
    <t>Beginnen Sie mit der Extrapolation der Daten.</t>
  </si>
  <si>
    <t>Ab welchem Monat möchten Sie mit der Analyse beginnen? :</t>
  </si>
  <si>
    <t>(Beachten Sie, dass die Extrapolation nur für ein Jahr (12Monate) durchgeführt wird, um Verzerrungen zu vermeiden).</t>
  </si>
  <si>
    <t>Monat</t>
  </si>
  <si>
    <t>Absenden</t>
  </si>
  <si>
    <t>Fortfahren und nicht mehr sehen</t>
  </si>
  <si>
    <t>Fortfahren</t>
  </si>
  <si>
    <t>Die Analyse beenden</t>
  </si>
  <si>
    <t>Geben Sie Ihre Daten ein</t>
  </si>
  <si>
    <t>Kategorien</t>
  </si>
  <si>
    <t>Unter Kategorien</t>
  </si>
  <si>
    <t>Speichern</t>
  </si>
  <si>
    <t>Löschen</t>
  </si>
  <si>
    <t>Betrag</t>
  </si>
  <si>
    <t>Letzter Betrag</t>
  </si>
  <si>
    <t>Bitte geben Sie alle erforderlichen Felder ein.</t>
  </si>
  <si>
    <t>Daten</t>
  </si>
  <si>
    <t>Verlauf</t>
  </si>
  <si>
    <t>Konsole</t>
  </si>
  <si>
    <t>1. Monat der Analyse</t>
  </si>
  <si>
    <t>Letzter Monat der Analyse</t>
  </si>
  <si>
    <t>Betrag:</t>
  </si>
  <si>
    <t>Gewichten:</t>
  </si>
  <si>
    <t>Zurücksetzen</t>
  </si>
  <si>
    <t>Gesamtbudget :</t>
  </si>
  <si>
    <t>已完成</t>
  </si>
  <si>
    <t>错误</t>
  </si>
  <si>
    <t>储蓄</t>
  </si>
  <si>
    <t>年份</t>
  </si>
  <si>
    <t>支票账户</t>
  </si>
  <si>
    <t>每月储蓄目标</t>
  </si>
  <si>
    <t>年初投资总额</t>
  </si>
  <si>
    <t>注册</t>
  </si>
  <si>
    <t>额外</t>
  </si>
  <si>
    <t>您想从哪个月开始分析？:</t>
  </si>
  <si>
    <t>(请注意，为避免偏差，外推只针对一年（12 个月））。</t>
  </si>
  <si>
    <t>年</t>
  </si>
  <si>
    <t>月份</t>
  </si>
  <si>
    <t>代码: WB_data 数据表 数据行</t>
  </si>
  <si>
    <t>输入询问</t>
  </si>
  <si>
    <t>继续，不要再看到它</t>
  </si>
  <si>
    <t>继续</t>
  </si>
  <si>
    <t>停止分析</t>
  </si>
  <si>
    <t>类别</t>
  </si>
  <si>
    <t>类别下</t>
  </si>
  <si>
    <t>保存</t>
  </si>
  <si>
    <t>删除</t>
  </si>
  <si>
    <t>金额</t>
  </si>
  <si>
    <t>最后金额</t>
  </si>
  <si>
    <t>取消</t>
  </si>
  <si>
    <t>数据</t>
  </si>
  <si>
    <t>历史</t>
  </si>
  <si>
    <t>分析的第一个月</t>
  </si>
  <si>
    <t>分析的最后一个月</t>
  </si>
  <si>
    <t>金额：</t>
  </si>
  <si>
    <t>重量</t>
  </si>
  <si>
    <t>重置</t>
  </si>
  <si>
    <t>总预算 ：</t>
  </si>
  <si>
    <t>Average :</t>
  </si>
  <si>
    <t>Total gain :</t>
  </si>
  <si>
    <t>Gain over period :</t>
  </si>
  <si>
    <t>Select one month and leave the second empty if you only want to apply a change to one Month.</t>
  </si>
  <si>
    <t>Caution: use the “-” sign to indicate an expense!</t>
  </si>
  <si>
    <t>Reset all</t>
  </si>
  <si>
    <t>Total loss :</t>
  </si>
  <si>
    <t>Are you sure you want to start again?</t>
  </si>
  <si>
    <t>Loss for the period :</t>
  </si>
  <si>
    <t>Tax brackets</t>
  </si>
  <si>
    <t>Rate</t>
  </si>
  <si>
    <t>Limit</t>
  </si>
  <si>
    <t>Number of weeks Pay :</t>
  </si>
  <si>
    <t>Plan your strategies</t>
  </si>
  <si>
    <t>Amount saved to date</t>
  </si>
  <si>
    <t>Target Savings / Months*</t>
  </si>
  <si>
    <t>Don't know.</t>
  </si>
  <si>
    <t>Without inflation.</t>
  </si>
  <si>
    <t>Years</t>
  </si>
  <si>
    <t>*Mandatory fields</t>
  </si>
  <si>
    <t>Values subject to inflation</t>
  </si>
  <si>
    <t>Your information</t>
  </si>
  <si>
    <t>Accumulation phase</t>
  </si>
  <si>
    <t>Strategy 1: Low Risk</t>
  </si>
  <si>
    <t>Strategy 2: Moderate</t>
  </si>
  <si>
    <t>Strategy 3: High Risk</t>
  </si>
  <si>
    <t>Distribution phase</t>
  </si>
  <si>
    <t>Strategy 4</t>
  </si>
  <si>
    <t xml:space="preserve">Annual inflation </t>
  </si>
  <si>
    <t>Amount distributed / year</t>
  </si>
  <si>
    <t>Accumulated capital at retirement age</t>
  </si>
  <si>
    <t xml:space="preserve">Strategy 1 </t>
  </si>
  <si>
    <t>Strategy 2</t>
  </si>
  <si>
    <t>Strategy 3</t>
  </si>
  <si>
    <t>Missing year(s)</t>
  </si>
  <si>
    <t>Year(s)</t>
  </si>
  <si>
    <t>Calculate</t>
  </si>
  <si>
    <t>Media :</t>
  </si>
  <si>
    <t>Ganancia total :</t>
  </si>
  <si>
    <t>Ganancia sobre el periodo :</t>
  </si>
  <si>
    <t>Seleccione un mes y deje el segundo en blanco si sólo desea aplicar un cambio a un mes.</t>
  </si>
  <si>
    <t>Atención: ¡utilice el signo «-» para indicar un gasto!</t>
  </si>
  <si>
    <t>Restablecer todo</t>
  </si>
  <si>
    <t>Pérdida total :</t>
  </si>
  <si>
    <t>¿Está seguro de que desea empezar de nuevo?</t>
  </si>
  <si>
    <t>Confirmación</t>
  </si>
  <si>
    <t>Pérdida del periodo :</t>
  </si>
  <si>
    <t>Resultado neto</t>
  </si>
  <si>
    <t>Niveles impositivos</t>
  </si>
  <si>
    <t>Banda 1 :</t>
  </si>
  <si>
    <t>Banda 2 :</t>
  </si>
  <si>
    <t>Banda 3 :</t>
  </si>
  <si>
    <t>Banda 4 :</t>
  </si>
  <si>
    <t>Banda 5 :</t>
  </si>
  <si>
    <t>Tarifa</t>
  </si>
  <si>
    <t>Límite</t>
  </si>
  <si>
    <t>Número de semanas de pago :</t>
  </si>
  <si>
    <t>Planifique sus estrategias</t>
  </si>
  <si>
    <t>Edad prevista de jubilación* (años)</t>
  </si>
  <si>
    <t>Salario bruto*</t>
  </si>
  <si>
    <t>Importe ahorrado hasta la fecha</t>
  </si>
  <si>
    <t>Objetivo de ahorro / mes*</t>
  </si>
  <si>
    <t>No sabe.</t>
  </si>
  <si>
    <t>Sin inflación.</t>
  </si>
  <si>
    <t>Años</t>
  </si>
  <si>
    <t>*Campos obligatorios</t>
  </si>
  <si>
    <t>Valores sujetos a inflación</t>
  </si>
  <si>
    <t>Sus datos</t>
  </si>
  <si>
    <t>Fase de acumulación</t>
  </si>
  <si>
    <t>Estrategia 1: Riesgo bajo</t>
  </si>
  <si>
    <t>Estrategia 2: Moderado</t>
  </si>
  <si>
    <t>Estrategia 3: Riesgo alto</t>
  </si>
  <si>
    <t>Fase de distribución</t>
  </si>
  <si>
    <t>Estrategia 4</t>
  </si>
  <si>
    <t xml:space="preserve">Inflación anual </t>
  </si>
  <si>
    <t>Importe distribuido / año</t>
  </si>
  <si>
    <t>Capital acumulado a la edad de jubilación</t>
  </si>
  <si>
    <t xml:space="preserve">Estrategia 1 </t>
  </si>
  <si>
    <t>Estrategia 2</t>
  </si>
  <si>
    <t>Estrategia 3</t>
  </si>
  <si>
    <t>Año(s) que falta(n)</t>
  </si>
  <si>
    <t>Año(s)</t>
  </si>
  <si>
    <t>Calcular</t>
  </si>
  <si>
    <t>Durchschnitt :</t>
  </si>
  <si>
    <t>Gewinn Gesamt :</t>
  </si>
  <si>
    <t>Gewinn über den Zeitraum :</t>
  </si>
  <si>
    <t>Wählen Sie einen Monat aus und lassen Sie den zweiten leer, wenn Sie eine Änderung nur auf einen Monat anwenden wollen.</t>
  </si>
  <si>
    <t>Achtung: Verwenden Sie das Zeichen „-“, um eine Ausgabe zu kennzeichnen!</t>
  </si>
  <si>
    <t>Alles zurücksetzen</t>
  </si>
  <si>
    <t>Verlust Gesamt :</t>
  </si>
  <si>
    <t>Sind Sie sicher, dass Sie noch einmal anfangen möchten?</t>
  </si>
  <si>
    <t>Bestätigung</t>
  </si>
  <si>
    <t>Verlust im Zeitraum :</t>
  </si>
  <si>
    <t>Steuerklassen</t>
  </si>
  <si>
    <t>Stufe 1 :</t>
  </si>
  <si>
    <t>Stufe 2 :</t>
  </si>
  <si>
    <t>Stufe 3 :</t>
  </si>
  <si>
    <t>Stufe 4 :</t>
  </si>
  <si>
    <t>Stufe 5 :</t>
  </si>
  <si>
    <t>Anzahl der Wochen Bezahlen :</t>
  </si>
  <si>
    <t>Planen Sie Ihre Strategien</t>
  </si>
  <si>
    <t>Aktuelles Alter*</t>
  </si>
  <si>
    <t>Erwartetes Rentenalter*</t>
  </si>
  <si>
    <t>Lebenserwartung*</t>
  </si>
  <si>
    <t>Bruttogehalt*</t>
  </si>
  <si>
    <t>Bisher gesparter Betrag</t>
  </si>
  <si>
    <t>Sparziel / Monat*</t>
  </si>
  <si>
    <t>Keine Ahnung.</t>
  </si>
  <si>
    <t>Ohne Inflation.</t>
  </si>
  <si>
    <t>Jahre</t>
  </si>
  <si>
    <t>*Felder müssen ausgefüllt werden.</t>
  </si>
  <si>
    <t>Werte, die der Inflation unterliegen.</t>
  </si>
  <si>
    <t>Ihre Informationen</t>
  </si>
  <si>
    <t>Phase der Akkumulation</t>
  </si>
  <si>
    <t>Strategie 1: Low Risk</t>
  </si>
  <si>
    <t>Strategie 2: Moderate</t>
  </si>
  <si>
    <t>Strategie 3: High Risk</t>
  </si>
  <si>
    <t>Verteilungsphase</t>
  </si>
  <si>
    <t>Strategie 4</t>
  </si>
  <si>
    <t xml:space="preserve">Jährliche Inflation </t>
  </si>
  <si>
    <t>Ausgeschütteter Betrag / Jahr*.</t>
  </si>
  <si>
    <t>Angesammeltes Kapital bei Ihrem Renteneintrittsalter</t>
  </si>
  <si>
    <t xml:space="preserve">Strategie 1 </t>
  </si>
  <si>
    <t>Strategie 2</t>
  </si>
  <si>
    <t>Strategie 3</t>
  </si>
  <si>
    <t>Fehlende(s) Jahr(e)</t>
  </si>
  <si>
    <t>Jahr(e)</t>
  </si>
  <si>
    <t>Berechnen</t>
  </si>
  <si>
    <t>平均值 ：</t>
  </si>
  <si>
    <t>总收益 ：</t>
  </si>
  <si>
    <t>期间收益 ：</t>
  </si>
  <si>
    <t>选择一个月，如果只想对一个月进行更改，则第二个选项留空。</t>
  </si>
  <si>
    <t>警告：使用“-”号表示支出！</t>
  </si>
  <si>
    <t>全部重置</t>
  </si>
  <si>
    <t>总损失 ：</t>
  </si>
  <si>
    <t>本期损失 ：</t>
  </si>
  <si>
    <t>净收入</t>
  </si>
  <si>
    <t>第 1 级 ：</t>
  </si>
  <si>
    <t>第 2 级</t>
  </si>
  <si>
    <t>第 3 级</t>
  </si>
  <si>
    <t>第 4 级</t>
  </si>
  <si>
    <t>第 5 级</t>
  </si>
  <si>
    <t>费率</t>
  </si>
  <si>
    <t>限额</t>
  </si>
  <si>
    <t>工资周数 ：</t>
  </si>
  <si>
    <t>省</t>
  </si>
  <si>
    <t>联邦</t>
  </si>
  <si>
    <t>预期退休年龄*（岁）</t>
  </si>
  <si>
    <t>迄今为止的储蓄额</t>
  </si>
  <si>
    <t>每月目标储蓄额*</t>
  </si>
  <si>
    <t>不知道。</t>
  </si>
  <si>
    <t>不考虑通货膨胀因素。</t>
  </si>
  <si>
    <t>*必须填写</t>
  </si>
  <si>
    <t>数值受通货膨胀影响</t>
  </si>
  <si>
    <t>您的信息</t>
  </si>
  <si>
    <t>积累阶段</t>
  </si>
  <si>
    <t>策略 1：低风险</t>
  </si>
  <si>
    <t>策略 2：中等风险</t>
  </si>
  <si>
    <t>策略 3：高风险</t>
  </si>
  <si>
    <t>分配阶段</t>
  </si>
  <si>
    <t>策略 4</t>
  </si>
  <si>
    <t xml:space="preserve">年度通货膨胀 </t>
  </si>
  <si>
    <t>每年分配金额</t>
  </si>
  <si>
    <t>退休年龄时积累的资本</t>
  </si>
  <si>
    <t xml:space="preserve">战略 1 </t>
  </si>
  <si>
    <t>战略 2</t>
  </si>
  <si>
    <t>策略 3</t>
  </si>
  <si>
    <t>缺失年份</t>
  </si>
  <si>
    <t>计算</t>
  </si>
  <si>
    <t>Plan your strategies - Processing.</t>
  </si>
  <si>
    <t>ANALYSIS</t>
  </si>
  <si>
    <t>ENTER DATA</t>
  </si>
  <si>
    <t>BUDGETIZE</t>
  </si>
  <si>
    <t>RESET</t>
  </si>
  <si>
    <t>Strategy 1</t>
  </si>
  <si>
    <t>Latest analysis:</t>
  </si>
  <si>
    <t>Balance</t>
  </si>
  <si>
    <t>SALARY MANAGEMENT :</t>
  </si>
  <si>
    <t>Gross Annual Salary :</t>
  </si>
  <si>
    <t>Net Annual Salary :</t>
  </si>
  <si>
    <t>Net Monthly :</t>
  </si>
  <si>
    <t>TFSA MANAGEMENT :</t>
  </si>
  <si>
    <t>TFSA ceiling :</t>
  </si>
  <si>
    <t>SAVINGS MANAGEMENT :</t>
  </si>
  <si>
    <t>Independence :</t>
  </si>
  <si>
    <t>Strategy :</t>
  </si>
  <si>
    <t>Savings / month :</t>
  </si>
  <si>
    <t>Distribution / Year :</t>
  </si>
  <si>
    <t>Missing year(s) :</t>
  </si>
  <si>
    <t>Total savings :</t>
  </si>
  <si>
    <t>Goal :</t>
  </si>
  <si>
    <t>We are here</t>
  </si>
  <si>
    <t>Planifique sus estrategias - Tratamiento en curso.</t>
  </si>
  <si>
    <t>PARÁMETROS</t>
  </si>
  <si>
    <t>ANÁLISIS</t>
  </si>
  <si>
    <t>INTRODUCIR DATOS</t>
  </si>
  <si>
    <t>PRESUPUESTAR</t>
  </si>
  <si>
    <t>REAJUSTAR</t>
  </si>
  <si>
    <t>Estrategia 1</t>
  </si>
  <si>
    <t>Cuadro de mando financiero</t>
  </si>
  <si>
    <t>Últimos análisis:</t>
  </si>
  <si>
    <t>Media</t>
  </si>
  <si>
    <t>Saldo</t>
  </si>
  <si>
    <t>GESTIÓN SALARIAL :</t>
  </si>
  <si>
    <t>Salario bruto anual :</t>
  </si>
  <si>
    <t>Salario neto anual :</t>
  </si>
  <si>
    <t>Neto Mensual :</t>
  </si>
  <si>
    <t>Neto Bi-Menseul :</t>
  </si>
  <si>
    <t>GESTIÓN DE LA TFSA :</t>
  </si>
  <si>
    <t>Techo TFSA :</t>
  </si>
  <si>
    <t>GESTIÓN DEL AHORRO :</t>
  </si>
  <si>
    <t>Independencia :</t>
  </si>
  <si>
    <t>Estrategia :</t>
  </si>
  <si>
    <t>Ahorro / mes :</t>
  </si>
  <si>
    <t>Distribución / Año :</t>
  </si>
  <si>
    <t>Año(s) perdido(s) :</t>
  </si>
  <si>
    <t>Ahorro total :</t>
  </si>
  <si>
    <t>Objetivo :</t>
  </si>
  <si>
    <t>Idioma</t>
  </si>
  <si>
    <t>Estamos aquí</t>
  </si>
  <si>
    <t>Planen Sie Ihre Strategien - Aktuelle Bearbeitung.</t>
  </si>
  <si>
    <t>PARAMETER</t>
  </si>
  <si>
    <t>DATEN EINGEBEN</t>
  </si>
  <si>
    <t>BUDGETISIEREN</t>
  </si>
  <si>
    <t>REINITIALISIEREN</t>
  </si>
  <si>
    <t>Strategie 1</t>
  </si>
  <si>
    <t>Die letzte Analyse:</t>
  </si>
  <si>
    <t>Insgesamt</t>
  </si>
  <si>
    <t>Durchschnitt</t>
  </si>
  <si>
    <t>GEHALTSMANAGEMENT :</t>
  </si>
  <si>
    <t>Brutto-Jahresgehalt :</t>
  </si>
  <si>
    <t>Jahresgehalt Netto :</t>
  </si>
  <si>
    <t>Monatliches Netto :</t>
  </si>
  <si>
    <t>Bi-Menseul Netto :</t>
  </si>
  <si>
    <t>CELI VERWALTUNG :</t>
  </si>
  <si>
    <t>CELI Obergrenze :</t>
  </si>
  <si>
    <t>Unabhängigkeit :</t>
  </si>
  <si>
    <t>Strategie :</t>
  </si>
  <si>
    <t>Sparen / Monat :</t>
  </si>
  <si>
    <t>Ausschüttung / Jahr :</t>
  </si>
  <si>
    <t>Fehlende(s) Jahr(e) :</t>
  </si>
  <si>
    <t>Sparen gesamt :</t>
  </si>
  <si>
    <t>Ziel :</t>
  </si>
  <si>
    <t>Sprache</t>
  </si>
  <si>
    <t>Wir sind hier</t>
  </si>
  <si>
    <t>仪表板</t>
  </si>
  <si>
    <t>分析</t>
  </si>
  <si>
    <t>输入数据</t>
  </si>
  <si>
    <t>预算</t>
  </si>
  <si>
    <t>战略 1</t>
  </si>
  <si>
    <t>战略 3</t>
  </si>
  <si>
    <t>财务仪表板</t>
  </si>
  <si>
    <t>最新分析：</t>
  </si>
  <si>
    <t>总计</t>
  </si>
  <si>
    <t>平均</t>
  </si>
  <si>
    <t>每月节余目标</t>
  </si>
  <si>
    <t>结余</t>
  </si>
  <si>
    <t>薪金管理 ：</t>
  </si>
  <si>
    <t>年薪毛额</t>
  </si>
  <si>
    <t>年薪净额</t>
  </si>
  <si>
    <t>月薪净额</t>
  </si>
  <si>
    <t>双月薪净额</t>
  </si>
  <si>
    <t>TFSA管理</t>
  </si>
  <si>
    <t>TFSA 上限 ：</t>
  </si>
  <si>
    <t>储蓄管理</t>
  </si>
  <si>
    <t>独立性 ：</t>
  </si>
  <si>
    <t>策略 ：</t>
  </si>
  <si>
    <t>储蓄/月 ：</t>
  </si>
  <si>
    <t>分配/年份</t>
  </si>
  <si>
    <t>缺失年份 ：</t>
  </si>
  <si>
    <t>储蓄总额</t>
  </si>
  <si>
    <t>目标</t>
  </si>
  <si>
    <t>语言</t>
  </si>
  <si>
    <t>我们在这里</t>
  </si>
  <si>
    <t>Step 1 :</t>
  </si>
  <si>
    <t>Step 2 :</t>
  </si>
  <si>
    <t>Step 3 :</t>
  </si>
  <si>
    <t>Step 4 :</t>
  </si>
  <si>
    <t>Step 5 :</t>
  </si>
  <si>
    <t>Deutsch</t>
  </si>
  <si>
    <t>Mär</t>
  </si>
  <si>
    <t>Mai</t>
  </si>
  <si>
    <t>Okt</t>
  </si>
  <si>
    <t>Dez</t>
  </si>
  <si>
    <t>Januar</t>
  </si>
  <si>
    <t>Februar</t>
  </si>
  <si>
    <t>März</t>
  </si>
  <si>
    <t>Juni</t>
  </si>
  <si>
    <t>Juli</t>
  </si>
  <si>
    <t>Oktober</t>
  </si>
  <si>
    <t>Dezember</t>
  </si>
  <si>
    <t>année(s)</t>
  </si>
  <si>
    <t>year(s)</t>
  </si>
  <si>
    <t>año(s)</t>
  </si>
  <si>
    <t>jahr(e)</t>
  </si>
  <si>
    <t>SETTINGS</t>
  </si>
  <si>
    <t>[$-409]</t>
  </si>
  <si>
    <t>[$-40C]</t>
  </si>
  <si>
    <t>[$-C0A]</t>
  </si>
  <si>
    <t>[$-407]</t>
  </si>
  <si>
    <t>[$-804]</t>
  </si>
  <si>
    <t>DONNÉES</t>
  </si>
  <si>
    <t>Tableau Financier</t>
  </si>
  <si>
    <t>CELI</t>
  </si>
  <si>
    <t>Ref</t>
  </si>
  <si>
    <t>SuperCat</t>
  </si>
  <si>
    <t>Revenu</t>
  </si>
  <si>
    <t>Ingreso</t>
  </si>
  <si>
    <t>Path</t>
  </si>
  <si>
    <t>releve</t>
  </si>
  <si>
    <t>Automatisation</t>
  </si>
  <si>
    <t>Chemin d'accès:</t>
  </si>
  <si>
    <t>Nom du fichier:</t>
  </si>
  <si>
    <t>Paramètres systèmes</t>
  </si>
  <si>
    <t>Paramètres systèmes - Complété</t>
  </si>
  <si>
    <t>Paramètres automatisation</t>
  </si>
  <si>
    <t>Paramètres automatisation - Complété</t>
  </si>
  <si>
    <t>Automatisierung</t>
  </si>
  <si>
    <t>In welche Richtung geht es?</t>
  </si>
  <si>
    <t>Name der Datei:</t>
  </si>
  <si>
    <t>Systemeinstellungen</t>
  </si>
  <si>
    <t>Systemeinstellungen - abgeschlossen</t>
  </si>
  <si>
    <t>Einstellungen für die Automatisierung</t>
  </si>
  <si>
    <t>Automatisierungseinstellungen - Vollständig</t>
  </si>
  <si>
    <t>Automation</t>
  </si>
  <si>
    <t>Path:</t>
  </si>
  <si>
    <t>File name:</t>
  </si>
  <si>
    <t>System parameters</t>
  </si>
  <si>
    <t>System parameters - Completed</t>
  </si>
  <si>
    <t>Automation parameters</t>
  </si>
  <si>
    <t>Automation parameters - Completed</t>
  </si>
  <si>
    <t>自动化</t>
  </si>
  <si>
    <t>路径：</t>
  </si>
  <si>
    <t>文件名：</t>
  </si>
  <si>
    <t>系统参数</t>
  </si>
  <si>
    <t>系统参数 - 已完成</t>
  </si>
  <si>
    <t>自动化参数</t>
  </si>
  <si>
    <t>自动化参数 - 已完成</t>
  </si>
  <si>
    <t>Automatización</t>
  </si>
  <si>
    <t>Ruta de acceso:</t>
  </si>
  <si>
    <t>Nombre del fichero:</t>
  </si>
  <si>
    <t>Parámetros del sistema</t>
  </si>
  <si>
    <t>Parámetros del sistema - Finalizado</t>
  </si>
  <si>
    <t>Parámetros de automatización</t>
  </si>
  <si>
    <t>Parámetros de automatización - Finalizado</t>
  </si>
  <si>
    <t>Paramètres système</t>
  </si>
  <si>
    <t>Configuración del sistema</t>
  </si>
  <si>
    <t>System settings</t>
  </si>
  <si>
    <t>Credit Card</t>
  </si>
  <si>
    <t>Automation disabled</t>
  </si>
  <si>
    <t>Automatisation désactivée</t>
  </si>
  <si>
    <t>Automatisierung deaktiviert</t>
  </si>
  <si>
    <t>Automatización desactivada</t>
  </si>
  <si>
    <t>禁用自动化</t>
  </si>
  <si>
    <t>Entrez vos données</t>
  </si>
  <si>
    <t>Entrez vos données - Traitement en cours.</t>
  </si>
  <si>
    <t>Enter your data - Processing in progress.</t>
  </si>
  <si>
    <t>Introduzca sus datos - Procesando.</t>
  </si>
  <si>
    <t>Geben Sie Ihre Daten ein - Bearbeitung läuft.</t>
  </si>
  <si>
    <t>Automatisation - Faites votre choix</t>
  </si>
  <si>
    <t>Éxtraire les données du fichier:</t>
  </si>
  <si>
    <t>Ouvrir</t>
  </si>
  <si>
    <t>Éxtraction</t>
  </si>
  <si>
    <t>Automation - Make your choice</t>
  </si>
  <si>
    <t>Extract data from file:</t>
  </si>
  <si>
    <t>Open</t>
  </si>
  <si>
    <t>Extract</t>
  </si>
  <si>
    <t>Automatización - Elija</t>
  </si>
  <si>
    <t>Extraer datos del archivo:</t>
  </si>
  <si>
    <t>Abrir</t>
  </si>
  <si>
    <t>Extraer</t>
  </si>
  <si>
    <t>Automatisierung - Treffen Sie Ihre Wahl</t>
  </si>
  <si>
    <t>Daten aus der Datei extrahieren:</t>
  </si>
  <si>
    <t>Öffnen</t>
  </si>
  <si>
    <t>Extrahieren</t>
  </si>
  <si>
    <t>从文件中提取数据：</t>
  </si>
  <si>
    <t>打开</t>
  </si>
  <si>
    <t>提取</t>
  </si>
  <si>
    <t>Cette année existe déjà.</t>
  </si>
  <si>
    <t>Jīnnián méiyǒu jìlù! Nǐ xiǎng bǎ tā tiānjiā dào nǐ de huóyèjiā zhōng ma?</t>
  </si>
  <si>
    <t>Nǐ quèdìng yào kāishǐ tuīduàn ma?</t>
  </si>
  <si>
    <t>Nín quèdìng yào shānchú lìshǐ jìlù ma?</t>
  </si>
  <si>
    <t>Mùqián hái méiyǒu zhège xuǎnxiàng!</t>
  </si>
  <si>
    <t>Qǐng quèbǎo nín zhìshǎo yǒu 1 nián (12 gè yuè) de shùjù!</t>
  </si>
  <si>
    <t>Āiyā! Xìtǒng zhōng zhǎo bù dào niánfèn!</t>
  </si>
  <si>
    <t>Dàimǎ: WB_data Biǎo Data_Line</t>
  </si>
  <si>
    <t>Nín shàngwèi jìlù zúgòu de shùjù lái zhíxíng wàituīfǎ (zhìshǎo 1 gè yuè). Wàituīfǎ zhōngduàn.</t>
  </si>
  <si>
    <t>Qǐng jì zhù shèzhì niánchū yú'é hé chúxù mùbiāo.</t>
  </si>
  <si>
    <t>Hé nín de chúxù mùbiāo.</t>
  </si>
  <si>
    <t>Cuòguò jiāoyì</t>
  </si>
  <si>
    <t>Jiāoyì yǐ chǔlǐ.</t>
  </si>
  <si>
    <t>Fēnxī yǐ chénggōng wánchéng!</t>
  </si>
  <si>
    <t>Wèi chǔlǐ de jiāoyì</t>
  </si>
  <si>
    <t>Jīnnián yǐjīng cúnzài.</t>
  </si>
  <si>
    <t>Tiānjiā niánfèn.</t>
  </si>
  <si>
    <t>Tiānjiā zǐ lèibié.</t>
  </si>
  <si>
    <t>Zìdòng huà - Zuòchū xuǎnzé</t>
  </si>
  <si>
    <t>TFSA xiàn'é</t>
  </si>
  <si>
    <t>Xìtǒng yǐ shǐyòng cǐ lèibié.</t>
  </si>
  <si>
    <t>Lèibié yǐ cúnzài.</t>
  </si>
  <si>
    <t>Nǐ quèdìng ma?</t>
  </si>
  <si>
    <t>Cuòwù! Hěn yíhàn, nǐ bùnéng qīngkōng lèibié.</t>
  </si>
  <si>
    <t>Xiūgǎi lèibié de zǔzhī jiégòu kěnéng huì dǎozhì dāngqián huódòng yùsuàn chūxiàn cuòwù.</t>
  </si>
  <si>
    <t>Nín xiǎng jìxù ma?</t>
  </si>
  <si>
    <t>Cuòwù! Wèi zhǎodào lèibié.</t>
  </si>
  <si>
    <t>Xìtǒng shèzhì</t>
  </si>
  <si>
    <t>Míngchēng cuòwù. Quèbǎo xīn míngchēng wéiyī qiě yǒuxiào.</t>
  </si>
  <si>
    <t>Nín hái méiyǒu běn niándù de juānkuǎn.</t>
  </si>
  <si>
    <t>Shèdìng nín de chúxù mùbiāo.</t>
  </si>
  <si>
    <t>Wèi zhǎodào shíjiān duàn!</t>
  </si>
  <si>
    <t>Dēngjì nín de jìnbù.</t>
  </si>
  <si>
    <t>Qǐng xuǎnzé niánchū.</t>
  </si>
  <si>
    <t>Qǐng shūrù suǒyǒu bìtián zìduàn.</t>
  </si>
  <si>
    <t>Shūrù nín de shùjù - Zhèngzài chǔlǐ.</t>
  </si>
  <si>
    <t>Shūrù nín de shùjù.</t>
  </si>
  <si>
    <t>Kāishǐ shùjù wàituī</t>
  </si>
  <si>
    <t>Nín quèdìng yào chóngxīn kāishǐ ma?</t>
  </si>
  <si>
    <t>Quèrèn</t>
  </si>
  <si>
    <t>Kòngzhì tái</t>
  </si>
  <si>
    <t>Nàshuì děngjí</t>
  </si>
  <si>
    <t>Guīhuà nín de cèlüè - zhìliáo jìnxíng zhōng.</t>
  </si>
  <si>
    <t>Guīhuà nín de zhànlüè</t>
  </si>
  <si>
    <t>Dieses Jahr existiert bereits.</t>
  </si>
  <si>
    <t>This year already exists.</t>
  </si>
  <si>
    <t>Este año ya existe.</t>
  </si>
  <si>
    <t>Otros</t>
  </si>
  <si>
    <t>Andere</t>
  </si>
  <si>
    <t>Others</t>
  </si>
  <si>
    <t>其他</t>
  </si>
  <si>
    <t>Color</t>
  </si>
  <si>
    <t>颜色</t>
  </si>
  <si>
    <t>Farbe</t>
  </si>
  <si>
    <t>Couleur</t>
  </si>
  <si>
    <t>Charge fixe</t>
  </si>
  <si>
    <t>Cette séléction vous permet de figer votre budget.</t>
  </si>
  <si>
    <t>Après chaque quarter, les économies ou les éxcédants seront alloués aux budgets partagés.</t>
  </si>
  <si>
    <t xml:space="preserve">Idéal pour des budgets de charge fixe. </t>
  </si>
  <si>
    <t>Régulié</t>
  </si>
  <si>
    <t>Cette séléction vous permet de connecter vos budgets.</t>
  </si>
  <si>
    <t>Après chaque quarter, les économies ou les éxcédants seront répartis proportionnellements sur tout les budgets partagés</t>
  </si>
  <si>
    <t>Idéal pour des budgets de charge variables.</t>
  </si>
  <si>
    <t>Indépendant</t>
  </si>
  <si>
    <t>Cette séléction vous permet d'isoler votre budget.</t>
  </si>
  <si>
    <t>Après chaque quarter, les économies ou les éxcédants seront redistribués uniquement sur le budget séléctionné.</t>
  </si>
  <si>
    <t>Idéal pour des projets spéciaux, ne concernant pas les dépenses quotidiennes.</t>
  </si>
  <si>
    <t>Carga fija</t>
  </si>
  <si>
    <t>Esta selección le permite congelar su presupuesto.</t>
  </si>
  <si>
    <t>Después de cada trimestre, los ahorros o excedentes se asignarán a los presupuestos compartidos.</t>
  </si>
  <si>
    <t xml:space="preserve">Ideal para presupuestos de carga fija. </t>
  </si>
  <si>
    <t>Regular</t>
  </si>
  <si>
    <t>Esta selección le permite conectar sus presupuestos.</t>
  </si>
  <si>
    <t>Después de cada trimestre, los ahorros o excedentes se distribuirán proporcionalmente entre todos los presupuestos compartidos.</t>
  </si>
  <si>
    <t>Ideal para presupuestos de carga variable.</t>
  </si>
  <si>
    <t>Independiente</t>
  </si>
  <si>
    <t>Esta selección le permite aislar su presupuesto.</t>
  </si>
  <si>
    <t>Después de cada trimestre, los ahorros o excedentes se redistribuirán únicamente al presupuesto seleccionado.</t>
  </si>
  <si>
    <t>Ideal para proyectos especiales que no afectan al gasto diario.</t>
  </si>
  <si>
    <t>Feste Belastung</t>
  </si>
  <si>
    <t>Diese Auswahl ermöglicht es Ihnen, Ihr Budget festzulegen.</t>
  </si>
  <si>
    <t>Nach jedem Viertel werden die Einsparungen oder Überschüsse den geteilten Budgets zugewiesen.</t>
  </si>
  <si>
    <t xml:space="preserve">Ideal für Budgets mit fester Belastung. </t>
  </si>
  <si>
    <t>Reguliert</t>
  </si>
  <si>
    <t>Diese Auswahl ermöglicht es Ihnen, Ihre Budgets zu verbinden.</t>
  </si>
  <si>
    <t>Nach jedem Viertel werden die Einsparungen oder Überschüsse proportional auf alle geteilten Budgets verteilt.</t>
  </si>
  <si>
    <t>Ideal für Budgets mit variabler Belastung.</t>
  </si>
  <si>
    <t>Unabhängig</t>
  </si>
  <si>
    <t>Diese Auswahl ermöglicht es Ihnen, Ihr Budget zu isolieren.</t>
  </si>
  <si>
    <t>Nach jedem Viertel werden die Einsparungen oder Überschüsse nur auf das ausgewählte Budget verteilt.</t>
  </si>
  <si>
    <t>Ideal für besondere Projekte, die nicht die täglichen Ausgaben betreffen.</t>
  </si>
  <si>
    <t>固定负载</t>
  </si>
  <si>
    <t>该选项允许您冻结预算。</t>
  </si>
  <si>
    <t>每个季度后，节余或盈余将分配给共享预算。</t>
  </si>
  <si>
    <t>是固定收费预算的理想选择。</t>
  </si>
  <si>
    <t>定期</t>
  </si>
  <si>
    <t>此选项允许您连接预算。</t>
  </si>
  <si>
    <t>每个季度后，节余或盈余将按比例分配给所有共享预算。</t>
  </si>
  <si>
    <t>非常适合可变负荷预算。</t>
  </si>
  <si>
    <t>独立</t>
  </si>
  <si>
    <t>通过该选项，您可以将预算独立出来。</t>
  </si>
  <si>
    <t>每个季度后，节余或盈余将只重新分配给所选预算。</t>
  </si>
  <si>
    <t>适用于不影响日常支出的特殊项目。</t>
  </si>
  <si>
    <t>Fixed load</t>
  </si>
  <si>
    <t>This selection allows you to freeze your budget.</t>
  </si>
  <si>
    <t>After each quarter, savings or surpluses are allocated to shared budgets.</t>
  </si>
  <si>
    <t xml:space="preserve">Ideal for fixed-charge budgets. </t>
  </si>
  <si>
    <t>This selection allows you to connect your budgets.</t>
  </si>
  <si>
    <t>After each quarter, savings or surpluses will be allocated proportionally to all shared budgets.</t>
  </si>
  <si>
    <t>Ideal for variable-load budgets.</t>
  </si>
  <si>
    <t>Independent</t>
  </si>
  <si>
    <t>This selection allows you to isolate your budget.</t>
  </si>
  <si>
    <t>After each quarter, savings or surpluses will be redistributed to the selected budget only.</t>
  </si>
  <si>
    <t>Ideal for special projects that don't involve day-to-day expenses.</t>
  </si>
  <si>
    <t>Finanzielles Dashboard</t>
  </si>
  <si>
    <t>Vorherige</t>
  </si>
  <si>
    <t>上一页</t>
  </si>
  <si>
    <t>Anterior</t>
  </si>
  <si>
    <t>Précédent</t>
  </si>
  <si>
    <t>Siguiente</t>
  </si>
  <si>
    <t>Weiter zu</t>
  </si>
  <si>
    <t>下一页</t>
  </si>
  <si>
    <t>Suivant</t>
  </si>
  <si>
    <t>Last</t>
  </si>
  <si>
    <t>Next</t>
  </si>
  <si>
    <t>Annuler</t>
  </si>
  <si>
    <t>Abbrechen</t>
  </si>
  <si>
    <t>Remboursement</t>
  </si>
  <si>
    <t>Refund</t>
  </si>
  <si>
    <t>Reembolso</t>
  </si>
  <si>
    <t>Erstattung</t>
  </si>
  <si>
    <t>退款</t>
  </si>
  <si>
    <t>Épargne</t>
  </si>
  <si>
    <t>节约</t>
  </si>
  <si>
    <t>Paramètres système - Traitement en cours</t>
  </si>
  <si>
    <t>System settings - Processing</t>
  </si>
  <si>
    <t>Systemeinstellungen - Verarbeitung</t>
  </si>
  <si>
    <t>Configuración del sistema - Procesamiento</t>
  </si>
  <si>
    <t>Xìtǒng shèzhì - Chǔlǐ</t>
  </si>
  <si>
    <t>i2_Savings</t>
  </si>
  <si>
    <t>i1_Income1</t>
  </si>
  <si>
    <t>i3_Income3</t>
  </si>
  <si>
    <t>Sélectionner uniquement le deuxième mois pour aplliquer vos changements a toute la période.</t>
  </si>
  <si>
    <t>Wählen Sie nur den zweiten Monat aus, um Ihre Änderungen auf den gesamten Zeitraum anzuwenden.</t>
  </si>
  <si>
    <t>Select only the second month to apply your changes to the whole period.</t>
  </si>
  <si>
    <t>Seleccione sólo el segundo mes para aplicar los cambios a todo el periodo.</t>
  </si>
  <si>
    <t>只选择第二个月，将更改应用于整个期间。</t>
  </si>
  <si>
    <t>Edad actual*</t>
  </si>
  <si>
    <t>Current age*</t>
  </si>
  <si>
    <t>Automate 1</t>
  </si>
  <si>
    <t>Error 2 values in Withdrawal Col 'C' and Income col 'D'</t>
  </si>
  <si>
    <t>Erreur 2 valeurs dans la colonne 'C' des retraits et la colonne 'D' des revenus</t>
  </si>
  <si>
    <t>Fehler 2 Werte in Entnahme Spalte 'C' und Einkommen Spalte 'D'</t>
  </si>
  <si>
    <t>Error 2 valores en Retiro Col 'C' e Ingresos col 'D'</t>
  </si>
  <si>
    <t>Cuòwù: Tíchū liè 'C' hé shōurù liè 'D' zhōng yǒu liǎng gè zhí</t>
  </si>
  <si>
    <t>Cuòwù: Wèi zhǎodào zhí</t>
  </si>
  <si>
    <t>Error no value found</t>
  </si>
  <si>
    <t>Error no se ha encontrado ningún valor</t>
  </si>
  <si>
    <t>Fehler kein Wert gefunden</t>
  </si>
  <si>
    <t>Erreur aucune valeur trouvée</t>
  </si>
  <si>
    <t>Bank</t>
  </si>
  <si>
    <t>Desjardins</t>
  </si>
  <si>
    <t>CIBC</t>
  </si>
  <si>
    <t>WealthFinPilot</t>
  </si>
  <si>
    <t>Societe Generale</t>
  </si>
  <si>
    <t>SelectBank</t>
  </si>
  <si>
    <t>Choix de l'institution</t>
  </si>
  <si>
    <t>Choice of institution</t>
  </si>
  <si>
    <t>机构选择</t>
  </si>
  <si>
    <t>Wahl der Institution</t>
  </si>
  <si>
    <t>Elección de la institución</t>
  </si>
  <si>
    <t>Mois (Name)</t>
  </si>
  <si>
    <t>Month (Number)</t>
  </si>
  <si>
    <t>Values</t>
  </si>
  <si>
    <t>Sum of Montant2</t>
  </si>
  <si>
    <t>Withdrawal</t>
  </si>
  <si>
    <t>Retrait</t>
  </si>
  <si>
    <t>Retirada</t>
  </si>
  <si>
    <t>Rücknahme</t>
  </si>
  <si>
    <t>退出</t>
  </si>
  <si>
    <t>Anticipated retirement age*</t>
  </si>
  <si>
    <t>当前年龄*</t>
  </si>
  <si>
    <t>Life expectancy*</t>
  </si>
  <si>
    <t>Esperanza de vida*</t>
  </si>
  <si>
    <t>预期寿命*</t>
  </si>
  <si>
    <t>Gross Salary*</t>
  </si>
  <si>
    <t>工资总额*</t>
  </si>
  <si>
    <t>Dernier montant</t>
  </si>
  <si>
    <t>Assurez vous que votre data set soit ordonés.</t>
  </si>
  <si>
    <t>Les Mois doivent toujours se succéder.</t>
  </si>
  <si>
    <t>Exemple acceptable :</t>
  </si>
  <si>
    <t>Exemple non-acceptable :</t>
  </si>
  <si>
    <t>Make sure your data set is in order.</t>
  </si>
  <si>
    <t>确保您的数据集井然有序。</t>
  </si>
  <si>
    <t>Stellen Sie sicher, dass Ihr Datensatz in Ordnung ist.</t>
  </si>
  <si>
    <t>Asegúrese de que su conjunto de datos está en orden.</t>
  </si>
  <si>
    <t>The Months must always follow one another.</t>
  </si>
  <si>
    <t>Die Monate müssen immer aufeinander folgen.</t>
  </si>
  <si>
    <t>Los Meses deben sucederse siempre.</t>
  </si>
  <si>
    <t>月 "必须始终相随。</t>
  </si>
  <si>
    <t>Acceptable example:</t>
  </si>
  <si>
    <t>Ejemplo aceptable:</t>
  </si>
  <si>
    <t>Akzeptables Beispiel:</t>
  </si>
  <si>
    <t>可接受的例子</t>
  </si>
  <si>
    <t>Unacceptable example:</t>
  </si>
  <si>
    <t>Ejemplo inaceptable:</t>
  </si>
  <si>
    <t>Inakzeptables Beispiel:</t>
  </si>
  <si>
    <t>不可接受的例子：</t>
  </si>
  <si>
    <t>Exemple</t>
  </si>
  <si>
    <t>Category1</t>
  </si>
  <si>
    <t>Category2</t>
  </si>
  <si>
    <t>Category3</t>
  </si>
  <si>
    <t>Category4</t>
  </si>
  <si>
    <t>Category5</t>
  </si>
  <si>
    <t>Category6</t>
  </si>
  <si>
    <t>Category7</t>
  </si>
  <si>
    <t>Sub-Category1</t>
  </si>
  <si>
    <t>Sub-Category2</t>
  </si>
  <si>
    <t>Sub-Category3</t>
  </si>
  <si>
    <t>Sub-Category4</t>
  </si>
  <si>
    <t>Sub-Category5</t>
  </si>
  <si>
    <t>Sub-Category7</t>
  </si>
  <si>
    <t>Sub-Category6</t>
  </si>
  <si>
    <t>Sub-Income1</t>
  </si>
  <si>
    <t>Sub-Income3</t>
  </si>
  <si>
    <t>Category1 Total</t>
  </si>
  <si>
    <t>Category3 Total</t>
  </si>
  <si>
    <t>Welcome</t>
  </si>
  <si>
    <t>Solde moyen Total</t>
  </si>
  <si>
    <t>平均余额 共计</t>
  </si>
  <si>
    <t>Average balance Total</t>
  </si>
  <si>
    <t>Durchschnittlicher Saldo Insgesamt</t>
  </si>
  <si>
    <t>Saldo medio Total</t>
  </si>
  <si>
    <t>Do not enter special character ($ ? &amp;, etc.)</t>
  </si>
  <si>
    <t>Ne pas saisir de caractères spéciaux ($ ? &amp;, etc.)</t>
  </si>
  <si>
    <t>Keine Sonderzeichen eingeben ($ ? &amp;, etc.)</t>
  </si>
  <si>
    <t>No introduzca caracteres especiales ($ ? &amp;, etc.)</t>
  </si>
  <si>
    <t>请勿输入特殊字符（$ ? &amp; 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</si>
</sst>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164" formatCode="#,##0.00\ [$$-C0C]"/>
    <numFmt numFmtId="165" formatCode="mmmm"/>
    <numFmt numFmtId="166" formatCode="#,##0.00\ &quot;$&quot;"/>
    <numFmt numFmtId="167" formatCode="#,##0\ &quot;$&quot;"/>
    <numFmt numFmtId="168" formatCode="[$$-C0C]0.00"/>
    <numFmt numFmtId="169" formatCode="0.000000"/>
    <numFmt numFmtId="170" formatCode="0.0000"/>
    <numFmt numFmtId="171" formatCode="#,##0.00\ \$;\(#,##0.00\ \$\);#,##0.00\ \$"/>
    <numFmt numFmtId="172" formatCode="0.0%"/>
    <numFmt numFmtId="173" formatCode="0.0000000"/>
    <numFmt numFmtId="174" formatCode="yyyy\-mm\-dd"/>
    <numFmt numFmtId="175" formatCode="[$-409]mmmm"/>
    <numFmt numFmtId="176" formatCode="@\ &quot;*&quot;"/>
    <numFmt numFmtId="177" formatCode="0.00&quot;$&quot;"/>
    <numFmt numFmtId="178" formatCode="#\ ###\ ###\ ###\ ##0\ &quot;$&quot;"/>
    <numFmt numFmtId="179" formatCode="\(#,##0.00\)"/>
    <numFmt numFmtId="180" formatCode="\(#\ ##0.00\ &quot;$&quot;\)"/>
    <numFmt numFmtId="181" formatCode="#\ ##0.00\ &quot;$&quot;"/>
    <numFmt numFmtId="182" formatCode="#\ ##0\ &quot;$&quot;"/>
    <numFmt numFmtId="183" formatCode="[$-40C]mmmm"/>
  </numFmts>
  <fonts count="25" x14ac:knownFonts="1">
    <font>
      <sz val="9"/>
      <color theme="1"/>
      <name val="Arial"/>
      <family val="2"/>
    </font>
    <font>
      <sz val="9"/>
      <color theme="1"/>
      <name val="Arial"/>
      <family val="2"/>
    </font>
    <font>
      <b/>
      <sz val="9"/>
      <color theme="1"/>
      <name val="Arial"/>
      <family val="2"/>
    </font>
    <font>
      <u/>
      <sz val="9"/>
      <color theme="10"/>
      <name val="Arial"/>
      <family val="2"/>
    </font>
    <font>
      <sz val="9"/>
      <name val="Arial"/>
      <family val="2"/>
    </font>
    <font>
      <sz val="8"/>
      <name val="Arial"/>
      <family val="2"/>
    </font>
    <font>
      <b/>
      <sz val="9"/>
      <color theme="0"/>
      <name val="Arial"/>
      <family val="2"/>
    </font>
    <font>
      <sz val="9"/>
      <color rgb="FFFF0000"/>
      <name val="Arial"/>
      <family val="2"/>
    </font>
    <font>
      <sz val="9"/>
      <color theme="5" tint="0.59999389629810485"/>
      <name val="Arial"/>
      <family val="2"/>
    </font>
    <font>
      <sz val="9"/>
      <color theme="5" tint="0.39997558519241921"/>
      <name val="Arial"/>
      <family val="2"/>
    </font>
    <font>
      <sz val="9"/>
      <color theme="5" tint="-0.249977111117893"/>
      <name val="Arial"/>
      <family val="2"/>
    </font>
    <font>
      <sz val="9"/>
      <color theme="5" tint="-0.499984740745262"/>
      <name val="Arial"/>
      <family val="2"/>
    </font>
    <font>
      <sz val="9"/>
      <color theme="7" tint="0.79998168889431442"/>
      <name val="Arial"/>
      <family val="2"/>
    </font>
    <font>
      <sz val="9"/>
      <color theme="7" tint="0.59999389629810485"/>
      <name val="Arial"/>
      <family val="2"/>
    </font>
    <font>
      <sz val="9"/>
      <color theme="7" tint="0.39997558519241921"/>
      <name val="Arial"/>
      <family val="2"/>
    </font>
    <font>
      <sz val="9"/>
      <color theme="9" tint="0.79998168889431442"/>
      <name val="Arial"/>
      <family val="2"/>
    </font>
    <font>
      <sz val="9"/>
      <color theme="9" tint="0.59999389629810485"/>
      <name val="Arial"/>
      <family val="2"/>
    </font>
    <font>
      <sz val="9"/>
      <color theme="9" tint="0.39997558519241921"/>
      <name val="Arial"/>
      <family val="2"/>
    </font>
    <font>
      <sz val="9"/>
      <color theme="8" tint="0.79998168889431442"/>
      <name val="Arial"/>
      <family val="2"/>
    </font>
    <font>
      <sz val="9"/>
      <color theme="8" tint="-0.249977111117893"/>
      <name val="Arial"/>
      <family val="2"/>
    </font>
    <font>
      <b/>
      <sz val="9"/>
      <color rgb="FF000000"/>
      <name val="Arial"/>
      <family val="2"/>
    </font>
    <font>
      <sz val="8"/>
      <color rgb="FF000000"/>
      <name val="Segoe UI"/>
      <family val="2"/>
    </font>
    <font>
      <sz val="11"/>
      <color theme="1"/>
      <name val="Calibri"/>
      <family val="2"/>
      <scheme val="minor"/>
    </font>
    <font>
      <sz val="10"/>
      <color theme="1"/>
      <name val="Arial"/>
      <family val="2"/>
    </font>
    <font>
      <sz val="9"/>
      <color rgb="FFFFFFFF"/>
      <name val="Arial"/>
      <family val="2"/>
    </font>
  </fonts>
  <fills count="40">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rgb="FFFFFF00"/>
        <bgColor indexed="64"/>
      </patternFill>
    </fill>
    <fill>
      <patternFill patternType="solid">
        <fgColor theme="4"/>
        <bgColor theme="4"/>
      </patternFill>
    </fill>
    <fill>
      <patternFill patternType="solid">
        <fgColor theme="5" tint="0.59999389629810485"/>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theme="8" tint="0.79998168889431442"/>
        <bgColor indexed="64"/>
      </patternFill>
    </fill>
    <fill>
      <patternFill patternType="solid">
        <fgColor theme="4"/>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02C7B3"/>
        <bgColor indexed="64"/>
      </patternFill>
    </fill>
    <fill>
      <patternFill patternType="solid">
        <fgColor rgb="FFC54EF8"/>
        <bgColor indexed="64"/>
      </patternFill>
    </fill>
    <fill>
      <patternFill patternType="solid">
        <fgColor theme="4" tint="0.59999389629810485"/>
        <bgColor indexed="64"/>
      </patternFill>
    </fill>
    <fill>
      <patternFill patternType="solid">
        <fgColor rgb="FFAADCD7"/>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4" tint="-0.249977111117893"/>
        <bgColor indexed="64"/>
      </patternFill>
    </fill>
    <fill>
      <patternFill patternType="solid">
        <fgColor rgb="FF02E8D2"/>
        <bgColor indexed="64"/>
      </patternFill>
    </fill>
    <fill>
      <patternFill patternType="solid">
        <fgColor rgb="FFF9ADF5"/>
        <bgColor indexed="64"/>
      </patternFill>
    </fill>
    <fill>
      <patternFill patternType="solid">
        <fgColor rgb="FF9751CB"/>
        <bgColor indexed="64"/>
      </patternFill>
    </fill>
    <fill>
      <patternFill patternType="solid">
        <fgColor rgb="FFFA6148"/>
        <bgColor indexed="64"/>
      </patternFill>
    </fill>
    <fill>
      <patternFill patternType="solid">
        <fgColor rgb="FF7FEC70"/>
        <bgColor indexed="64"/>
      </patternFill>
    </fill>
    <fill>
      <patternFill patternType="solid">
        <fgColor theme="0"/>
        <bgColor indexed="64"/>
      </patternFill>
    </fill>
  </fills>
  <borders count="29">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right style="thin">
        <color indexed="64"/>
      </right>
      <top style="thin">
        <color indexed="64"/>
      </top>
      <bottom/>
      <diagonal/>
    </border>
    <border>
      <left/>
      <right style="thin">
        <color indexed="64"/>
      </right>
      <top/>
      <bottom style="thin">
        <color indexed="64"/>
      </bottom>
      <diagonal/>
    </border>
    <border>
      <left style="thin">
        <color theme="4"/>
      </left>
      <right/>
      <top style="thin">
        <color theme="4"/>
      </top>
      <bottom/>
      <diagonal/>
    </border>
    <border>
      <left/>
      <right/>
      <top style="thin">
        <color theme="4"/>
      </top>
      <bottom/>
      <diagonal/>
    </border>
    <border>
      <left/>
      <right style="thin">
        <color theme="4"/>
      </right>
      <top/>
      <bottom/>
      <diagonal/>
    </border>
    <border>
      <left style="thin">
        <color theme="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medium">
        <color indexed="64"/>
      </left>
      <right style="medium">
        <color indexed="64"/>
      </right>
      <top/>
      <bottom style="medium">
        <color indexed="64"/>
      </bottom>
      <diagonal/>
    </border>
    <border>
      <left style="thin">
        <color theme="4"/>
      </left>
      <right style="thin">
        <color theme="4"/>
      </right>
      <top style="thin">
        <color theme="4"/>
      </top>
      <bottom/>
      <diagonal/>
    </border>
    <border>
      <left style="thick">
        <color rgb="FFFF0000"/>
      </left>
      <right/>
      <top style="thick">
        <color rgb="FFFF0000"/>
      </top>
      <bottom style="thick">
        <color rgb="FFFF0000"/>
      </bottom>
      <diagonal/>
    </border>
  </borders>
  <cellStyleXfs count="3">
    <xf numFmtId="0" fontId="0" fillId="0" borderId="0"/>
    <xf numFmtId="0" fontId="3" fillId="0" borderId="0" applyNumberFormat="0" applyFill="0" applyBorder="0" applyAlignment="0" applyProtection="0"/>
    <xf numFmtId="0" fontId="22" fillId="0" borderId="0"/>
  </cellStyleXfs>
  <cellXfs count="325">
    <xf numFmtId="0" fontId="0" fillId="0" borderId="0" xfId="0"/>
    <xf numFmtId="0" fontId="1" fillId="0" borderId="0" xfId="0" applyFont="1" applyAlignment="1">
      <alignment vertical="center"/>
    </xf>
    <xf numFmtId="0" fontId="1" fillId="0" borderId="0" xfId="0" applyFont="1"/>
    <xf numFmtId="0" fontId="1" fillId="0" borderId="0" xfId="0" applyFont="1" applyAlignment="1">
      <alignment horizontal="right"/>
    </xf>
    <xf numFmtId="0" fontId="1" fillId="0" borderId="0" xfId="0" applyFont="1" applyAlignment="1">
      <alignment horizontal="center" vertical="center"/>
    </xf>
    <xf numFmtId="0" fontId="0" fillId="0" borderId="0" xfId="0" applyAlignment="1">
      <alignment horizontal="center"/>
    </xf>
    <xf numFmtId="0" fontId="3" fillId="0" borderId="0" xfId="1"/>
    <xf numFmtId="0" fontId="0" fillId="0" borderId="0" xfId="0" applyAlignment="1">
      <alignment horizontal="left"/>
    </xf>
    <xf numFmtId="0" fontId="0" fillId="0" borderId="2" xfId="0" applyBorder="1"/>
    <xf numFmtId="0" fontId="0" fillId="0" borderId="2" xfId="0" applyBorder="1"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2" fillId="0" borderId="2" xfId="0" applyFont="1" applyBorder="1" applyAlignment="1">
      <alignment horizontal="center"/>
    </xf>
    <xf numFmtId="0" fontId="0" fillId="0" borderId="8" xfId="0" applyBorder="1" applyAlignment="1">
      <alignment horizontal="center"/>
    </xf>
    <xf numFmtId="0" fontId="0" fillId="0" borderId="10" xfId="0" applyBorder="1"/>
    <xf numFmtId="0" fontId="2" fillId="0" borderId="0" xfId="0" applyFont="1"/>
    <xf numFmtId="0" fontId="0" fillId="0" borderId="2" xfId="0" applyBorder="1" applyAlignment="1">
      <alignment horizontal="center" vertical="center"/>
    </xf>
    <xf numFmtId="0" fontId="0" fillId="0" borderId="13" xfId="0" applyBorder="1" applyAlignment="1">
      <alignment horizontal="center"/>
    </xf>
    <xf numFmtId="0" fontId="0" fillId="0" borderId="2" xfId="0" applyBorder="1" applyAlignment="1">
      <alignment horizontal="center" vertical="center" wrapText="1"/>
    </xf>
    <xf numFmtId="0" fontId="0" fillId="0" borderId="0" xfId="0" applyAlignment="1">
      <alignment horizontal="left" vertical="center"/>
    </xf>
    <xf numFmtId="164" fontId="0" fillId="0" borderId="0" xfId="0" applyNumberFormat="1"/>
    <xf numFmtId="0" fontId="0" fillId="0" borderId="0" xfId="0" pivotButton="1"/>
    <xf numFmtId="0" fontId="0" fillId="0" borderId="0" xfId="0" applyAlignment="1">
      <alignment horizontal="center" vertical="center"/>
    </xf>
    <xf numFmtId="0" fontId="6" fillId="6" borderId="14" xfId="0" applyFont="1" applyFill="1" applyBorder="1" applyAlignment="1">
      <alignment horizontal="center"/>
    </xf>
    <xf numFmtId="0" fontId="6" fillId="6" borderId="15" xfId="0" applyFont="1" applyFill="1" applyBorder="1" applyAlignment="1">
      <alignment horizontal="center"/>
    </xf>
    <xf numFmtId="0" fontId="0" fillId="0" borderId="14" xfId="0" applyBorder="1" applyAlignment="1">
      <alignment horizontal="center"/>
    </xf>
    <xf numFmtId="0" fontId="0" fillId="0" borderId="0" xfId="0" applyAlignment="1">
      <alignment horizontal="left" indent="1"/>
    </xf>
    <xf numFmtId="166" fontId="0" fillId="0" borderId="0" xfId="0" applyNumberFormat="1"/>
    <xf numFmtId="10" fontId="0" fillId="0" borderId="0" xfId="0" applyNumberFormat="1"/>
    <xf numFmtId="167" fontId="0" fillId="0" borderId="0" xfId="0" applyNumberFormat="1"/>
    <xf numFmtId="0" fontId="0" fillId="7"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9" borderId="0" xfId="0" applyFill="1" applyAlignment="1">
      <alignment horizontal="center" vertical="center"/>
    </xf>
    <xf numFmtId="0" fontId="0" fillId="9" borderId="0" xfId="0" applyFill="1" applyAlignment="1">
      <alignment horizontal="center"/>
    </xf>
    <xf numFmtId="0" fontId="0" fillId="10" borderId="0" xfId="0" applyFill="1" applyAlignment="1">
      <alignment horizontal="center"/>
    </xf>
    <xf numFmtId="0" fontId="0" fillId="11" borderId="0" xfId="0" applyFill="1" applyAlignment="1">
      <alignment horizontal="center"/>
    </xf>
    <xf numFmtId="0" fontId="0" fillId="12"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0" fontId="0" fillId="15" borderId="0" xfId="0" applyFill="1" applyAlignment="1">
      <alignment horizontal="center"/>
    </xf>
    <xf numFmtId="0" fontId="0" fillId="16" borderId="0" xfId="0" applyFill="1" applyAlignment="1">
      <alignment horizontal="center"/>
    </xf>
    <xf numFmtId="0" fontId="0" fillId="17" borderId="0" xfId="0" applyFill="1" applyAlignment="1">
      <alignment horizontal="center"/>
    </xf>
    <xf numFmtId="0" fontId="0" fillId="0" borderId="0" xfId="0" applyAlignment="1">
      <alignment vertical="center"/>
    </xf>
    <xf numFmtId="0" fontId="2" fillId="15" borderId="0" xfId="0" applyFont="1" applyFill="1" applyAlignment="1">
      <alignment horizontal="center"/>
    </xf>
    <xf numFmtId="0" fontId="2" fillId="14" borderId="0" xfId="0" applyFont="1" applyFill="1" applyAlignment="1">
      <alignment horizontal="center"/>
    </xf>
    <xf numFmtId="0" fontId="2" fillId="13" borderId="0" xfId="0" applyFont="1" applyFill="1" applyAlignment="1">
      <alignment horizontal="center"/>
    </xf>
    <xf numFmtId="0" fontId="2" fillId="12" borderId="0" xfId="0" applyFont="1" applyFill="1" applyAlignment="1">
      <alignment horizontal="center"/>
    </xf>
    <xf numFmtId="0" fontId="2" fillId="11" borderId="0" xfId="0" applyFont="1" applyFill="1" applyAlignment="1">
      <alignment horizontal="center"/>
    </xf>
    <xf numFmtId="0" fontId="2" fillId="10" borderId="0" xfId="0" applyFont="1" applyFill="1" applyAlignment="1">
      <alignment horizontal="center"/>
    </xf>
    <xf numFmtId="0" fontId="2" fillId="8" borderId="0" xfId="0" applyFont="1" applyFill="1" applyAlignment="1">
      <alignment horizontal="center"/>
    </xf>
    <xf numFmtId="0" fontId="2" fillId="9" borderId="0" xfId="0" applyFont="1" applyFill="1" applyAlignment="1">
      <alignment horizontal="center"/>
    </xf>
    <xf numFmtId="0" fontId="2" fillId="3" borderId="0" xfId="0" applyFont="1" applyFill="1" applyAlignment="1">
      <alignment horizontal="center"/>
    </xf>
    <xf numFmtId="0" fontId="2" fillId="7" borderId="0" xfId="0" applyFont="1" applyFill="1" applyAlignment="1">
      <alignment horizontal="center"/>
    </xf>
    <xf numFmtId="0" fontId="8" fillId="7" borderId="0" xfId="0" applyFont="1" applyFill="1" applyAlignment="1">
      <alignment horizontal="center"/>
    </xf>
    <xf numFmtId="0" fontId="9" fillId="3" borderId="0" xfId="0" applyFont="1" applyFill="1" applyAlignment="1">
      <alignment horizontal="center"/>
    </xf>
    <xf numFmtId="0" fontId="10" fillId="8" borderId="0" xfId="0" applyFont="1" applyFill="1" applyAlignment="1">
      <alignment horizontal="center"/>
    </xf>
    <xf numFmtId="0" fontId="11" fillId="9" borderId="0" xfId="0" applyFont="1" applyFill="1" applyAlignment="1">
      <alignment horizontal="center" vertical="center"/>
    </xf>
    <xf numFmtId="0" fontId="12" fillId="10" borderId="0" xfId="0" applyFont="1" applyFill="1" applyAlignment="1">
      <alignment horizontal="center"/>
    </xf>
    <xf numFmtId="0" fontId="13" fillId="11" borderId="0" xfId="0" applyFont="1" applyFill="1" applyAlignment="1">
      <alignment horizontal="center"/>
    </xf>
    <xf numFmtId="0" fontId="14" fillId="12" borderId="0" xfId="0" applyFont="1" applyFill="1" applyAlignment="1">
      <alignment horizontal="center"/>
    </xf>
    <xf numFmtId="0" fontId="15" fillId="13" borderId="0" xfId="0" applyFont="1" applyFill="1" applyAlignment="1">
      <alignment horizontal="center"/>
    </xf>
    <xf numFmtId="0" fontId="16" fillId="14" borderId="0" xfId="0" applyFont="1" applyFill="1" applyAlignment="1">
      <alignment horizontal="center"/>
    </xf>
    <xf numFmtId="0" fontId="17" fillId="15" borderId="0" xfId="0" applyFont="1" applyFill="1" applyAlignment="1">
      <alignment horizontal="center"/>
    </xf>
    <xf numFmtId="0" fontId="7" fillId="16" borderId="0" xfId="0" applyFont="1" applyFill="1" applyAlignment="1">
      <alignment horizontal="center"/>
    </xf>
    <xf numFmtId="0" fontId="18" fillId="17" borderId="0" xfId="0" applyFont="1" applyFill="1" applyAlignment="1">
      <alignment horizontal="center"/>
    </xf>
    <xf numFmtId="0" fontId="19" fillId="0" borderId="0" xfId="0" applyFont="1" applyAlignment="1">
      <alignment horizontal="center"/>
    </xf>
    <xf numFmtId="0" fontId="6" fillId="6" borderId="0" xfId="0" applyFont="1" applyFill="1" applyAlignment="1">
      <alignment horizontal="center"/>
    </xf>
    <xf numFmtId="19" fontId="6" fillId="6" borderId="15" xfId="0" applyNumberFormat="1" applyFont="1" applyFill="1" applyBorder="1" applyAlignment="1">
      <alignment horizontal="center"/>
    </xf>
    <xf numFmtId="165" fontId="0" fillId="0" borderId="0" xfId="0" applyNumberFormat="1"/>
    <xf numFmtId="2" fontId="0" fillId="0" borderId="0" xfId="0" applyNumberFormat="1"/>
    <xf numFmtId="168" fontId="0" fillId="0" borderId="0" xfId="0" applyNumberFormat="1"/>
    <xf numFmtId="0" fontId="6" fillId="6" borderId="17" xfId="0" applyFont="1" applyFill="1" applyBorder="1" applyAlignment="1">
      <alignment horizontal="center"/>
    </xf>
    <xf numFmtId="19" fontId="6" fillId="6" borderId="0" xfId="0" applyNumberFormat="1" applyFont="1" applyFill="1" applyAlignment="1">
      <alignment horizontal="center"/>
    </xf>
    <xf numFmtId="0" fontId="2" fillId="18" borderId="0" xfId="0" applyFont="1" applyFill="1" applyAlignment="1">
      <alignment horizontal="center"/>
    </xf>
    <xf numFmtId="0" fontId="6" fillId="0" borderId="0" xfId="0" applyFont="1" applyAlignment="1">
      <alignment horizontal="center"/>
    </xf>
    <xf numFmtId="0" fontId="0" fillId="0" borderId="3" xfId="0" applyBorder="1" applyAlignment="1">
      <alignment horizontal="right"/>
    </xf>
    <xf numFmtId="0" fontId="0" fillId="0" borderId="3" xfId="0" applyBorder="1" applyAlignment="1">
      <alignment horizontal="center"/>
    </xf>
    <xf numFmtId="0" fontId="1" fillId="0" borderId="1" xfId="0" applyFont="1" applyBorder="1" applyAlignment="1">
      <alignment horizontal="right"/>
    </xf>
    <xf numFmtId="0" fontId="1" fillId="0" borderId="10" xfId="0" applyFont="1" applyBorder="1" applyAlignment="1">
      <alignment horizontal="right"/>
    </xf>
    <xf numFmtId="0" fontId="0" fillId="0" borderId="7" xfId="0" applyBorder="1" applyAlignment="1">
      <alignment horizontal="center" wrapText="1"/>
    </xf>
    <xf numFmtId="0" fontId="1" fillId="0" borderId="12" xfId="0" applyFont="1" applyBorder="1" applyAlignment="1">
      <alignment horizontal="right"/>
    </xf>
    <xf numFmtId="0" fontId="0" fillId="0" borderId="13" xfId="0" applyBorder="1" applyAlignment="1">
      <alignment horizontal="center" vertical="center"/>
    </xf>
    <xf numFmtId="1" fontId="0" fillId="0" borderId="0" xfId="0" applyNumberFormat="1" applyAlignment="1">
      <alignment horizontal="center"/>
    </xf>
    <xf numFmtId="1" fontId="0" fillId="0" borderId="0" xfId="0" applyNumberFormat="1" applyAlignment="1">
      <alignment horizontal="center" vertical="center"/>
    </xf>
    <xf numFmtId="166" fontId="0" fillId="0" borderId="2" xfId="0" applyNumberFormat="1" applyBorder="1" applyAlignment="1">
      <alignment horizontal="center"/>
    </xf>
    <xf numFmtId="169" fontId="0" fillId="0" borderId="0" xfId="0" applyNumberFormat="1"/>
    <xf numFmtId="169" fontId="0" fillId="0" borderId="2" xfId="0" applyNumberFormat="1" applyBorder="1" applyAlignment="1">
      <alignment horizontal="center"/>
    </xf>
    <xf numFmtId="170" fontId="0" fillId="0" borderId="0" xfId="0" applyNumberFormat="1"/>
    <xf numFmtId="2" fontId="0" fillId="0" borderId="0" xfId="0" applyNumberFormat="1" applyAlignment="1">
      <alignment horizontal="center"/>
    </xf>
    <xf numFmtId="0" fontId="0" fillId="0" borderId="2" xfId="0" applyBorder="1" applyAlignment="1">
      <alignment horizontal="center" vertical="center" shrinkToFit="1"/>
    </xf>
    <xf numFmtId="169" fontId="0" fillId="4" borderId="2" xfId="0" applyNumberFormat="1" applyFill="1" applyBorder="1" applyAlignment="1">
      <alignment horizontal="center"/>
    </xf>
    <xf numFmtId="0" fontId="0" fillId="12" borderId="0" xfId="0" applyFill="1"/>
    <xf numFmtId="170" fontId="0" fillId="12" borderId="0" xfId="0" applyNumberFormat="1" applyFill="1"/>
    <xf numFmtId="0" fontId="0" fillId="19" borderId="0" xfId="0" applyFill="1"/>
    <xf numFmtId="169" fontId="0" fillId="19" borderId="0" xfId="0" applyNumberFormat="1" applyFill="1"/>
    <xf numFmtId="0" fontId="0" fillId="20" borderId="2" xfId="0" applyFill="1" applyBorder="1"/>
    <xf numFmtId="0" fontId="0" fillId="20" borderId="2" xfId="0" applyFill="1" applyBorder="1" applyAlignment="1">
      <alignment horizontal="center"/>
    </xf>
    <xf numFmtId="0" fontId="4" fillId="21" borderId="2" xfId="0" applyFont="1" applyFill="1" applyBorder="1"/>
    <xf numFmtId="0" fontId="0" fillId="21" borderId="0" xfId="0" applyFill="1"/>
    <xf numFmtId="0" fontId="2" fillId="4" borderId="2" xfId="0" applyFont="1" applyFill="1" applyBorder="1" applyAlignment="1">
      <alignment horizontal="center"/>
    </xf>
    <xf numFmtId="169" fontId="2" fillId="4" borderId="2" xfId="0" applyNumberFormat="1" applyFont="1" applyFill="1" applyBorder="1" applyAlignment="1">
      <alignment horizontal="center"/>
    </xf>
    <xf numFmtId="170" fontId="2" fillId="3" borderId="2" xfId="0" applyNumberFormat="1" applyFont="1" applyFill="1" applyBorder="1" applyAlignment="1">
      <alignment horizontal="center"/>
    </xf>
    <xf numFmtId="0" fontId="0" fillId="2" borderId="2" xfId="0" applyFill="1" applyBorder="1"/>
    <xf numFmtId="10" fontId="0" fillId="2" borderId="2" xfId="0" applyNumberFormat="1" applyFill="1" applyBorder="1" applyAlignment="1">
      <alignment horizontal="center"/>
    </xf>
    <xf numFmtId="0" fontId="0" fillId="2" borderId="0" xfId="0" applyFill="1"/>
    <xf numFmtId="0" fontId="0" fillId="22" borderId="2" xfId="0" applyFill="1" applyBorder="1"/>
    <xf numFmtId="10" fontId="0" fillId="22" borderId="2" xfId="0" applyNumberFormat="1" applyFill="1" applyBorder="1"/>
    <xf numFmtId="1" fontId="0" fillId="0" borderId="0" xfId="0" applyNumberFormat="1"/>
    <xf numFmtId="1" fontId="0" fillId="0" borderId="2" xfId="0" applyNumberFormat="1" applyBorder="1" applyAlignment="1">
      <alignment horizontal="center" vertical="center"/>
    </xf>
    <xf numFmtId="2" fontId="0" fillId="0" borderId="2" xfId="0" applyNumberFormat="1" applyBorder="1" applyAlignment="1">
      <alignment horizontal="center" vertical="center"/>
    </xf>
    <xf numFmtId="9" fontId="0" fillId="0" borderId="2" xfId="0" applyNumberFormat="1" applyBorder="1" applyAlignment="1">
      <alignment horizontal="center" vertical="center"/>
    </xf>
    <xf numFmtId="2" fontId="0" fillId="0" borderId="5" xfId="0" applyNumberFormat="1" applyBorder="1" applyAlignment="1">
      <alignment horizontal="center" vertical="center"/>
    </xf>
    <xf numFmtId="1" fontId="0" fillId="0" borderId="5" xfId="0" applyNumberFormat="1" applyBorder="1" applyAlignment="1">
      <alignment horizontal="center" vertical="center"/>
    </xf>
    <xf numFmtId="9" fontId="0" fillId="0" borderId="0" xfId="0" applyNumberFormat="1" applyAlignment="1">
      <alignment horizontal="center"/>
    </xf>
    <xf numFmtId="171" fontId="0" fillId="0" borderId="0" xfId="0" applyNumberFormat="1"/>
    <xf numFmtId="10" fontId="0" fillId="0" borderId="2" xfId="0" applyNumberFormat="1" applyBorder="1" applyAlignment="1">
      <alignment horizontal="center"/>
    </xf>
    <xf numFmtId="9" fontId="0" fillId="0" borderId="2" xfId="0" applyNumberFormat="1" applyBorder="1"/>
    <xf numFmtId="0" fontId="0" fillId="0" borderId="2" xfId="0" applyBorder="1" applyAlignment="1">
      <alignment horizontal="left"/>
    </xf>
    <xf numFmtId="10" fontId="0" fillId="0" borderId="0" xfId="0" applyNumberFormat="1" applyAlignment="1">
      <alignment horizontal="center"/>
    </xf>
    <xf numFmtId="0" fontId="0" fillId="23" borderId="0" xfId="0" applyFill="1" applyAlignment="1">
      <alignment horizontal="center"/>
    </xf>
    <xf numFmtId="0" fontId="0" fillId="7" borderId="0" xfId="0" applyFill="1"/>
    <xf numFmtId="0" fontId="0" fillId="14" borderId="0" xfId="0" applyFill="1"/>
    <xf numFmtId="0" fontId="2" fillId="0" borderId="0" xfId="0" applyFont="1" applyAlignment="1">
      <alignment horizontal="center" vertical="center"/>
    </xf>
    <xf numFmtId="0" fontId="0" fillId="24" borderId="0" xfId="0" applyFill="1" applyAlignment="1">
      <alignment horizontal="center"/>
    </xf>
    <xf numFmtId="0" fontId="2" fillId="24" borderId="0" xfId="0" applyFont="1" applyFill="1" applyAlignment="1">
      <alignment horizontal="center"/>
    </xf>
    <xf numFmtId="9" fontId="0" fillId="0" borderId="2" xfId="0" applyNumberFormat="1" applyBorder="1" applyAlignment="1">
      <alignment horizontal="center"/>
    </xf>
    <xf numFmtId="0" fontId="0" fillId="13" borderId="2" xfId="0" applyFill="1" applyBorder="1" applyAlignment="1">
      <alignment horizontal="center"/>
    </xf>
    <xf numFmtId="9" fontId="0" fillId="13" borderId="2" xfId="0" applyNumberFormat="1" applyFill="1" applyBorder="1" applyAlignment="1">
      <alignment horizontal="center"/>
    </xf>
    <xf numFmtId="0" fontId="0" fillId="2" borderId="2" xfId="0" applyFill="1" applyBorder="1" applyAlignment="1">
      <alignment horizontal="center"/>
    </xf>
    <xf numFmtId="0" fontId="0" fillId="15" borderId="2" xfId="0" applyFill="1" applyBorder="1" applyAlignment="1">
      <alignment horizontal="center"/>
    </xf>
    <xf numFmtId="9" fontId="0" fillId="15" borderId="2" xfId="0" applyNumberFormat="1" applyFill="1" applyBorder="1" applyAlignment="1">
      <alignment horizontal="center"/>
    </xf>
    <xf numFmtId="0" fontId="0" fillId="7" borderId="2" xfId="0" applyFill="1" applyBorder="1" applyAlignment="1">
      <alignment horizontal="center"/>
    </xf>
    <xf numFmtId="0" fontId="0" fillId="14" borderId="2" xfId="0" applyFill="1" applyBorder="1" applyAlignment="1">
      <alignment horizontal="center"/>
    </xf>
    <xf numFmtId="0" fontId="0" fillId="0" borderId="7" xfId="0" applyBorder="1" applyAlignment="1">
      <alignment horizontal="center"/>
    </xf>
    <xf numFmtId="9" fontId="0" fillId="7" borderId="2" xfId="0" applyNumberFormat="1" applyFill="1" applyBorder="1" applyAlignment="1">
      <alignment horizontal="center"/>
    </xf>
    <xf numFmtId="0" fontId="2" fillId="0" borderId="0" xfId="0" applyFont="1" applyAlignment="1">
      <alignment horizontal="center"/>
    </xf>
    <xf numFmtId="0" fontId="0" fillId="13" borderId="0" xfId="0" applyFill="1"/>
    <xf numFmtId="167" fontId="0" fillId="15" borderId="2" xfId="0" applyNumberFormat="1" applyFill="1" applyBorder="1" applyAlignment="1">
      <alignment horizontal="center"/>
    </xf>
    <xf numFmtId="0" fontId="0" fillId="2" borderId="0" xfId="0" applyFill="1" applyAlignment="1">
      <alignment horizontal="center"/>
    </xf>
    <xf numFmtId="172" fontId="0" fillId="0" borderId="0" xfId="0" applyNumberFormat="1"/>
    <xf numFmtId="0" fontId="0" fillId="0" borderId="5" xfId="0" applyBorder="1"/>
    <xf numFmtId="0" fontId="0" fillId="0" borderId="8" xfId="0" applyBorder="1"/>
    <xf numFmtId="0" fontId="0" fillId="0" borderId="5" xfId="0" applyBorder="1" applyAlignment="1">
      <alignment horizontal="center"/>
    </xf>
    <xf numFmtId="0" fontId="0" fillId="0" borderId="10" xfId="0" applyBorder="1" applyAlignment="1">
      <alignment horizontal="center"/>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4" xfId="0" applyBorder="1"/>
    <xf numFmtId="0" fontId="0" fillId="0" borderId="1" xfId="0" applyBorder="1" applyAlignment="1">
      <alignment horizontal="center"/>
    </xf>
    <xf numFmtId="0" fontId="0" fillId="25" borderId="2" xfId="0" applyFill="1" applyBorder="1" applyAlignment="1">
      <alignment horizontal="center"/>
    </xf>
    <xf numFmtId="2" fontId="0" fillId="25" borderId="2" xfId="0" applyNumberFormat="1" applyFill="1" applyBorder="1" applyAlignment="1">
      <alignment horizontal="center"/>
    </xf>
    <xf numFmtId="169" fontId="0" fillId="0" borderId="0" xfId="0" applyNumberFormat="1" applyAlignment="1">
      <alignment horizontal="center"/>
    </xf>
    <xf numFmtId="0" fontId="0" fillId="4" borderId="2" xfId="0" applyFill="1" applyBorder="1"/>
    <xf numFmtId="169" fontId="0" fillId="26" borderId="0" xfId="0" applyNumberFormat="1" applyFill="1"/>
    <xf numFmtId="169" fontId="2" fillId="26" borderId="2" xfId="0" applyNumberFormat="1" applyFont="1" applyFill="1" applyBorder="1" applyAlignment="1">
      <alignment horizontal="center"/>
    </xf>
    <xf numFmtId="169" fontId="0" fillId="26" borderId="2" xfId="0" applyNumberFormat="1" applyFill="1" applyBorder="1" applyAlignment="1">
      <alignment horizontal="center"/>
    </xf>
    <xf numFmtId="0" fontId="2" fillId="2" borderId="2" xfId="0" applyFont="1" applyFill="1" applyBorder="1" applyAlignment="1">
      <alignment horizontal="center"/>
    </xf>
    <xf numFmtId="170" fontId="2" fillId="4" borderId="2" xfId="0" applyNumberFormat="1" applyFont="1" applyFill="1" applyBorder="1" applyAlignment="1">
      <alignment horizontal="center"/>
    </xf>
    <xf numFmtId="173" fontId="0" fillId="2" borderId="2" xfId="0" applyNumberFormat="1" applyFill="1" applyBorder="1"/>
    <xf numFmtId="170" fontId="2" fillId="2" borderId="2" xfId="0" applyNumberFormat="1" applyFont="1" applyFill="1" applyBorder="1" applyAlignment="1">
      <alignment horizontal="center"/>
    </xf>
    <xf numFmtId="0" fontId="0" fillId="25" borderId="0" xfId="0" applyFill="1" applyAlignment="1">
      <alignment horizontal="center"/>
    </xf>
    <xf numFmtId="167" fontId="0" fillId="25" borderId="2" xfId="0" applyNumberFormat="1" applyFill="1" applyBorder="1" applyAlignment="1">
      <alignment horizontal="center"/>
    </xf>
    <xf numFmtId="0" fontId="0" fillId="5" borderId="0" xfId="0" applyFill="1"/>
    <xf numFmtId="167" fontId="0" fillId="0" borderId="0" xfId="0" applyNumberFormat="1" applyAlignment="1">
      <alignment horizontal="center"/>
    </xf>
    <xf numFmtId="166" fontId="0" fillId="0" borderId="0" xfId="0" applyNumberFormat="1" applyAlignment="1">
      <alignment horizontal="center"/>
    </xf>
    <xf numFmtId="167" fontId="0" fillId="25" borderId="10" xfId="0" applyNumberFormat="1" applyFill="1" applyBorder="1" applyAlignment="1">
      <alignment horizontal="center"/>
    </xf>
    <xf numFmtId="0" fontId="0" fillId="27" borderId="0" xfId="0" applyFill="1"/>
    <xf numFmtId="0" fontId="0" fillId="28" borderId="0" xfId="0" applyFill="1"/>
    <xf numFmtId="0" fontId="0" fillId="29" borderId="0" xfId="0" applyFill="1"/>
    <xf numFmtId="10" fontId="0" fillId="2" borderId="0" xfId="0" applyNumberFormat="1" applyFill="1"/>
    <xf numFmtId="10" fontId="0" fillId="27" borderId="0" xfId="0" applyNumberFormat="1" applyFill="1"/>
    <xf numFmtId="10" fontId="0" fillId="30" borderId="0" xfId="0" applyNumberFormat="1" applyFill="1"/>
    <xf numFmtId="172" fontId="0" fillId="2" borderId="0" xfId="0" applyNumberFormat="1" applyFill="1"/>
    <xf numFmtId="172" fontId="0" fillId="30" borderId="0" xfId="0" applyNumberFormat="1" applyFill="1"/>
    <xf numFmtId="166" fontId="0" fillId="13" borderId="2" xfId="0" applyNumberFormat="1" applyFill="1" applyBorder="1" applyAlignment="1">
      <alignment horizontal="center"/>
    </xf>
    <xf numFmtId="166" fontId="0" fillId="3" borderId="2" xfId="0" applyNumberFormat="1" applyFill="1" applyBorder="1" applyAlignment="1">
      <alignment horizontal="center"/>
    </xf>
    <xf numFmtId="9" fontId="0" fillId="0" borderId="7" xfId="0" applyNumberFormat="1" applyBorder="1" applyAlignment="1">
      <alignment horizontal="center"/>
    </xf>
    <xf numFmtId="0" fontId="0" fillId="0" borderId="12" xfId="0" applyBorder="1"/>
    <xf numFmtId="0" fontId="6" fillId="0" borderId="16" xfId="0" applyFont="1" applyBorder="1" applyAlignment="1">
      <alignment horizontal="center"/>
    </xf>
    <xf numFmtId="9" fontId="0" fillId="0" borderId="0" xfId="0" applyNumberFormat="1" applyAlignment="1">
      <alignment horizontal="center" vertical="top"/>
    </xf>
    <xf numFmtId="0" fontId="0" fillId="4" borderId="23" xfId="0" applyFill="1" applyBorder="1" applyAlignment="1">
      <alignment horizontal="center" vertical="center"/>
    </xf>
    <xf numFmtId="14" fontId="0" fillId="0" borderId="0" xfId="0" applyNumberFormat="1"/>
    <xf numFmtId="9" fontId="0" fillId="0" borderId="9" xfId="0" applyNumberFormat="1" applyBorder="1" applyAlignment="1">
      <alignment horizontal="center"/>
    </xf>
    <xf numFmtId="0" fontId="0" fillId="0" borderId="18" xfId="0" applyBorder="1"/>
    <xf numFmtId="0" fontId="0" fillId="0" borderId="18" xfId="0" applyBorder="1" applyAlignment="1">
      <alignment horizontal="center"/>
    </xf>
    <xf numFmtId="0" fontId="0" fillId="0" borderId="0" xfId="0" applyProtection="1">
      <protection locked="0"/>
    </xf>
    <xf numFmtId="0" fontId="0" fillId="0" borderId="0" xfId="0" applyAlignment="1" applyProtection="1">
      <alignment horizontal="center"/>
      <protection locked="0"/>
    </xf>
    <xf numFmtId="0" fontId="2" fillId="16" borderId="18" xfId="0" applyFont="1" applyFill="1" applyBorder="1" applyProtection="1">
      <protection locked="0"/>
    </xf>
    <xf numFmtId="0" fontId="0" fillId="0" borderId="2" xfId="0" applyBorder="1" applyProtection="1">
      <protection locked="0"/>
    </xf>
    <xf numFmtId="1" fontId="0" fillId="0" borderId="0" xfId="0" applyNumberFormat="1" applyAlignment="1" applyProtection="1">
      <alignment horizontal="center"/>
      <protection locked="0"/>
    </xf>
    <xf numFmtId="0" fontId="0" fillId="10" borderId="0" xfId="0" applyFill="1"/>
    <xf numFmtId="10" fontId="0" fillId="10" borderId="0" xfId="0" applyNumberFormat="1" applyFill="1" applyAlignment="1">
      <alignment horizontal="center"/>
    </xf>
    <xf numFmtId="10" fontId="0" fillId="12" borderId="0" xfId="0" applyNumberFormat="1" applyFill="1" applyAlignment="1">
      <alignment horizontal="center"/>
    </xf>
    <xf numFmtId="0" fontId="0" fillId="31" borderId="0" xfId="0" applyFill="1" applyAlignment="1">
      <alignment horizontal="center"/>
    </xf>
    <xf numFmtId="10" fontId="0" fillId="31" borderId="0" xfId="0" applyNumberFormat="1" applyFill="1" applyAlignment="1">
      <alignment horizontal="center"/>
    </xf>
    <xf numFmtId="0" fontId="0" fillId="11" borderId="0" xfId="0" applyFill="1"/>
    <xf numFmtId="10" fontId="0" fillId="11" borderId="0" xfId="0" applyNumberFormat="1" applyFill="1" applyAlignment="1">
      <alignment horizontal="center"/>
    </xf>
    <xf numFmtId="0" fontId="2" fillId="23" borderId="0" xfId="0" applyFont="1" applyFill="1"/>
    <xf numFmtId="0" fontId="0" fillId="23" borderId="0" xfId="0" applyFill="1"/>
    <xf numFmtId="0" fontId="0" fillId="5" borderId="0" xfId="0" applyFill="1" applyAlignment="1">
      <alignment horizontal="center"/>
    </xf>
    <xf numFmtId="0" fontId="2" fillId="10" borderId="0" xfId="0" applyFont="1" applyFill="1"/>
    <xf numFmtId="0" fontId="2" fillId="11" borderId="0" xfId="0" applyFont="1" applyFill="1"/>
    <xf numFmtId="0" fontId="2" fillId="12" borderId="0" xfId="0" applyFont="1" applyFill="1"/>
    <xf numFmtId="0" fontId="2" fillId="31" borderId="0" xfId="0" applyFont="1" applyFill="1"/>
    <xf numFmtId="0" fontId="0" fillId="24" borderId="2" xfId="0" applyFill="1" applyBorder="1" applyAlignment="1">
      <alignment horizontal="center"/>
    </xf>
    <xf numFmtId="0" fontId="0" fillId="19" borderId="0" xfId="0" applyFill="1" applyAlignment="1">
      <alignment horizontal="center"/>
    </xf>
    <xf numFmtId="166" fontId="0" fillId="15" borderId="2" xfId="0" applyNumberFormat="1" applyFill="1" applyBorder="1" applyAlignment="1">
      <alignment horizontal="center"/>
    </xf>
    <xf numFmtId="0" fontId="0" fillId="0" borderId="2" xfId="0" applyBorder="1" applyAlignment="1" applyProtection="1">
      <alignment horizontal="center"/>
      <protection locked="0"/>
    </xf>
    <xf numFmtId="14" fontId="0" fillId="4" borderId="24" xfId="0" applyNumberFormat="1" applyFill="1" applyBorder="1" applyAlignment="1" applyProtection="1">
      <alignment horizontal="center" vertical="center"/>
      <protection locked="0"/>
    </xf>
    <xf numFmtId="174" fontId="0" fillId="0" borderId="0" xfId="0" applyNumberFormat="1"/>
    <xf numFmtId="14" fontId="0" fillId="0" borderId="0" xfId="0" applyNumberFormat="1" applyAlignment="1">
      <alignment horizontal="center"/>
    </xf>
    <xf numFmtId="3" fontId="0" fillId="0" borderId="0" xfId="0" applyNumberFormat="1"/>
    <xf numFmtId="10" fontId="0" fillId="0" borderId="2" xfId="0" applyNumberFormat="1" applyBorder="1"/>
    <xf numFmtId="9" fontId="0" fillId="0" borderId="5" xfId="0" applyNumberFormat="1" applyBorder="1"/>
    <xf numFmtId="0" fontId="0" fillId="3" borderId="0" xfId="0" applyFill="1"/>
    <xf numFmtId="0" fontId="0" fillId="8" borderId="0" xfId="0" applyFill="1"/>
    <xf numFmtId="0" fontId="2" fillId="2" borderId="0" xfId="0" applyFont="1" applyFill="1"/>
    <xf numFmtId="0" fontId="2" fillId="7" borderId="0" xfId="0" applyFont="1" applyFill="1"/>
    <xf numFmtId="0" fontId="2" fillId="3" borderId="0" xfId="0" applyFont="1" applyFill="1"/>
    <xf numFmtId="0" fontId="2" fillId="13" borderId="0" xfId="0" applyFont="1" applyFill="1"/>
    <xf numFmtId="0" fontId="2" fillId="14" borderId="0" xfId="0" applyFont="1" applyFill="1"/>
    <xf numFmtId="0" fontId="2" fillId="15" borderId="0" xfId="0" applyFont="1" applyFill="1"/>
    <xf numFmtId="0" fontId="0" fillId="15" borderId="0" xfId="0" applyFill="1"/>
    <xf numFmtId="0" fontId="2" fillId="32" borderId="0" xfId="0" applyFont="1" applyFill="1"/>
    <xf numFmtId="0" fontId="0" fillId="32" borderId="0" xfId="0" applyFill="1"/>
    <xf numFmtId="0" fontId="1" fillId="2" borderId="0" xfId="2" applyFont="1" applyFill="1"/>
    <xf numFmtId="0" fontId="1" fillId="7" borderId="0" xfId="2" applyFont="1" applyFill="1"/>
    <xf numFmtId="0" fontId="1" fillId="3" borderId="0" xfId="2" applyFont="1" applyFill="1"/>
    <xf numFmtId="0" fontId="2" fillId="13" borderId="0" xfId="2" applyFont="1" applyFill="1"/>
    <xf numFmtId="0" fontId="1" fillId="13" borderId="0" xfId="2" applyFont="1" applyFill="1"/>
    <xf numFmtId="0" fontId="1" fillId="14" borderId="0" xfId="2" applyFont="1" applyFill="1"/>
    <xf numFmtId="0" fontId="1" fillId="15" borderId="0" xfId="2" applyFont="1" applyFill="1"/>
    <xf numFmtId="0" fontId="1" fillId="32" borderId="0" xfId="2" applyFont="1" applyFill="1"/>
    <xf numFmtId="0" fontId="1" fillId="32" borderId="0" xfId="0" applyFont="1" applyFill="1"/>
    <xf numFmtId="0" fontId="0" fillId="31" borderId="0" xfId="0" applyFill="1"/>
    <xf numFmtId="0" fontId="0" fillId="25" borderId="0" xfId="0" applyFill="1"/>
    <xf numFmtId="0" fontId="2" fillId="32" borderId="0" xfId="2" applyFont="1" applyFill="1"/>
    <xf numFmtId="0" fontId="2" fillId="15" borderId="0" xfId="2" applyFont="1" applyFill="1"/>
    <xf numFmtId="0" fontId="2" fillId="14" borderId="0" xfId="2" applyFont="1" applyFill="1"/>
    <xf numFmtId="0" fontId="2" fillId="4" borderId="0" xfId="0" applyFont="1" applyFill="1"/>
    <xf numFmtId="0" fontId="0" fillId="4" borderId="0" xfId="0" applyFill="1"/>
    <xf numFmtId="0" fontId="2" fillId="33" borderId="0" xfId="0" applyFont="1" applyFill="1"/>
    <xf numFmtId="0" fontId="0" fillId="33" borderId="0" xfId="0" applyFill="1"/>
    <xf numFmtId="0" fontId="2" fillId="34" borderId="0" xfId="0" applyFont="1" applyFill="1"/>
    <xf numFmtId="0" fontId="0" fillId="34" borderId="0" xfId="0" applyFill="1"/>
    <xf numFmtId="0" fontId="0" fillId="0" borderId="10" xfId="0" applyBorder="1" applyAlignment="1">
      <alignment horizontal="center" vertical="center" wrapText="1"/>
    </xf>
    <xf numFmtId="0" fontId="0" fillId="0" borderId="5" xfId="0" applyBorder="1" applyAlignment="1">
      <alignment horizontal="center" vertical="center" wrapText="1"/>
    </xf>
    <xf numFmtId="0" fontId="0" fillId="0" borderId="9" xfId="0" applyBorder="1" applyAlignment="1">
      <alignment horizontal="center"/>
    </xf>
    <xf numFmtId="0" fontId="0" fillId="0" borderId="6" xfId="0" applyBorder="1" applyAlignment="1">
      <alignment horizontal="center"/>
    </xf>
    <xf numFmtId="0" fontId="0" fillId="0" borderId="12" xfId="0" applyBorder="1" applyAlignment="1">
      <alignment horizontal="center" vertical="center" wrapText="1"/>
    </xf>
    <xf numFmtId="0" fontId="0" fillId="0" borderId="8" xfId="0" applyBorder="1" applyAlignment="1">
      <alignment horizontal="center" vertical="center" wrapText="1"/>
    </xf>
    <xf numFmtId="0" fontId="0" fillId="0" borderId="4" xfId="0" applyBorder="1" applyAlignment="1">
      <alignment horizontal="center" vertical="center" wrapText="1"/>
    </xf>
    <xf numFmtId="0" fontId="2" fillId="0" borderId="2" xfId="0" applyFont="1" applyBorder="1" applyAlignment="1">
      <alignment horizontal="center" vertical="center"/>
    </xf>
    <xf numFmtId="0" fontId="0" fillId="0" borderId="0" xfId="0" applyAlignment="1">
      <alignment horizontal="center" vertical="center" wrapText="1"/>
    </xf>
    <xf numFmtId="0" fontId="2" fillId="0" borderId="0" xfId="0" applyFont="1" applyAlignment="1">
      <alignment horizontal="center" vertical="center" wrapText="1"/>
    </xf>
    <xf numFmtId="0" fontId="0" fillId="0" borderId="12" xfId="0" applyBorder="1" applyAlignment="1">
      <alignment horizontal="center"/>
    </xf>
    <xf numFmtId="0" fontId="2" fillId="25" borderId="0" xfId="0" applyFont="1" applyFill="1"/>
    <xf numFmtId="0" fontId="1" fillId="25" borderId="0" xfId="0" applyFont="1" applyFill="1"/>
    <xf numFmtId="0" fontId="0" fillId="24" borderId="0" xfId="0" applyFill="1"/>
    <xf numFmtId="0" fontId="23" fillId="0" borderId="0" xfId="0" applyFont="1" applyAlignment="1">
      <alignment horizontal="center" vertical="center"/>
    </xf>
    <xf numFmtId="0" fontId="23" fillId="0" borderId="0" xfId="0" applyFont="1" applyAlignment="1">
      <alignment horizontal="center"/>
    </xf>
    <xf numFmtId="0" fontId="23" fillId="0" borderId="0" xfId="0" applyFont="1"/>
    <xf numFmtId="9" fontId="0" fillId="35" borderId="0" xfId="0" applyNumberFormat="1" applyFill="1" applyAlignment="1">
      <alignment horizontal="center"/>
    </xf>
    <xf numFmtId="9" fontId="0" fillId="34" borderId="0" xfId="0" applyNumberFormat="1" applyFill="1" applyAlignment="1">
      <alignment horizontal="center"/>
    </xf>
    <xf numFmtId="9" fontId="0" fillId="36" borderId="0" xfId="0" applyNumberFormat="1" applyFill="1" applyAlignment="1">
      <alignment horizontal="center"/>
    </xf>
    <xf numFmtId="9" fontId="0" fillId="37" borderId="0" xfId="0" applyNumberFormat="1" applyFill="1" applyAlignment="1">
      <alignment horizontal="center"/>
    </xf>
    <xf numFmtId="9" fontId="0" fillId="5" borderId="0" xfId="0" applyNumberFormat="1" applyFill="1" applyAlignment="1">
      <alignment horizontal="center"/>
    </xf>
    <xf numFmtId="9" fontId="0" fillId="38" borderId="0" xfId="0" applyNumberFormat="1" applyFill="1" applyAlignment="1">
      <alignment horizontal="center"/>
    </xf>
    <xf numFmtId="9" fontId="0" fillId="18" borderId="0" xfId="0" applyNumberFormat="1" applyFill="1" applyAlignment="1">
      <alignment horizontal="center"/>
    </xf>
    <xf numFmtId="0" fontId="0" fillId="39" borderId="2" xfId="0" applyFill="1" applyBorder="1" applyAlignment="1">
      <alignment horizontal="center" vertical="center"/>
    </xf>
    <xf numFmtId="0" fontId="0" fillId="34" borderId="0" xfId="0" applyFill="1" applyAlignment="1">
      <alignment horizontal="left" vertical="center"/>
    </xf>
    <xf numFmtId="0" fontId="0" fillId="8" borderId="0" xfId="0" applyFill="1" applyAlignment="1">
      <alignment horizontal="left" vertical="center"/>
    </xf>
    <xf numFmtId="9" fontId="0" fillId="0" borderId="0" xfId="0" applyNumberFormat="1"/>
    <xf numFmtId="0" fontId="0" fillId="0" borderId="7" xfId="0" applyBorder="1" applyAlignment="1">
      <alignment horizontal="center" vertical="center"/>
    </xf>
    <xf numFmtId="175" fontId="0" fillId="0" borderId="0" xfId="0" applyNumberFormat="1"/>
    <xf numFmtId="175" fontId="0" fillId="0" borderId="14" xfId="0" applyNumberFormat="1" applyBorder="1" applyAlignment="1">
      <alignment horizontal="center"/>
    </xf>
    <xf numFmtId="0" fontId="0" fillId="0" borderId="15" xfId="0" applyBorder="1" applyAlignment="1">
      <alignment horizontal="center"/>
    </xf>
    <xf numFmtId="164" fontId="0" fillId="0" borderId="0" xfId="0" applyNumberFormat="1" applyAlignment="1">
      <alignment horizontal="center"/>
    </xf>
    <xf numFmtId="175" fontId="0" fillId="0" borderId="0" xfId="0" applyNumberFormat="1" applyAlignment="1">
      <alignment horizontal="center"/>
    </xf>
    <xf numFmtId="14" fontId="0" fillId="0" borderId="2" xfId="0" applyNumberFormat="1" applyBorder="1"/>
    <xf numFmtId="14" fontId="0" fillId="0" borderId="0" xfId="0" applyNumberFormat="1" applyProtection="1">
      <protection locked="0"/>
    </xf>
    <xf numFmtId="0" fontId="0" fillId="0" borderId="27" xfId="0" applyBorder="1" applyAlignment="1">
      <alignment horizontal="center"/>
    </xf>
    <xf numFmtId="0" fontId="0" fillId="0" borderId="17" xfId="0" applyBorder="1" applyAlignment="1">
      <alignment horizontal="center"/>
    </xf>
    <xf numFmtId="22" fontId="0" fillId="0" borderId="0" xfId="0" applyNumberFormat="1"/>
    <xf numFmtId="166" fontId="2" fillId="0" borderId="2" xfId="0" applyNumberFormat="1" applyFont="1" applyBorder="1" applyAlignment="1">
      <alignment horizontal="center"/>
    </xf>
    <xf numFmtId="176" fontId="0" fillId="0" borderId="0" xfId="0" applyNumberFormat="1" applyAlignment="1">
      <alignment horizontal="left"/>
    </xf>
    <xf numFmtId="10" fontId="0" fillId="4" borderId="2" xfId="0" applyNumberFormat="1" applyFill="1" applyBorder="1" applyAlignment="1">
      <alignment horizontal="center" vertical="center"/>
    </xf>
    <xf numFmtId="2" fontId="0" fillId="0" borderId="2" xfId="0" applyNumberFormat="1" applyBorder="1" applyAlignment="1">
      <alignment horizontal="center"/>
    </xf>
    <xf numFmtId="177" fontId="0" fillId="0" borderId="0" xfId="0" applyNumberFormat="1"/>
    <xf numFmtId="178" fontId="0" fillId="0" borderId="0" xfId="0" applyNumberFormat="1" applyAlignment="1" applyProtection="1">
      <alignment horizontal="center"/>
      <protection locked="0"/>
    </xf>
    <xf numFmtId="179" fontId="0" fillId="0" borderId="0" xfId="0" applyNumberFormat="1"/>
    <xf numFmtId="180" fontId="0" fillId="0" borderId="2" xfId="0" applyNumberFormat="1" applyBorder="1" applyAlignment="1">
      <alignment horizontal="center"/>
    </xf>
    <xf numFmtId="181" fontId="1" fillId="2" borderId="11" xfId="0" applyNumberFormat="1" applyFont="1" applyFill="1" applyBorder="1" applyAlignment="1" applyProtection="1">
      <alignment horizontal="center"/>
      <protection locked="0"/>
    </xf>
    <xf numFmtId="181" fontId="1" fillId="2" borderId="9" xfId="0" applyNumberFormat="1" applyFont="1" applyFill="1" applyBorder="1" applyAlignment="1">
      <alignment horizontal="center"/>
    </xf>
    <xf numFmtId="181" fontId="1" fillId="0" borderId="2" xfId="0" applyNumberFormat="1" applyFont="1" applyBorder="1" applyAlignment="1">
      <alignment horizontal="center"/>
    </xf>
    <xf numFmtId="181" fontId="1" fillId="0" borderId="8" xfId="0" applyNumberFormat="1" applyFont="1" applyBorder="1" applyAlignment="1">
      <alignment horizontal="center"/>
    </xf>
    <xf numFmtId="182" fontId="0" fillId="0" borderId="0" xfId="0" applyNumberFormat="1" applyAlignment="1">
      <alignment horizontal="center"/>
    </xf>
    <xf numFmtId="182" fontId="0" fillId="0" borderId="2" xfId="0" applyNumberFormat="1" applyBorder="1" applyAlignment="1">
      <alignment horizontal="center"/>
    </xf>
    <xf numFmtId="181" fontId="0" fillId="0" borderId="2" xfId="0" applyNumberFormat="1" applyBorder="1" applyAlignment="1">
      <alignment horizontal="center"/>
    </xf>
    <xf numFmtId="181" fontId="0" fillId="0" borderId="2" xfId="0" applyNumberFormat="1" applyBorder="1"/>
    <xf numFmtId="180" fontId="0" fillId="0" borderId="2" xfId="0" applyNumberFormat="1" applyBorder="1"/>
    <xf numFmtId="181" fontId="0" fillId="0" borderId="26" xfId="0" applyNumberFormat="1" applyBorder="1" applyAlignment="1">
      <alignment horizontal="center"/>
    </xf>
    <xf numFmtId="180" fontId="0" fillId="0" borderId="0" xfId="0" applyNumberFormat="1" applyAlignment="1">
      <alignment horizontal="center"/>
    </xf>
    <xf numFmtId="181" fontId="0" fillId="0" borderId="10" xfId="0" applyNumberFormat="1" applyBorder="1" applyAlignment="1" applyProtection="1">
      <alignment horizontal="center"/>
      <protection locked="0"/>
    </xf>
    <xf numFmtId="181" fontId="0" fillId="0" borderId="18" xfId="0" applyNumberFormat="1" applyBorder="1" applyAlignment="1">
      <alignment horizontal="center"/>
    </xf>
    <xf numFmtId="181" fontId="0" fillId="0" borderId="0" xfId="0" applyNumberFormat="1" applyAlignment="1">
      <alignment horizontal="center"/>
    </xf>
    <xf numFmtId="182" fontId="0" fillId="0" borderId="0" xfId="0" applyNumberFormat="1"/>
    <xf numFmtId="182" fontId="0" fillId="5" borderId="0" xfId="0" applyNumberFormat="1" applyFill="1"/>
    <xf numFmtId="182" fontId="0" fillId="25" borderId="0" xfId="0" applyNumberFormat="1" applyFill="1" applyAlignment="1">
      <alignment horizontal="center"/>
    </xf>
    <xf numFmtId="182" fontId="0" fillId="2" borderId="0" xfId="0" applyNumberFormat="1" applyFill="1" applyAlignment="1">
      <alignment horizontal="center"/>
    </xf>
    <xf numFmtId="4" fontId="0" fillId="0" borderId="2" xfId="0" applyNumberFormat="1" applyBorder="1" applyAlignment="1">
      <alignment horizontal="center" vertical="center"/>
    </xf>
    <xf numFmtId="183" fontId="0" fillId="0" borderId="0" xfId="0" applyNumberFormat="1"/>
    <xf numFmtId="0" fontId="0" fillId="0" borderId="28" xfId="0" applyBorder="1" applyAlignment="1" applyProtection="1">
      <alignment horizontal="center" vertical="center"/>
      <protection locked="0"/>
    </xf>
    <xf numFmtId="0" fontId="4" fillId="0" borderId="0" xfId="0" applyFont="1" applyAlignment="1">
      <alignment horizontal="center"/>
    </xf>
    <xf numFmtId="0" fontId="0" fillId="0" borderId="0" xfId="0" applyAlignment="1">
      <alignment horizontal="center" wrapText="1"/>
    </xf>
    <xf numFmtId="0" fontId="1" fillId="0" borderId="0" xfId="0" applyFont="1" applyAlignment="1">
      <alignment horizontal="center"/>
    </xf>
    <xf numFmtId="0" fontId="24" fillId="0" borderId="0" xfId="0" applyFont="1"/>
    <xf numFmtId="175" fontId="0" fillId="0" borderId="17" xfId="0" applyNumberFormat="1" applyBorder="1" applyAlignment="1">
      <alignment horizontal="center"/>
    </xf>
    <xf numFmtId="0" fontId="1" fillId="0" borderId="0" xfId="0" applyFont="1" applyAlignment="1">
      <alignment horizontal="center" vertical="center"/>
    </xf>
    <xf numFmtId="0" fontId="0" fillId="0" borderId="0" xfId="0" applyAlignment="1">
      <alignment horizontal="center"/>
    </xf>
  </cellXfs>
  <cellStyles count="3">
    <cellStyle name="Hyperlink" xfId="1" builtinId="8"/>
    <cellStyle name="Normal" xfId="0" builtinId="0"/>
    <cellStyle name="Normal 2" xfId="2" xr:uid="{1ABDAB70-5FF2-4F04-8A48-38B2DEB4AA9D}"/>
  </cellStyles>
  <dxfs count="225">
    <dxf>
      <numFmt numFmtId="177" formatCode="0.00&quot;$&quot;"/>
    </dxf>
    <dxf>
      <alignment horizontal="center" textRotation="0" wrapText="0" indent="0" justifyLastLine="0" shrinkToFit="0" readingOrder="0"/>
    </dxf>
    <dxf>
      <numFmt numFmtId="0" formatCode="General"/>
      <alignment horizontal="center" vertical="bottom" textRotation="0" wrapText="0" indent="0" justifyLastLine="0" shrinkToFit="0" readingOrder="0"/>
    </dxf>
    <dxf>
      <numFmt numFmtId="177" formatCode="0.00&quot;$&quot;"/>
    </dxf>
    <dxf>
      <alignment horizontal="center" textRotation="0" wrapText="0" indent="0" justifyLastLine="0" shrinkToFit="0" readingOrder="0"/>
    </dxf>
    <dxf>
      <numFmt numFmtId="177" formatCode="0.00&quot;$&quot;"/>
    </dxf>
    <dxf>
      <numFmt numFmtId="2" formatCode="0.00"/>
    </dxf>
    <dxf>
      <numFmt numFmtId="177" formatCode="0.00&quot;$&quot;"/>
    </dxf>
    <dxf>
      <numFmt numFmtId="175" formatCode="[$-409]mmmm"/>
    </dxf>
    <dxf>
      <border outline="0">
        <right style="thin">
          <color theme="4"/>
        </right>
      </border>
    </dxf>
    <dxf>
      <font>
        <b/>
        <i val="0"/>
        <strike val="0"/>
        <condense val="0"/>
        <extend val="0"/>
        <outline val="0"/>
        <shadow val="0"/>
        <u val="none"/>
        <vertAlign val="baseline"/>
        <sz val="9"/>
        <color theme="0"/>
        <name val="Arial"/>
        <family val="2"/>
        <scheme val="none"/>
      </font>
      <fill>
        <patternFill patternType="solid">
          <fgColor theme="4"/>
          <bgColor theme="4"/>
        </patternFill>
      </fill>
      <alignment horizontal="center" vertical="bottom" textRotation="0" wrapText="0" indent="0" justifyLastLine="0" shrinkToFit="0" readingOrder="0"/>
    </dxf>
    <dxf>
      <numFmt numFmtId="164" formatCode="#,##0.00\ [$$-C0C]"/>
    </dxf>
    <dxf>
      <numFmt numFmtId="0" formatCode="General"/>
    </dxf>
    <dxf>
      <numFmt numFmtId="0" formatCode="General"/>
    </dxf>
    <dxf>
      <numFmt numFmtId="168" formatCode="[$$-C0C]0.00"/>
    </dxf>
    <dxf>
      <numFmt numFmtId="175" formatCode="[$-409]mmmm"/>
    </dxf>
    <dxf>
      <border outline="0">
        <top style="thin">
          <color theme="4"/>
        </top>
      </border>
    </dxf>
    <dxf>
      <font>
        <b/>
        <i val="0"/>
        <strike val="0"/>
        <condense val="0"/>
        <extend val="0"/>
        <outline val="0"/>
        <shadow val="0"/>
        <u val="none"/>
        <vertAlign val="baseline"/>
        <sz val="9"/>
        <color theme="0"/>
        <name val="Arial"/>
        <family val="2"/>
        <scheme val="none"/>
      </font>
      <fill>
        <patternFill patternType="solid">
          <fgColor theme="4"/>
          <bgColor theme="4"/>
        </patternFill>
      </fill>
      <alignment horizontal="center" vertical="bottom" textRotation="0" wrapText="0" indent="0" justifyLastLine="0" shrinkToFit="0" readingOrder="0"/>
    </dxf>
    <dxf>
      <numFmt numFmtId="177" formatCode="0.00&quot;$&quot;"/>
    </dxf>
    <dxf>
      <alignment horizontal="center" textRotation="0" wrapText="0" indent="0" justifyLastLine="0" shrinkToFit="0" readingOrder="0"/>
    </dxf>
    <dxf>
      <numFmt numFmtId="0" formatCode="General"/>
      <alignment horizontal="center" vertical="bottom" textRotation="0" wrapText="0" indent="0" justifyLastLine="0" shrinkToFit="0" readingOrder="0"/>
    </dxf>
    <dxf>
      <numFmt numFmtId="177" formatCode="0.00&quot;$&quot;"/>
    </dxf>
    <dxf>
      <alignment horizontal="center" textRotation="0" wrapText="0" indent="0" justifyLastLine="0" shrinkToFit="0" readingOrder="0"/>
    </dxf>
    <dxf>
      <numFmt numFmtId="177" formatCode="0.00&quot;$&quot;"/>
    </dxf>
    <dxf>
      <numFmt numFmtId="2" formatCode="0.00"/>
    </dxf>
    <dxf>
      <numFmt numFmtId="177" formatCode="0.00&quot;$&quot;"/>
    </dxf>
    <dxf>
      <numFmt numFmtId="175" formatCode="[$-409]mmmm"/>
    </dxf>
    <dxf>
      <border outline="0">
        <right style="thin">
          <color theme="4"/>
        </right>
      </border>
    </dxf>
    <dxf>
      <font>
        <b/>
        <i val="0"/>
        <strike val="0"/>
        <condense val="0"/>
        <extend val="0"/>
        <outline val="0"/>
        <shadow val="0"/>
        <u val="none"/>
        <vertAlign val="baseline"/>
        <sz val="9"/>
        <color theme="0"/>
        <name val="Arial"/>
        <family val="2"/>
        <scheme val="none"/>
      </font>
      <fill>
        <patternFill patternType="solid">
          <fgColor theme="4"/>
          <bgColor theme="4"/>
        </patternFill>
      </fill>
      <alignment horizontal="center" vertical="bottom" textRotation="0" wrapText="0" indent="0" justifyLastLine="0" shrinkToFit="0" readingOrder="0"/>
    </dxf>
    <dxf>
      <numFmt numFmtId="164" formatCode="#,##0.00\ [$$-C0C]"/>
    </dxf>
    <dxf>
      <numFmt numFmtId="0" formatCode="General"/>
    </dxf>
    <dxf>
      <numFmt numFmtId="0" formatCode="General"/>
    </dxf>
    <dxf>
      <numFmt numFmtId="168" formatCode="[$$-C0C]0.00"/>
    </dxf>
    <dxf>
      <numFmt numFmtId="175" formatCode="[$-409]mmmm"/>
    </dxf>
    <dxf>
      <border outline="0">
        <top style="thin">
          <color theme="4"/>
        </top>
      </border>
    </dxf>
    <dxf>
      <font>
        <b/>
        <i val="0"/>
        <strike val="0"/>
        <condense val="0"/>
        <extend val="0"/>
        <outline val="0"/>
        <shadow val="0"/>
        <u val="none"/>
        <vertAlign val="baseline"/>
        <sz val="9"/>
        <color theme="0"/>
        <name val="Arial"/>
        <family val="2"/>
        <scheme val="none"/>
      </font>
      <fill>
        <patternFill patternType="solid">
          <fgColor theme="4"/>
          <bgColor theme="4"/>
        </patternFill>
      </fill>
      <alignment horizontal="center" vertical="bottom" textRotation="0" wrapText="0" indent="0" justifyLastLine="0" shrinkToFit="0" readingOrder="0"/>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numFmt numFmtId="182" formatCode="#\ ##0\ &quot;$&quot;"/>
    </dxf>
    <dxf>
      <numFmt numFmtId="182" formatCode="#\ ##0\ &quot;$&quot;"/>
    </dxf>
    <dxf>
      <numFmt numFmtId="182" formatCode="#\ ##0\ &quot;$&quot;"/>
    </dxf>
    <dxf>
      <alignment horizontal="center" vertical="bottom" textRotation="0" wrapText="0" indent="0" justifyLastLine="0" shrinkToFit="0" readingOrder="0"/>
    </dxf>
    <dxf>
      <numFmt numFmtId="167" formatCode="#,##0\ &quot;$&quot;"/>
    </dxf>
    <dxf>
      <numFmt numFmtId="182" formatCode="#\ ##0\ &quot;$&quot;"/>
    </dxf>
    <dxf>
      <numFmt numFmtId="182" formatCode="#\ ##0\ &quot;$&quot;"/>
    </dxf>
    <dxf>
      <numFmt numFmtId="182" formatCode="#\ ##0\ &quot;$&quot;"/>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78" formatCode="#\ ###\ ###\ ###\ ##0\ &quot;$&quot;"/>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78" formatCode="#\ ###\ ###\ ###\ ##0\ &quot;$&quot;"/>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protection locked="0" hidden="0"/>
    </dxf>
    <dxf>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outline val="0"/>
        <shadow val="0"/>
        <u val="none"/>
        <vertAlign val="baseline"/>
        <sz val="9"/>
        <color theme="1"/>
        <name val="Arial"/>
        <family val="2"/>
        <scheme val="none"/>
      </font>
      <alignment horizontal="center" vertical="bottom" textRotation="0" wrapText="0" indent="0" justifyLastLine="0" shrinkToFit="0" readingOrder="0"/>
    </dxf>
    <dxf>
      <font>
        <b val="0"/>
        <i val="0"/>
        <strike val="0"/>
        <outline val="0"/>
        <shadow val="0"/>
        <u val="none"/>
        <vertAlign val="baseline"/>
        <sz val="9"/>
        <color theme="1"/>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9"/>
        <color theme="8" tint="-0.249977111117893"/>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9"/>
        <color theme="8" tint="0.79998168889431442"/>
        <name val="Arial"/>
        <family val="2"/>
        <scheme val="none"/>
      </font>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9"/>
        <color rgb="FFFF0000"/>
        <name val="Arial"/>
        <family val="2"/>
        <scheme val="none"/>
      </font>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3999755851924192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249977111117893"/>
        </patternFill>
      </fill>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5" tint="-0.49998474074526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7"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7"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7" tint="0.3999755851924192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9"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9"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border diagonalUp="0" diagonalDown="0">
        <left style="thin">
          <color theme="4"/>
        </left>
        <right/>
        <top style="thin">
          <color theme="4"/>
        </top>
        <bottom/>
      </border>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border diagonalUp="0" diagonalDown="0">
        <left style="thin">
          <color theme="4"/>
        </left>
        <right/>
        <top style="thin">
          <color theme="4"/>
        </top>
        <bottom/>
      </border>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border diagonalUp="0" diagonalDown="0">
        <left style="thin">
          <color theme="4"/>
        </left>
        <right/>
        <top style="thin">
          <color theme="4"/>
        </top>
        <bottom/>
      </border>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border diagonalUp="0" diagonalDown="0">
        <left style="thin">
          <color theme="4"/>
        </left>
        <right/>
        <top style="thin">
          <color theme="4"/>
        </top>
        <bottom/>
      </border>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border diagonalUp="0" diagonalDown="0">
        <left style="thin">
          <color theme="4"/>
        </left>
        <right/>
        <top style="thin">
          <color theme="4"/>
        </top>
        <bottom/>
      </border>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9"/>
        <color theme="1"/>
        <name val="Arial"/>
        <family val="2"/>
        <scheme val="none"/>
      </font>
      <numFmt numFmtId="175" formatCode="[$-409]mmmm"/>
      <alignment horizontal="center" vertical="bottom" textRotation="0" wrapText="0" indent="0" justifyLastLine="0" shrinkToFit="0" readingOrder="0"/>
      <border diagonalUp="0" diagonalDown="0" outline="0">
        <left style="thin">
          <color theme="4"/>
        </left>
        <right/>
        <top style="thin">
          <color theme="4"/>
        </top>
        <bottom/>
      </border>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border diagonalUp="0" diagonalDown="0" outline="0">
        <left style="thin">
          <color theme="4"/>
        </left>
        <right style="thin">
          <color theme="4"/>
        </right>
        <top style="thin">
          <color theme="4"/>
        </top>
        <bottom/>
      </border>
    </dxf>
    <dxf>
      <border outline="0">
        <right style="thin">
          <color theme="4"/>
        </right>
      </border>
    </dxf>
    <dxf>
      <font>
        <b val="0"/>
        <i val="0"/>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theme="4"/>
          <bgColor theme="4"/>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27" formatCode="yyyy/mm/dd\ hh:mm"/>
    </dxf>
    <dxf>
      <font>
        <strike val="0"/>
        <outline val="0"/>
        <shadow val="0"/>
        <u val="none"/>
        <vertAlign val="baseline"/>
        <sz val="9"/>
        <color theme="1"/>
        <name val="Arial"/>
        <family val="2"/>
        <scheme val="none"/>
      </font>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81" formatCode="#\ ##0.00\ &quot;$&quot;"/>
    </dxf>
    <dxf>
      <font>
        <b val="0"/>
        <i val="0"/>
        <strike val="0"/>
        <condense val="0"/>
        <extend val="0"/>
        <outline val="0"/>
        <shadow val="0"/>
        <u val="none"/>
        <vertAlign val="baseline"/>
        <sz val="9"/>
        <color theme="1"/>
        <name val="Arial"/>
        <family val="2"/>
        <scheme val="none"/>
      </font>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color theme="1"/>
      </font>
      <border diagonalUp="0" diagonalDown="0">
        <left/>
        <right/>
        <top/>
        <bottom/>
        <vertical/>
        <horizontal/>
      </border>
    </dxf>
    <dxf>
      <font>
        <color theme="1"/>
      </font>
      <fill>
        <patternFill>
          <fgColor theme="1"/>
          <bgColor theme="1"/>
        </patternFill>
      </fill>
      <border diagonalUp="0" diagonalDown="0">
        <left/>
        <right/>
        <top/>
        <bottom/>
        <vertical/>
        <horizontal/>
      </border>
    </dxf>
    <dxf>
      <font>
        <b/>
        <color theme="1"/>
      </font>
      <border>
        <bottom style="thin">
          <color theme="4"/>
        </bottom>
        <vertical/>
        <horizontal/>
      </border>
    </dxf>
    <dxf>
      <font>
        <color theme="1"/>
      </font>
      <fill>
        <patternFill>
          <bgColor theme="1"/>
        </patternFill>
      </fill>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4" defaultTableStyle="TableStyleMedium2" defaultPivotStyle="PivotStyleLight16">
    <tableStyle name="SlicerStyleLight1 2" pivot="0" table="0" count="10" xr9:uid="{FA2A4CF0-18B0-4288-A582-7799BD5D3EF1}">
      <tableStyleElement type="wholeTable" dxfId="224"/>
      <tableStyleElement type="headerRow" dxfId="223"/>
    </tableStyle>
    <tableStyle name="SlicerStyleLight1 2 2" pivot="0" table="0" count="10" xr9:uid="{4A475E73-6385-4BDB-8915-9F7EB7402DE1}">
      <tableStyleElement type="wholeTable" dxfId="222"/>
      <tableStyleElement type="headerRow" dxfId="221"/>
    </tableStyle>
    <tableStyle name="SlicerStyleLight1 2 2 2" pivot="0" table="0" count="10" xr9:uid="{691CA590-60C2-4D27-A5A7-0D4CF6DD68F0}">
      <tableStyleElement type="wholeTable" dxfId="220"/>
      <tableStyleElement type="headerRow" dxfId="219"/>
    </tableStyle>
    <tableStyle name="SlicerStyleLight1 2 2 2 2" pivot="0" table="0" count="10" xr9:uid="{CEAC555D-F445-4484-AF11-23A3D0A13211}">
      <tableStyleElement type="wholeTable" dxfId="218"/>
      <tableStyleElement type="headerRow" dxfId="217"/>
    </tableStyle>
  </tableStyles>
  <colors>
    <mruColors>
      <color rgb="FFAADCD7"/>
      <color rgb="FFA9FEFB"/>
      <color rgb="FF4CFEED"/>
      <color rgb="FFDA0000"/>
      <color rgb="FFFF7575"/>
      <color rgb="FFFF6161"/>
      <color rgb="FF02E8D2"/>
      <color rgb="FFFF6565"/>
      <color rgb="FFFF6969"/>
      <color rgb="FFFF5050"/>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AADCD7"/>
          </font>
          <fill>
            <patternFill patternType="solid">
              <fgColor theme="4" tint="0.59999389629810485"/>
              <bgColor theme="1"/>
            </patternFill>
          </fill>
          <border>
            <left style="thin">
              <color rgb="FFAADCD7"/>
            </left>
            <right style="thin">
              <color rgb="FFAADCD7"/>
            </right>
            <top style="thin">
              <color rgb="FFAADCD7"/>
            </top>
            <bottom style="thin">
              <color rgb="FFAADCD7"/>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24994659260841701"/>
          </font>
          <fill>
            <patternFill patternType="solid">
              <fgColor rgb="FFFFFFFF"/>
              <bgColor theme="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AADCD7"/>
          </font>
          <fill>
            <patternFill patternType="solid">
              <fgColor theme="4" tint="0.59999389629810485"/>
              <bgColor theme="1"/>
            </patternFill>
          </fill>
          <border>
            <left style="thin">
              <color rgb="FFAADCD7"/>
            </left>
            <right style="thin">
              <color rgb="FFAADCD7"/>
            </right>
            <top style="thin">
              <color rgb="FFAADCD7"/>
            </top>
            <bottom style="thin">
              <color rgb="FFAADCD7"/>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24994659260841701"/>
          </font>
          <fill>
            <patternFill patternType="solid">
              <fgColor rgb="FFFFFFFF"/>
              <bgColor theme="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AADCD7"/>
          </font>
          <fill>
            <patternFill patternType="solid">
              <fgColor theme="4" tint="0.59999389629810485"/>
              <bgColor theme="1"/>
            </patternFill>
          </fill>
          <border>
            <left style="thin">
              <color rgb="FFAADCD7"/>
            </left>
            <right style="thin">
              <color rgb="FFAADCD7"/>
            </right>
            <top style="thin">
              <color rgb="FFAADCD7"/>
            </top>
            <bottom style="thin">
              <color rgb="FFAADCD7"/>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24994659260841701"/>
          </font>
          <fill>
            <patternFill patternType="solid">
              <fgColor rgb="FFFFFFFF"/>
              <bgColor theme="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7.xml"/><Relationship Id="rId21" Type="http://schemas.openxmlformats.org/officeDocument/2006/relationships/pivotCacheDefinition" Target="pivotCache/pivotCacheDefinition3.xml"/><Relationship Id="rId42" Type="http://schemas.openxmlformats.org/officeDocument/2006/relationships/pivotCacheDefinition" Target="pivotCache/pivotCacheDefinition24.xml"/><Relationship Id="rId47" Type="http://schemas.openxmlformats.org/officeDocument/2006/relationships/pivotCacheDefinition" Target="pivotCache/pivotCacheDefinition29.xml"/><Relationship Id="rId63" Type="http://schemas.microsoft.com/office/2007/relationships/slicerCache" Target="slicerCaches/slicerCache7.xml"/><Relationship Id="rId68" Type="http://schemas.microsoft.com/office/2007/relationships/slicerCache" Target="slicerCaches/slicerCache12.xml"/><Relationship Id="rId84" Type="http://schemas.openxmlformats.org/officeDocument/2006/relationships/connections" Target="connections.xml"/><Relationship Id="rId89" Type="http://schemas.microsoft.com/office/2017/10/relationships/person" Target="persons/person.xml"/><Relationship Id="rId112" Type="http://schemas.openxmlformats.org/officeDocument/2006/relationships/customXml" Target="../customXml/item22.xml"/><Relationship Id="rId16" Type="http://schemas.openxmlformats.org/officeDocument/2006/relationships/worksheet" Target="worksheets/sheet16.xml"/><Relationship Id="rId107" Type="http://schemas.openxmlformats.org/officeDocument/2006/relationships/customXml" Target="../customXml/item17.xml"/><Relationship Id="rId11" Type="http://schemas.openxmlformats.org/officeDocument/2006/relationships/worksheet" Target="worksheets/sheet11.xml"/><Relationship Id="rId32" Type="http://schemas.openxmlformats.org/officeDocument/2006/relationships/pivotCacheDefinition" Target="pivotCache/pivotCacheDefinition14.xml"/><Relationship Id="rId37" Type="http://schemas.openxmlformats.org/officeDocument/2006/relationships/pivotCacheDefinition" Target="pivotCache/pivotCacheDefinition19.xml"/><Relationship Id="rId53" Type="http://schemas.openxmlformats.org/officeDocument/2006/relationships/pivotCacheDefinition" Target="pivotCache/pivotCacheDefinition35.xml"/><Relationship Id="rId58" Type="http://schemas.microsoft.com/office/2007/relationships/slicerCache" Target="slicerCaches/slicerCache2.xml"/><Relationship Id="rId74" Type="http://schemas.microsoft.com/office/2007/relationships/slicerCache" Target="slicerCaches/slicerCache18.xml"/><Relationship Id="rId79" Type="http://schemas.microsoft.com/office/2007/relationships/slicerCache" Target="slicerCaches/slicerCache23.xml"/><Relationship Id="rId102" Type="http://schemas.openxmlformats.org/officeDocument/2006/relationships/customXml" Target="../customXml/item12.xml"/><Relationship Id="rId123" Type="http://schemas.openxmlformats.org/officeDocument/2006/relationships/customXml" Target="../customXml/item33.xml"/><Relationship Id="rId128" Type="http://schemas.openxmlformats.org/officeDocument/2006/relationships/customXml" Target="../customXml/item38.xml"/><Relationship Id="rId5" Type="http://schemas.openxmlformats.org/officeDocument/2006/relationships/worksheet" Target="worksheets/sheet5.xml"/><Relationship Id="rId90" Type="http://schemas.openxmlformats.org/officeDocument/2006/relationships/calcChain" Target="calcChain.xml"/><Relationship Id="rId95" Type="http://schemas.openxmlformats.org/officeDocument/2006/relationships/customXml" Target="../customXml/item5.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43" Type="http://schemas.openxmlformats.org/officeDocument/2006/relationships/pivotCacheDefinition" Target="pivotCache/pivotCacheDefinition25.xml"/><Relationship Id="rId48" Type="http://schemas.openxmlformats.org/officeDocument/2006/relationships/pivotCacheDefinition" Target="pivotCache/pivotCacheDefinition30.xml"/><Relationship Id="rId64" Type="http://schemas.microsoft.com/office/2007/relationships/slicerCache" Target="slicerCaches/slicerCache8.xml"/><Relationship Id="rId69" Type="http://schemas.microsoft.com/office/2007/relationships/slicerCache" Target="slicerCaches/slicerCache13.xml"/><Relationship Id="rId113" Type="http://schemas.openxmlformats.org/officeDocument/2006/relationships/customXml" Target="../customXml/item23.xml"/><Relationship Id="rId118" Type="http://schemas.openxmlformats.org/officeDocument/2006/relationships/customXml" Target="../customXml/item28.xml"/><Relationship Id="rId80" Type="http://schemas.microsoft.com/office/2007/relationships/slicerCache" Target="slicerCaches/slicerCache24.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pivotCacheDefinition" Target="pivotCache/pivotCacheDefinition15.xml"/><Relationship Id="rId38" Type="http://schemas.openxmlformats.org/officeDocument/2006/relationships/pivotCacheDefinition" Target="pivotCache/pivotCacheDefinition20.xml"/><Relationship Id="rId59" Type="http://schemas.microsoft.com/office/2007/relationships/slicerCache" Target="slicerCaches/slicerCache3.xml"/><Relationship Id="rId103" Type="http://schemas.openxmlformats.org/officeDocument/2006/relationships/customXml" Target="../customXml/item13.xml"/><Relationship Id="rId108" Type="http://schemas.openxmlformats.org/officeDocument/2006/relationships/customXml" Target="../customXml/item18.xml"/><Relationship Id="rId124" Type="http://schemas.openxmlformats.org/officeDocument/2006/relationships/customXml" Target="../customXml/item34.xml"/><Relationship Id="rId129" Type="http://schemas.openxmlformats.org/officeDocument/2006/relationships/customXml" Target="../customXml/item39.xml"/><Relationship Id="rId54" Type="http://schemas.openxmlformats.org/officeDocument/2006/relationships/pivotCacheDefinition" Target="pivotCache/pivotCacheDefinition36.xml"/><Relationship Id="rId70" Type="http://schemas.microsoft.com/office/2007/relationships/slicerCache" Target="slicerCaches/slicerCache14.xml"/><Relationship Id="rId75" Type="http://schemas.microsoft.com/office/2007/relationships/slicerCache" Target="slicerCaches/slicerCache19.xml"/><Relationship Id="rId91" Type="http://schemas.openxmlformats.org/officeDocument/2006/relationships/customXml" Target="../customXml/item1.xml"/><Relationship Id="rId9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49" Type="http://schemas.openxmlformats.org/officeDocument/2006/relationships/pivotCacheDefinition" Target="pivotCache/pivotCacheDefinition31.xml"/><Relationship Id="rId114" Type="http://schemas.openxmlformats.org/officeDocument/2006/relationships/customXml" Target="../customXml/item24.xml"/><Relationship Id="rId119" Type="http://schemas.openxmlformats.org/officeDocument/2006/relationships/customXml" Target="../customXml/item29.xml"/><Relationship Id="rId44" Type="http://schemas.openxmlformats.org/officeDocument/2006/relationships/pivotCacheDefinition" Target="pivotCache/pivotCacheDefinition26.xml"/><Relationship Id="rId60" Type="http://schemas.microsoft.com/office/2007/relationships/slicerCache" Target="slicerCaches/slicerCache4.xml"/><Relationship Id="rId65" Type="http://schemas.microsoft.com/office/2007/relationships/slicerCache" Target="slicerCaches/slicerCache9.xml"/><Relationship Id="rId81" Type="http://schemas.microsoft.com/office/2007/relationships/slicerCache" Target="slicerCaches/slicerCache25.xml"/><Relationship Id="rId86" Type="http://schemas.openxmlformats.org/officeDocument/2006/relationships/sharedStrings" Target="sharedStrings.xml"/><Relationship Id="rId130" Type="http://schemas.openxmlformats.org/officeDocument/2006/relationships/customXml" Target="../customXml/item40.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21.xml"/><Relationship Id="rId109" Type="http://schemas.openxmlformats.org/officeDocument/2006/relationships/customXml" Target="../customXml/item19.xml"/><Relationship Id="rId34" Type="http://schemas.openxmlformats.org/officeDocument/2006/relationships/pivotCacheDefinition" Target="pivotCache/pivotCacheDefinition16.xml"/><Relationship Id="rId50" Type="http://schemas.openxmlformats.org/officeDocument/2006/relationships/pivotCacheDefinition" Target="pivotCache/pivotCacheDefinition32.xml"/><Relationship Id="rId55" Type="http://schemas.openxmlformats.org/officeDocument/2006/relationships/pivotCacheDefinition" Target="pivotCache/pivotCacheDefinition37.xml"/><Relationship Id="rId76" Type="http://schemas.microsoft.com/office/2007/relationships/slicerCache" Target="slicerCaches/slicerCache20.xml"/><Relationship Id="rId97" Type="http://schemas.openxmlformats.org/officeDocument/2006/relationships/customXml" Target="../customXml/item7.xml"/><Relationship Id="rId104" Type="http://schemas.openxmlformats.org/officeDocument/2006/relationships/customXml" Target="../customXml/item14.xml"/><Relationship Id="rId120" Type="http://schemas.openxmlformats.org/officeDocument/2006/relationships/customXml" Target="../customXml/item30.xml"/><Relationship Id="rId125" Type="http://schemas.openxmlformats.org/officeDocument/2006/relationships/customXml" Target="../customXml/item35.xml"/><Relationship Id="rId7" Type="http://schemas.openxmlformats.org/officeDocument/2006/relationships/worksheet" Target="worksheets/sheet7.xml"/><Relationship Id="rId71" Type="http://schemas.microsoft.com/office/2007/relationships/slicerCache" Target="slicerCaches/slicerCache15.xml"/><Relationship Id="rId92" Type="http://schemas.openxmlformats.org/officeDocument/2006/relationships/customXml" Target="../customXml/item2.xml"/><Relationship Id="rId2" Type="http://schemas.openxmlformats.org/officeDocument/2006/relationships/worksheet" Target="worksheets/sheet2.xml"/><Relationship Id="rId29" Type="http://schemas.openxmlformats.org/officeDocument/2006/relationships/pivotCacheDefinition" Target="pivotCache/pivotCacheDefinition11.xml"/><Relationship Id="rId24" Type="http://schemas.openxmlformats.org/officeDocument/2006/relationships/pivotCacheDefinition" Target="pivotCache/pivotCacheDefinition6.xml"/><Relationship Id="rId40" Type="http://schemas.openxmlformats.org/officeDocument/2006/relationships/pivotCacheDefinition" Target="pivotCache/pivotCacheDefinition22.xml"/><Relationship Id="rId45" Type="http://schemas.openxmlformats.org/officeDocument/2006/relationships/pivotCacheDefinition" Target="pivotCache/pivotCacheDefinition27.xml"/><Relationship Id="rId66" Type="http://schemas.microsoft.com/office/2007/relationships/slicerCache" Target="slicerCaches/slicerCache10.xml"/><Relationship Id="rId87" Type="http://schemas.openxmlformats.org/officeDocument/2006/relationships/sheetMetadata" Target="metadata.xml"/><Relationship Id="rId110" Type="http://schemas.openxmlformats.org/officeDocument/2006/relationships/customXml" Target="../customXml/item20.xml"/><Relationship Id="rId115" Type="http://schemas.openxmlformats.org/officeDocument/2006/relationships/customXml" Target="../customXml/item25.xml"/><Relationship Id="rId131" Type="http://schemas.microsoft.com/office/2006/relationships/vbaProject" Target="vbaProject.bin"/><Relationship Id="rId61" Type="http://schemas.microsoft.com/office/2007/relationships/slicerCache" Target="slicerCaches/slicerCache5.xml"/><Relationship Id="rId82" Type="http://schemas.microsoft.com/office/2007/relationships/slicerCache" Target="slicerCaches/slicerCache26.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30" Type="http://schemas.openxmlformats.org/officeDocument/2006/relationships/pivotCacheDefinition" Target="pivotCache/pivotCacheDefinition12.xml"/><Relationship Id="rId35" Type="http://schemas.openxmlformats.org/officeDocument/2006/relationships/pivotCacheDefinition" Target="pivotCache/pivotCacheDefinition17.xml"/><Relationship Id="rId56" Type="http://schemas.openxmlformats.org/officeDocument/2006/relationships/pivotCacheDefinition" Target="pivotCache/pivotCacheDefinition38.xml"/><Relationship Id="rId77" Type="http://schemas.microsoft.com/office/2007/relationships/slicerCache" Target="slicerCaches/slicerCache21.xml"/><Relationship Id="rId100" Type="http://schemas.openxmlformats.org/officeDocument/2006/relationships/customXml" Target="../customXml/item10.xml"/><Relationship Id="rId105" Type="http://schemas.openxmlformats.org/officeDocument/2006/relationships/customXml" Target="../customXml/item15.xml"/><Relationship Id="rId126" Type="http://schemas.openxmlformats.org/officeDocument/2006/relationships/customXml" Target="../customXml/item36.xml"/><Relationship Id="rId8" Type="http://schemas.openxmlformats.org/officeDocument/2006/relationships/worksheet" Target="worksheets/sheet8.xml"/><Relationship Id="rId51" Type="http://schemas.openxmlformats.org/officeDocument/2006/relationships/pivotCacheDefinition" Target="pivotCache/pivotCacheDefinition33.xml"/><Relationship Id="rId72" Type="http://schemas.microsoft.com/office/2007/relationships/slicerCache" Target="slicerCaches/slicerCache16.xml"/><Relationship Id="rId93" Type="http://schemas.openxmlformats.org/officeDocument/2006/relationships/customXml" Target="../customXml/item3.xml"/><Relationship Id="rId98" Type="http://schemas.openxmlformats.org/officeDocument/2006/relationships/customXml" Target="../customXml/item8.xml"/><Relationship Id="rId121" Type="http://schemas.openxmlformats.org/officeDocument/2006/relationships/customXml" Target="../customXml/item31.xml"/><Relationship Id="rId3" Type="http://schemas.openxmlformats.org/officeDocument/2006/relationships/worksheet" Target="worksheets/sheet3.xml"/><Relationship Id="rId25" Type="http://schemas.openxmlformats.org/officeDocument/2006/relationships/pivotCacheDefinition" Target="pivotCache/pivotCacheDefinition7.xml"/><Relationship Id="rId46" Type="http://schemas.openxmlformats.org/officeDocument/2006/relationships/pivotCacheDefinition" Target="pivotCache/pivotCacheDefinition28.xml"/><Relationship Id="rId67" Type="http://schemas.microsoft.com/office/2007/relationships/slicerCache" Target="slicerCaches/slicerCache11.xml"/><Relationship Id="rId116" Type="http://schemas.openxmlformats.org/officeDocument/2006/relationships/customXml" Target="../customXml/item26.xml"/><Relationship Id="rId20" Type="http://schemas.openxmlformats.org/officeDocument/2006/relationships/pivotCacheDefinition" Target="pivotCache/pivotCacheDefinition2.xml"/><Relationship Id="rId41" Type="http://schemas.openxmlformats.org/officeDocument/2006/relationships/pivotCacheDefinition" Target="pivotCache/pivotCacheDefinition23.xml"/><Relationship Id="rId62" Type="http://schemas.microsoft.com/office/2007/relationships/slicerCache" Target="slicerCaches/slicerCache6.xml"/><Relationship Id="rId83" Type="http://schemas.openxmlformats.org/officeDocument/2006/relationships/theme" Target="theme/theme1.xml"/><Relationship Id="rId88" Type="http://schemas.openxmlformats.org/officeDocument/2006/relationships/powerPivotData" Target="model/item.data"/><Relationship Id="rId111" Type="http://schemas.openxmlformats.org/officeDocument/2006/relationships/customXml" Target="../customXml/item21.xml"/><Relationship Id="rId15" Type="http://schemas.openxmlformats.org/officeDocument/2006/relationships/worksheet" Target="worksheets/sheet15.xml"/><Relationship Id="rId36" Type="http://schemas.openxmlformats.org/officeDocument/2006/relationships/pivotCacheDefinition" Target="pivotCache/pivotCacheDefinition18.xml"/><Relationship Id="rId57" Type="http://schemas.microsoft.com/office/2007/relationships/slicerCache" Target="slicerCaches/slicerCache1.xml"/><Relationship Id="rId106" Type="http://schemas.openxmlformats.org/officeDocument/2006/relationships/customXml" Target="../customXml/item16.xml"/><Relationship Id="rId127" Type="http://schemas.openxmlformats.org/officeDocument/2006/relationships/customXml" Target="../customXml/item37.xml"/><Relationship Id="rId10" Type="http://schemas.openxmlformats.org/officeDocument/2006/relationships/worksheet" Target="worksheets/sheet10.xml"/><Relationship Id="rId31" Type="http://schemas.openxmlformats.org/officeDocument/2006/relationships/pivotCacheDefinition" Target="pivotCache/pivotCacheDefinition13.xml"/><Relationship Id="rId52" Type="http://schemas.openxmlformats.org/officeDocument/2006/relationships/pivotCacheDefinition" Target="pivotCache/pivotCacheDefinition34.xml"/><Relationship Id="rId73" Type="http://schemas.microsoft.com/office/2007/relationships/slicerCache" Target="slicerCaches/slicerCache17.xml"/><Relationship Id="rId78" Type="http://schemas.microsoft.com/office/2007/relationships/slicerCache" Target="slicerCaches/slicerCache22.xml"/><Relationship Id="rId94" Type="http://schemas.openxmlformats.org/officeDocument/2006/relationships/customXml" Target="../customXml/item4.xml"/><Relationship Id="rId99" Type="http://schemas.openxmlformats.org/officeDocument/2006/relationships/customXml" Target="../customXml/item9.xml"/><Relationship Id="rId101" Type="http://schemas.openxmlformats.org/officeDocument/2006/relationships/customXml" Target="../customXml/item11.xml"/><Relationship Id="rId122"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pivotCacheDefinition" Target="pivotCache/pivotCacheDefinition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6410790099220664E-2"/>
          <c:y val="2.9959341285019776E-2"/>
          <c:w val="0.95355101171962775"/>
          <c:h val="0.91964930945880841"/>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7F87-422C-9CC4-122416B968EB}"/>
              </c:ext>
            </c:extLst>
          </c:dPt>
          <c:dPt>
            <c:idx val="1"/>
            <c:bubble3D val="0"/>
            <c:spPr>
              <a:gradFill>
                <a:gsLst>
                  <a:gs pos="0">
                    <a:schemeClr val="accent1">
                      <a:lumMod val="42000"/>
                      <a:lumOff val="58000"/>
                    </a:schemeClr>
                  </a:gs>
                  <a:gs pos="70000">
                    <a:schemeClr val="accent5">
                      <a:lumMod val="51000"/>
                    </a:schemeClr>
                  </a:gs>
                </a:gsLst>
                <a:lin ang="16200000" scaled="0"/>
              </a:gradFill>
              <a:ln w="19050">
                <a:noFill/>
              </a:ln>
              <a:effectLst/>
            </c:spPr>
            <c:extLst>
              <c:ext xmlns:c16="http://schemas.microsoft.com/office/drawing/2014/chart" uri="{C3380CC4-5D6E-409C-BE32-E72D297353CC}">
                <c16:uniqueId val="{00000003-7F87-422C-9CC4-122416B968EB}"/>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7F87-422C-9CC4-122416B968EB}"/>
              </c:ext>
            </c:extLst>
          </c:dPt>
          <c:dPt>
            <c:idx val="3"/>
            <c:bubble3D val="0"/>
            <c:spPr>
              <a:solidFill>
                <a:schemeClr val="accent1">
                  <a:lumMod val="50000"/>
                  <a:alpha val="70000"/>
                </a:schemeClr>
              </a:solidFill>
              <a:ln w="19050">
                <a:noFill/>
              </a:ln>
              <a:effectLst/>
            </c:spPr>
            <c:extLst>
              <c:ext xmlns:c16="http://schemas.microsoft.com/office/drawing/2014/chart" uri="{C3380CC4-5D6E-409C-BE32-E72D297353CC}">
                <c16:uniqueId val="{00000007-7F87-422C-9CC4-122416B968EB}"/>
              </c:ext>
            </c:extLst>
          </c:dPt>
          <c:dPt>
            <c:idx val="4"/>
            <c:bubble3D val="0"/>
            <c:spPr>
              <a:gradFill>
                <a:gsLst>
                  <a:gs pos="0">
                    <a:srgbClr val="C00000"/>
                  </a:gs>
                  <a:gs pos="70000">
                    <a:srgbClr val="C00000">
                      <a:alpha val="48000"/>
                    </a:srgbClr>
                  </a:gs>
                </a:gsLst>
                <a:lin ang="16200000" scaled="0"/>
              </a:gradFill>
              <a:ln w="19050">
                <a:noFill/>
              </a:ln>
              <a:effectLst/>
            </c:spPr>
            <c:extLst>
              <c:ext xmlns:c16="http://schemas.microsoft.com/office/drawing/2014/chart" uri="{C3380CC4-5D6E-409C-BE32-E72D297353CC}">
                <c16:uniqueId val="{00000009-7F87-422C-9CC4-122416B968EB}"/>
              </c:ext>
            </c:extLst>
          </c:dPt>
          <c:dPt>
            <c:idx val="5"/>
            <c:bubble3D val="0"/>
            <c:spPr>
              <a:noFill/>
              <a:ln w="19050">
                <a:noFill/>
              </a:ln>
              <a:effectLst/>
            </c:spPr>
            <c:extLst>
              <c:ext xmlns:c16="http://schemas.microsoft.com/office/drawing/2014/chart" uri="{C3380CC4-5D6E-409C-BE32-E72D297353CC}">
                <c16:uniqueId val="{0000000B-7F87-422C-9CC4-122416B968EB}"/>
              </c:ext>
            </c:extLst>
          </c:dPt>
          <c:val>
            <c:numRef>
              <c:f>ControlChart_Budget2!$DA$18:$DA$23</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7F87-422C-9CC4-122416B968EB}"/>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ControlChart_Budget2!$DB$17</c:f>
              <c:strCache>
                <c:ptCount val="1"/>
                <c:pt idx="0">
                  <c:v>Point</c:v>
                </c:pt>
              </c:strCache>
            </c:strRef>
          </c:tx>
          <c:spPr>
            <a:ln>
              <a:noFill/>
            </a:ln>
          </c:spPr>
          <c:dPt>
            <c:idx val="0"/>
            <c:bubble3D val="0"/>
            <c:spPr>
              <a:noFill/>
              <a:ln w="19050">
                <a:noFill/>
              </a:ln>
              <a:effectLst/>
            </c:spPr>
            <c:extLst>
              <c:ext xmlns:c16="http://schemas.microsoft.com/office/drawing/2014/chart" uri="{C3380CC4-5D6E-409C-BE32-E72D297353CC}">
                <c16:uniqueId val="{0000000E-7F87-422C-9CC4-122416B968EB}"/>
              </c:ext>
            </c:extLst>
          </c:dPt>
          <c:dPt>
            <c:idx val="1"/>
            <c:bubble3D val="0"/>
            <c:spPr>
              <a:solidFill>
                <a:schemeClr val="bg1"/>
              </a:solidFill>
              <a:ln w="19050">
                <a:noFill/>
              </a:ln>
              <a:effectLst>
                <a:outerShdw blurRad="50800" dist="38100" dir="2700000" algn="tl" rotWithShape="0">
                  <a:schemeClr val="bg1">
                    <a:alpha val="68000"/>
                  </a:schemeClr>
                </a:outerShdw>
              </a:effectLst>
              <a:scene3d>
                <a:camera prst="orthographicFront"/>
                <a:lightRig rig="chilly" dir="t"/>
              </a:scene3d>
              <a:sp3d prstMaterial="translucentPowder"/>
            </c:spPr>
            <c:extLst>
              <c:ext xmlns:c16="http://schemas.microsoft.com/office/drawing/2014/chart" uri="{C3380CC4-5D6E-409C-BE32-E72D297353CC}">
                <c16:uniqueId val="{00000010-7F87-422C-9CC4-122416B968EB}"/>
              </c:ext>
            </c:extLst>
          </c:dPt>
          <c:dPt>
            <c:idx val="2"/>
            <c:bubble3D val="0"/>
            <c:spPr>
              <a:noFill/>
              <a:ln w="19050">
                <a:noFill/>
              </a:ln>
              <a:effectLst/>
            </c:spPr>
            <c:extLst>
              <c:ext xmlns:c16="http://schemas.microsoft.com/office/drawing/2014/chart" uri="{C3380CC4-5D6E-409C-BE32-E72D297353CC}">
                <c16:uniqueId val="{00000012-7F87-422C-9CC4-122416B968EB}"/>
              </c:ext>
            </c:extLst>
          </c:dPt>
          <c:val>
            <c:numRef>
              <c:f>ControlChart_Budget2!$DB$18:$DB$20</c:f>
              <c:numCache>
                <c:formatCode>0%</c:formatCode>
                <c:ptCount val="3"/>
                <c:pt idx="0">
                  <c:v>0</c:v>
                </c:pt>
                <c:pt idx="1">
                  <c:v>0.01</c:v>
                </c:pt>
                <c:pt idx="2">
                  <c:v>3.2</c:v>
                </c:pt>
              </c:numCache>
            </c:numRef>
          </c:val>
          <c:extLst>
            <c:ext xmlns:c16="http://schemas.microsoft.com/office/drawing/2014/chart" uri="{C3380CC4-5D6E-409C-BE32-E72D297353CC}">
              <c16:uniqueId val="{00000013-7F87-422C-9CC4-122416B968EB}"/>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459570741164502E-2"/>
          <c:y val="1.5696031847951715E-2"/>
          <c:w val="0.96860724715592639"/>
          <c:h val="0.94039699866077164"/>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0520-4E06-A5B3-0482A0BED019}"/>
              </c:ext>
            </c:extLst>
          </c:dPt>
          <c:dPt>
            <c:idx val="1"/>
            <c:bubble3D val="0"/>
            <c:spPr>
              <a:gradFill>
                <a:gsLst>
                  <a:gs pos="0">
                    <a:schemeClr val="accent1">
                      <a:lumMod val="75000"/>
                      <a:alpha val="58000"/>
                    </a:schemeClr>
                  </a:gs>
                  <a:gs pos="70000">
                    <a:schemeClr val="accent1">
                      <a:lumMod val="65000"/>
                      <a:lumOff val="35000"/>
                    </a:schemeClr>
                  </a:gs>
                </a:gsLst>
                <a:lin ang="5400000" scaled="1"/>
              </a:gradFill>
              <a:ln w="19050">
                <a:noFill/>
              </a:ln>
              <a:effectLst/>
            </c:spPr>
            <c:extLst>
              <c:ext xmlns:c16="http://schemas.microsoft.com/office/drawing/2014/chart" uri="{C3380CC4-5D6E-409C-BE32-E72D297353CC}">
                <c16:uniqueId val="{00000003-0520-4E06-A5B3-0482A0BED019}"/>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0520-4E06-A5B3-0482A0BED019}"/>
              </c:ext>
            </c:extLst>
          </c:dPt>
          <c:dPt>
            <c:idx val="3"/>
            <c:bubble3D val="0"/>
            <c:spPr>
              <a:solidFill>
                <a:schemeClr val="accent1">
                  <a:lumMod val="50000"/>
                  <a:alpha val="80000"/>
                </a:schemeClr>
              </a:solidFill>
              <a:ln w="19050">
                <a:noFill/>
              </a:ln>
              <a:effectLst/>
            </c:spPr>
            <c:extLst>
              <c:ext xmlns:c16="http://schemas.microsoft.com/office/drawing/2014/chart" uri="{C3380CC4-5D6E-409C-BE32-E72D297353CC}">
                <c16:uniqueId val="{00000007-0520-4E06-A5B3-0482A0BED019}"/>
              </c:ext>
            </c:extLst>
          </c:dPt>
          <c:dPt>
            <c:idx val="4"/>
            <c:bubble3D val="0"/>
            <c:spPr>
              <a:gradFill>
                <a:gsLst>
                  <a:gs pos="0">
                    <a:srgbClr val="C00000">
                      <a:alpha val="16000"/>
                    </a:srgbClr>
                  </a:gs>
                  <a:gs pos="70000">
                    <a:srgbClr val="C00000"/>
                  </a:gs>
                </a:gsLst>
                <a:lin ang="5400000" scaled="1"/>
              </a:gradFill>
              <a:ln w="19050">
                <a:noFill/>
              </a:ln>
              <a:effectLst/>
              <a:scene3d>
                <a:camera prst="orthographicFront"/>
                <a:lightRig rig="soft" dir="t"/>
              </a:scene3d>
              <a:sp3d prstMaterial="flat"/>
            </c:spPr>
            <c:extLst>
              <c:ext xmlns:c16="http://schemas.microsoft.com/office/drawing/2014/chart" uri="{C3380CC4-5D6E-409C-BE32-E72D297353CC}">
                <c16:uniqueId val="{00000009-0520-4E06-A5B3-0482A0BED019}"/>
              </c:ext>
            </c:extLst>
          </c:dPt>
          <c:dPt>
            <c:idx val="5"/>
            <c:bubble3D val="0"/>
            <c:spPr>
              <a:noFill/>
              <a:ln w="19050">
                <a:noFill/>
              </a:ln>
              <a:effectLst/>
            </c:spPr>
            <c:extLst>
              <c:ext xmlns:c16="http://schemas.microsoft.com/office/drawing/2014/chart" uri="{C3380CC4-5D6E-409C-BE32-E72D297353CC}">
                <c16:uniqueId val="{0000000B-0520-4E06-A5B3-0482A0BED019}"/>
              </c:ext>
            </c:extLst>
          </c:dPt>
          <c:val>
            <c:numRef>
              <c:f>ControlChart_Budget2!$DA$31:$DA$36</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0520-4E06-A5B3-0482A0BED019}"/>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ControlChart_Budget2!$DB$30</c:f>
              <c:strCache>
                <c:ptCount val="1"/>
                <c:pt idx="0">
                  <c:v>Point</c:v>
                </c:pt>
              </c:strCache>
            </c:strRef>
          </c:tx>
          <c:spPr>
            <a:noFill/>
            <a:ln>
              <a:noFill/>
            </a:ln>
          </c:spPr>
          <c:dPt>
            <c:idx val="0"/>
            <c:bubble3D val="0"/>
            <c:spPr>
              <a:noFill/>
              <a:ln w="19050">
                <a:noFill/>
              </a:ln>
              <a:effectLst/>
            </c:spPr>
            <c:extLst>
              <c:ext xmlns:c16="http://schemas.microsoft.com/office/drawing/2014/chart" uri="{C3380CC4-5D6E-409C-BE32-E72D297353CC}">
                <c16:uniqueId val="{0000000E-0520-4E06-A5B3-0482A0BED019}"/>
              </c:ext>
            </c:extLst>
          </c:dPt>
          <c:dPt>
            <c:idx val="1"/>
            <c:bubble3D val="0"/>
            <c:spPr>
              <a:solidFill>
                <a:schemeClr val="bg1"/>
              </a:solidFill>
              <a:ln w="19050">
                <a:noFill/>
              </a:ln>
              <a:effectLst>
                <a:outerShdw blurRad="63500" dist="38100" sx="102000" sy="102000" algn="ctr" rotWithShape="0">
                  <a:schemeClr val="bg1">
                    <a:alpha val="46000"/>
                  </a:schemeClr>
                </a:outerShdw>
              </a:effectLst>
              <a:scene3d>
                <a:camera prst="orthographicFront"/>
                <a:lightRig rig="chilly" dir="t"/>
              </a:scene3d>
              <a:sp3d prstMaterial="translucentPowder"/>
            </c:spPr>
            <c:extLst>
              <c:ext xmlns:c16="http://schemas.microsoft.com/office/drawing/2014/chart" uri="{C3380CC4-5D6E-409C-BE32-E72D297353CC}">
                <c16:uniqueId val="{00000010-0520-4E06-A5B3-0482A0BED019}"/>
              </c:ext>
            </c:extLst>
          </c:dPt>
          <c:dPt>
            <c:idx val="2"/>
            <c:bubble3D val="0"/>
            <c:spPr>
              <a:noFill/>
              <a:ln w="19050">
                <a:noFill/>
              </a:ln>
              <a:effectLst/>
            </c:spPr>
            <c:extLst>
              <c:ext xmlns:c16="http://schemas.microsoft.com/office/drawing/2014/chart" uri="{C3380CC4-5D6E-409C-BE32-E72D297353CC}">
                <c16:uniqueId val="{00000012-0520-4E06-A5B3-0482A0BED019}"/>
              </c:ext>
            </c:extLst>
          </c:dPt>
          <c:val>
            <c:numRef>
              <c:f>ControlChart_Budget2!$DB$31:$DB$33</c:f>
              <c:numCache>
                <c:formatCode>0%</c:formatCode>
                <c:ptCount val="3"/>
                <c:pt idx="0">
                  <c:v>0</c:v>
                </c:pt>
                <c:pt idx="1">
                  <c:v>0.01</c:v>
                </c:pt>
                <c:pt idx="2">
                  <c:v>3.2</c:v>
                </c:pt>
              </c:numCache>
            </c:numRef>
          </c:val>
          <c:extLst>
            <c:ext xmlns:c16="http://schemas.microsoft.com/office/drawing/2014/chart" uri="{C3380CC4-5D6E-409C-BE32-E72D297353CC}">
              <c16:uniqueId val="{00000013-0520-4E06-A5B3-0482A0BED01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273497329413077E-2"/>
          <c:y val="0"/>
          <c:w val="0.94709779796263815"/>
          <c:h val="0.9823773797740567"/>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139A-4F93-96C9-AF3521754F40}"/>
              </c:ext>
            </c:extLst>
          </c:dPt>
          <c:dPt>
            <c:idx val="1"/>
            <c:bubble3D val="0"/>
            <c:spPr>
              <a:gradFill>
                <a:gsLst>
                  <a:gs pos="0">
                    <a:schemeClr val="accent1">
                      <a:lumMod val="58000"/>
                      <a:alpha val="68000"/>
                    </a:schemeClr>
                  </a:gs>
                  <a:gs pos="71000">
                    <a:schemeClr val="accent1">
                      <a:lumMod val="77000"/>
                      <a:lumOff val="23000"/>
                    </a:schemeClr>
                  </a:gs>
                </a:gsLst>
                <a:lin ang="5400000" scaled="1"/>
              </a:gradFill>
              <a:ln w="19050">
                <a:noFill/>
              </a:ln>
              <a:effectLst/>
            </c:spPr>
            <c:extLst>
              <c:ext xmlns:c16="http://schemas.microsoft.com/office/drawing/2014/chart" uri="{C3380CC4-5D6E-409C-BE32-E72D297353CC}">
                <c16:uniqueId val="{00000003-139A-4F93-96C9-AF3521754F40}"/>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139A-4F93-96C9-AF3521754F40}"/>
              </c:ext>
            </c:extLst>
          </c:dPt>
          <c:dPt>
            <c:idx val="3"/>
            <c:bubble3D val="0"/>
            <c:spPr>
              <a:solidFill>
                <a:schemeClr val="accent1">
                  <a:lumMod val="50000"/>
                  <a:alpha val="80000"/>
                </a:schemeClr>
              </a:solidFill>
              <a:ln w="19050">
                <a:noFill/>
              </a:ln>
              <a:effectLst/>
            </c:spPr>
            <c:extLst>
              <c:ext xmlns:c16="http://schemas.microsoft.com/office/drawing/2014/chart" uri="{C3380CC4-5D6E-409C-BE32-E72D297353CC}">
                <c16:uniqueId val="{00000007-139A-4F93-96C9-AF3521754F40}"/>
              </c:ext>
            </c:extLst>
          </c:dPt>
          <c:dPt>
            <c:idx val="4"/>
            <c:bubble3D val="0"/>
            <c:spPr>
              <a:gradFill>
                <a:gsLst>
                  <a:gs pos="0">
                    <a:srgbClr val="C00000">
                      <a:alpha val="10000"/>
                      <a:lumMod val="61000"/>
                    </a:srgbClr>
                  </a:gs>
                  <a:gs pos="71000">
                    <a:srgbClr val="C00000">
                      <a:lumMod val="94000"/>
                      <a:lumOff val="6000"/>
                    </a:srgbClr>
                  </a:gs>
                </a:gsLst>
                <a:lin ang="5400000" scaled="1"/>
              </a:gradFill>
              <a:ln w="19050">
                <a:noFill/>
              </a:ln>
              <a:effectLst/>
            </c:spPr>
            <c:extLst>
              <c:ext xmlns:c16="http://schemas.microsoft.com/office/drawing/2014/chart" uri="{C3380CC4-5D6E-409C-BE32-E72D297353CC}">
                <c16:uniqueId val="{00000009-139A-4F93-96C9-AF3521754F40}"/>
              </c:ext>
            </c:extLst>
          </c:dPt>
          <c:dPt>
            <c:idx val="5"/>
            <c:bubble3D val="0"/>
            <c:spPr>
              <a:noFill/>
              <a:ln w="19050">
                <a:noFill/>
              </a:ln>
              <a:effectLst/>
            </c:spPr>
            <c:extLst>
              <c:ext xmlns:c16="http://schemas.microsoft.com/office/drawing/2014/chart" uri="{C3380CC4-5D6E-409C-BE32-E72D297353CC}">
                <c16:uniqueId val="{0000000B-139A-4F93-96C9-AF3521754F40}"/>
              </c:ext>
            </c:extLst>
          </c:dPt>
          <c:val>
            <c:numRef>
              <c:f>ControlChart_Budget2!$DA$44:$DA$49</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139A-4F93-96C9-AF3521754F40}"/>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ControlChart_Budget2!$DB$43</c:f>
              <c:strCache>
                <c:ptCount val="1"/>
                <c:pt idx="0">
                  <c:v>Point</c:v>
                </c:pt>
              </c:strCache>
            </c:strRef>
          </c:tx>
          <c:spPr>
            <a:ln>
              <a:noFill/>
            </a:ln>
          </c:spPr>
          <c:dPt>
            <c:idx val="0"/>
            <c:bubble3D val="0"/>
            <c:spPr>
              <a:noFill/>
              <a:ln w="19050">
                <a:noFill/>
              </a:ln>
              <a:effectLst/>
            </c:spPr>
            <c:extLst>
              <c:ext xmlns:c16="http://schemas.microsoft.com/office/drawing/2014/chart" uri="{C3380CC4-5D6E-409C-BE32-E72D297353CC}">
                <c16:uniqueId val="{0000000E-139A-4F93-96C9-AF3521754F40}"/>
              </c:ext>
            </c:extLst>
          </c:dPt>
          <c:dPt>
            <c:idx val="1"/>
            <c:bubble3D val="0"/>
            <c:spPr>
              <a:solidFill>
                <a:schemeClr val="bg1"/>
              </a:solidFill>
              <a:ln w="19050">
                <a:noFill/>
              </a:ln>
              <a:effectLst>
                <a:outerShdw blurRad="101600" sx="111000" sy="111000" algn="ctr" rotWithShape="0">
                  <a:schemeClr val="bg1">
                    <a:alpha val="77000"/>
                  </a:schemeClr>
                </a:outerShdw>
              </a:effectLst>
              <a:scene3d>
                <a:camera prst="orthographicFront"/>
                <a:lightRig rig="chilly" dir="t"/>
              </a:scene3d>
              <a:sp3d prstMaterial="translucentPowder"/>
            </c:spPr>
            <c:extLst>
              <c:ext xmlns:c16="http://schemas.microsoft.com/office/drawing/2014/chart" uri="{C3380CC4-5D6E-409C-BE32-E72D297353CC}">
                <c16:uniqueId val="{00000010-139A-4F93-96C9-AF3521754F40}"/>
              </c:ext>
            </c:extLst>
          </c:dPt>
          <c:dPt>
            <c:idx val="2"/>
            <c:bubble3D val="0"/>
            <c:spPr>
              <a:noFill/>
              <a:ln w="19050">
                <a:noFill/>
              </a:ln>
              <a:effectLst>
                <a:outerShdw blurRad="50800" dir="5400000" algn="t" rotWithShape="0">
                  <a:prstClr val="black">
                    <a:alpha val="40000"/>
                  </a:prstClr>
                </a:outerShdw>
              </a:effectLst>
            </c:spPr>
            <c:extLst>
              <c:ext xmlns:c16="http://schemas.microsoft.com/office/drawing/2014/chart" uri="{C3380CC4-5D6E-409C-BE32-E72D297353CC}">
                <c16:uniqueId val="{00000012-139A-4F93-96C9-AF3521754F40}"/>
              </c:ext>
            </c:extLst>
          </c:dPt>
          <c:val>
            <c:numRef>
              <c:f>ControlChart_Budget2!$DB$44:$DB$46</c:f>
              <c:numCache>
                <c:formatCode>0%</c:formatCode>
                <c:ptCount val="3"/>
                <c:pt idx="0">
                  <c:v>0</c:v>
                </c:pt>
                <c:pt idx="1">
                  <c:v>0.01</c:v>
                </c:pt>
                <c:pt idx="2">
                  <c:v>3.2</c:v>
                </c:pt>
              </c:numCache>
            </c:numRef>
          </c:val>
          <c:extLst>
            <c:ext xmlns:c16="http://schemas.microsoft.com/office/drawing/2014/chart" uri="{C3380CC4-5D6E-409C-BE32-E72D297353CC}">
              <c16:uniqueId val="{00000013-139A-4F93-96C9-AF3521754F40}"/>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246533287690137E-2"/>
          <c:y val="1.1592865396973602E-2"/>
          <c:w val="0.97832754085858586"/>
          <c:h val="0.90386959566356306"/>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B9DF-4EEF-AEDF-DF4197AF418B}"/>
              </c:ext>
            </c:extLst>
          </c:dPt>
          <c:dPt>
            <c:idx val="1"/>
            <c:bubble3D val="0"/>
            <c:spPr>
              <a:gradFill>
                <a:gsLst>
                  <a:gs pos="0">
                    <a:schemeClr val="accent1">
                      <a:lumMod val="96000"/>
                      <a:alpha val="33000"/>
                    </a:schemeClr>
                  </a:gs>
                  <a:gs pos="71000">
                    <a:schemeClr val="accent1">
                      <a:lumMod val="62000"/>
                      <a:lumOff val="38000"/>
                    </a:schemeClr>
                  </a:gs>
                </a:gsLst>
                <a:lin ang="5400000" scaled="1"/>
              </a:gradFill>
              <a:ln w="19050">
                <a:noFill/>
              </a:ln>
              <a:effectLst/>
            </c:spPr>
            <c:extLst>
              <c:ext xmlns:c16="http://schemas.microsoft.com/office/drawing/2014/chart" uri="{C3380CC4-5D6E-409C-BE32-E72D297353CC}">
                <c16:uniqueId val="{00000003-B9DF-4EEF-AEDF-DF4197AF418B}"/>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B9DF-4EEF-AEDF-DF4197AF418B}"/>
              </c:ext>
            </c:extLst>
          </c:dPt>
          <c:dPt>
            <c:idx val="3"/>
            <c:bubble3D val="0"/>
            <c:spPr>
              <a:solidFill>
                <a:schemeClr val="accent1">
                  <a:lumMod val="50000"/>
                  <a:alpha val="80000"/>
                </a:schemeClr>
              </a:solidFill>
              <a:ln w="19050">
                <a:noFill/>
              </a:ln>
              <a:effectLst/>
            </c:spPr>
            <c:extLst>
              <c:ext xmlns:c16="http://schemas.microsoft.com/office/drawing/2014/chart" uri="{C3380CC4-5D6E-409C-BE32-E72D297353CC}">
                <c16:uniqueId val="{00000007-B9DF-4EEF-AEDF-DF4197AF418B}"/>
              </c:ext>
            </c:extLst>
          </c:dPt>
          <c:dPt>
            <c:idx val="4"/>
            <c:bubble3D val="0"/>
            <c:spPr>
              <a:gradFill>
                <a:gsLst>
                  <a:gs pos="0">
                    <a:srgbClr val="C00000">
                      <a:alpha val="3000"/>
                    </a:srgbClr>
                  </a:gs>
                  <a:gs pos="71000">
                    <a:srgbClr val="C00000">
                      <a:lumMod val="79000"/>
                      <a:lumOff val="21000"/>
                    </a:srgbClr>
                  </a:gs>
                </a:gsLst>
                <a:lin ang="5400000" scaled="1"/>
              </a:gradFill>
              <a:ln w="19050">
                <a:noFill/>
              </a:ln>
              <a:effectLst/>
              <a:scene3d>
                <a:camera prst="orthographicFront"/>
                <a:lightRig rig="sunset" dir="t"/>
              </a:scene3d>
              <a:sp3d prstMaterial="softEdge"/>
            </c:spPr>
            <c:extLst>
              <c:ext xmlns:c16="http://schemas.microsoft.com/office/drawing/2014/chart" uri="{C3380CC4-5D6E-409C-BE32-E72D297353CC}">
                <c16:uniqueId val="{00000009-B9DF-4EEF-AEDF-DF4197AF418B}"/>
              </c:ext>
            </c:extLst>
          </c:dPt>
          <c:dPt>
            <c:idx val="5"/>
            <c:bubble3D val="0"/>
            <c:spPr>
              <a:noFill/>
              <a:ln w="19050">
                <a:noFill/>
              </a:ln>
              <a:effectLst/>
            </c:spPr>
            <c:extLst>
              <c:ext xmlns:c16="http://schemas.microsoft.com/office/drawing/2014/chart" uri="{C3380CC4-5D6E-409C-BE32-E72D297353CC}">
                <c16:uniqueId val="{0000000B-B9DF-4EEF-AEDF-DF4197AF418B}"/>
              </c:ext>
            </c:extLst>
          </c:dPt>
          <c:val>
            <c:numRef>
              <c:f>ControlChart_Budget2!$DA$57:$DA$62</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B9DF-4EEF-AEDF-DF4197AF418B}"/>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ControlChart_Budget2!$DB$56</c:f>
              <c:strCache>
                <c:ptCount val="1"/>
                <c:pt idx="0">
                  <c:v>Point</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E-B9DF-4EEF-AEDF-DF4197AF418B}"/>
              </c:ext>
            </c:extLst>
          </c:dPt>
          <c:dPt>
            <c:idx val="1"/>
            <c:bubble3D val="0"/>
            <c:spPr>
              <a:solidFill>
                <a:schemeClr val="bg1"/>
              </a:solidFill>
              <a:ln w="19050">
                <a:noFill/>
              </a:ln>
              <a:effectLst>
                <a:outerShdw blurRad="63500" dist="190500" sx="102000" sy="102000" algn="ctr" rotWithShape="0">
                  <a:schemeClr val="bg1">
                    <a:alpha val="40000"/>
                  </a:schemeClr>
                </a:outerShdw>
              </a:effectLst>
              <a:scene3d>
                <a:camera prst="orthographicFront"/>
                <a:lightRig rig="chilly" dir="t"/>
              </a:scene3d>
              <a:sp3d prstMaterial="translucentPowder"/>
            </c:spPr>
            <c:extLst>
              <c:ext xmlns:c16="http://schemas.microsoft.com/office/drawing/2014/chart" uri="{C3380CC4-5D6E-409C-BE32-E72D297353CC}">
                <c16:uniqueId val="{00000010-B9DF-4EEF-AEDF-DF4197AF418B}"/>
              </c:ext>
            </c:extLst>
          </c:dPt>
          <c:dPt>
            <c:idx val="2"/>
            <c:bubble3D val="0"/>
            <c:spPr>
              <a:noFill/>
              <a:ln w="19050">
                <a:noFill/>
              </a:ln>
              <a:effectLst/>
            </c:spPr>
            <c:extLst>
              <c:ext xmlns:c16="http://schemas.microsoft.com/office/drawing/2014/chart" uri="{C3380CC4-5D6E-409C-BE32-E72D297353CC}">
                <c16:uniqueId val="{00000012-B9DF-4EEF-AEDF-DF4197AF418B}"/>
              </c:ext>
            </c:extLst>
          </c:dPt>
          <c:val>
            <c:numRef>
              <c:f>ControlChart_Budget2!$DB$57:$DB$59</c:f>
              <c:numCache>
                <c:formatCode>0%</c:formatCode>
                <c:ptCount val="3"/>
                <c:pt idx="0">
                  <c:v>0</c:v>
                </c:pt>
                <c:pt idx="1">
                  <c:v>0.01</c:v>
                </c:pt>
                <c:pt idx="2">
                  <c:v>3.2</c:v>
                </c:pt>
              </c:numCache>
            </c:numRef>
          </c:val>
          <c:extLst>
            <c:ext xmlns:c16="http://schemas.microsoft.com/office/drawing/2014/chart" uri="{C3380CC4-5D6E-409C-BE32-E72D297353CC}">
              <c16:uniqueId val="{00000013-B9DF-4EEF-AEDF-DF4197AF418B}"/>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3.3447731272334177E-2"/>
          <c:w val="1"/>
          <c:h val="0.91438291005813399"/>
        </c:manualLayout>
      </c:layout>
      <c:doughnutChart>
        <c:varyColors val="1"/>
        <c:ser>
          <c:idx val="0"/>
          <c:order val="0"/>
          <c:dPt>
            <c:idx val="0"/>
            <c:bubble3D val="0"/>
            <c:spPr>
              <a:noFill/>
              <a:ln w="19050">
                <a:noFill/>
              </a:ln>
              <a:effectLst/>
            </c:spPr>
            <c:extLst>
              <c:ext xmlns:c16="http://schemas.microsoft.com/office/drawing/2014/chart" uri="{C3380CC4-5D6E-409C-BE32-E72D297353CC}">
                <c16:uniqueId val="{00000001-1AB4-4C52-ADB1-3C7A0316630D}"/>
              </c:ext>
            </c:extLst>
          </c:dPt>
          <c:dPt>
            <c:idx val="1"/>
            <c:bubble3D val="0"/>
            <c:spPr>
              <a:gradFill>
                <a:gsLst>
                  <a:gs pos="0">
                    <a:schemeClr val="accent1">
                      <a:lumMod val="48000"/>
                      <a:lumOff val="52000"/>
                    </a:schemeClr>
                  </a:gs>
                  <a:gs pos="70000">
                    <a:schemeClr val="accent5">
                      <a:lumMod val="51000"/>
                      <a:alpha val="82000"/>
                    </a:schemeClr>
                  </a:gs>
                </a:gsLst>
                <a:lin ang="16200000" scaled="0"/>
              </a:gradFill>
              <a:ln w="19050">
                <a:noFill/>
              </a:ln>
              <a:effectLst/>
            </c:spPr>
            <c:extLst>
              <c:ext xmlns:c16="http://schemas.microsoft.com/office/drawing/2014/chart" uri="{C3380CC4-5D6E-409C-BE32-E72D297353CC}">
                <c16:uniqueId val="{00000003-1AB4-4C52-ADB1-3C7A0316630D}"/>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1AB4-4C52-ADB1-3C7A0316630D}"/>
              </c:ext>
            </c:extLst>
          </c:dPt>
          <c:dPt>
            <c:idx val="3"/>
            <c:bubble3D val="0"/>
            <c:spPr>
              <a:solidFill>
                <a:schemeClr val="accent1">
                  <a:lumMod val="50000"/>
                  <a:alpha val="70000"/>
                </a:schemeClr>
              </a:solidFill>
              <a:ln w="19050">
                <a:noFill/>
              </a:ln>
              <a:effectLst/>
            </c:spPr>
            <c:extLst>
              <c:ext xmlns:c16="http://schemas.microsoft.com/office/drawing/2014/chart" uri="{C3380CC4-5D6E-409C-BE32-E72D297353CC}">
                <c16:uniqueId val="{00000007-1AB4-4C52-ADB1-3C7A0316630D}"/>
              </c:ext>
            </c:extLst>
          </c:dPt>
          <c:dPt>
            <c:idx val="4"/>
            <c:bubble3D val="0"/>
            <c:spPr>
              <a:gradFill>
                <a:gsLst>
                  <a:gs pos="0">
                    <a:srgbClr val="C00000">
                      <a:alpha val="80000"/>
                      <a:lumMod val="82000"/>
                      <a:lumOff val="18000"/>
                    </a:srgbClr>
                  </a:gs>
                  <a:gs pos="70000">
                    <a:srgbClr val="C00000">
                      <a:alpha val="30000"/>
                      <a:lumMod val="85000"/>
                      <a:lumOff val="15000"/>
                    </a:srgbClr>
                  </a:gs>
                </a:gsLst>
                <a:lin ang="16200000" scaled="0"/>
              </a:gradFill>
              <a:ln w="19050">
                <a:noFill/>
              </a:ln>
              <a:effectLst/>
              <a:scene3d>
                <a:camera prst="orthographicFront"/>
                <a:lightRig rig="freezing" dir="t"/>
              </a:scene3d>
              <a:sp3d prstMaterial="flat"/>
            </c:spPr>
            <c:extLst>
              <c:ext xmlns:c16="http://schemas.microsoft.com/office/drawing/2014/chart" uri="{C3380CC4-5D6E-409C-BE32-E72D297353CC}">
                <c16:uniqueId val="{00000009-1AB4-4C52-ADB1-3C7A0316630D}"/>
              </c:ext>
            </c:extLst>
          </c:dPt>
          <c:dPt>
            <c:idx val="5"/>
            <c:bubble3D val="0"/>
            <c:spPr>
              <a:noFill/>
              <a:ln w="19050">
                <a:noFill/>
              </a:ln>
              <a:effectLst/>
            </c:spPr>
            <c:extLst>
              <c:ext xmlns:c16="http://schemas.microsoft.com/office/drawing/2014/chart" uri="{C3380CC4-5D6E-409C-BE32-E72D297353CC}">
                <c16:uniqueId val="{0000000B-1AB4-4C52-ADB1-3C7A0316630D}"/>
              </c:ext>
            </c:extLst>
          </c:dPt>
          <c:val>
            <c:numRef>
              <c:f>ControlChart_Budget2!$DA$5:$DA$10</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1AB4-4C52-ADB1-3C7A0316630D}"/>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ControlChart_Budget2!$DB$4</c:f>
              <c:strCache>
                <c:ptCount val="1"/>
                <c:pt idx="0">
                  <c:v>Point</c:v>
                </c:pt>
              </c:strCache>
            </c:strRef>
          </c:tx>
          <c:dPt>
            <c:idx val="0"/>
            <c:bubble3D val="0"/>
            <c:spPr>
              <a:noFill/>
              <a:ln w="19050">
                <a:noFill/>
              </a:ln>
              <a:effectLst/>
            </c:spPr>
            <c:extLst>
              <c:ext xmlns:c16="http://schemas.microsoft.com/office/drawing/2014/chart" uri="{C3380CC4-5D6E-409C-BE32-E72D297353CC}">
                <c16:uniqueId val="{0000000E-1AB4-4C52-ADB1-3C7A0316630D}"/>
              </c:ext>
            </c:extLst>
          </c:dPt>
          <c:dPt>
            <c:idx val="1"/>
            <c:bubble3D val="0"/>
            <c:spPr>
              <a:solidFill>
                <a:schemeClr val="bg1"/>
              </a:solidFill>
              <a:ln w="19050">
                <a:noFill/>
              </a:ln>
              <a:effectLst>
                <a:outerShdw blurRad="50800" dist="38100" dir="2700000" algn="tl" rotWithShape="0">
                  <a:schemeClr val="bg1">
                    <a:alpha val="40000"/>
                  </a:schemeClr>
                </a:outerShdw>
              </a:effectLst>
              <a:scene3d>
                <a:camera prst="orthographicFront"/>
                <a:lightRig rig="chilly" dir="t"/>
              </a:scene3d>
              <a:sp3d prstMaterial="translucentPowder"/>
            </c:spPr>
            <c:extLst>
              <c:ext xmlns:c16="http://schemas.microsoft.com/office/drawing/2014/chart" uri="{C3380CC4-5D6E-409C-BE32-E72D297353CC}">
                <c16:uniqueId val="{00000010-1AB4-4C52-ADB1-3C7A0316630D}"/>
              </c:ext>
            </c:extLst>
          </c:dPt>
          <c:dPt>
            <c:idx val="2"/>
            <c:bubble3D val="0"/>
            <c:spPr>
              <a:noFill/>
              <a:ln w="19050">
                <a:noFill/>
              </a:ln>
              <a:effectLst>
                <a:outerShdw blurRad="50800" dist="38100" dir="5400000" algn="t" rotWithShape="0">
                  <a:prstClr val="black">
                    <a:alpha val="37000"/>
                  </a:prstClr>
                </a:outerShdw>
              </a:effectLst>
            </c:spPr>
            <c:extLst>
              <c:ext xmlns:c16="http://schemas.microsoft.com/office/drawing/2014/chart" uri="{C3380CC4-5D6E-409C-BE32-E72D297353CC}">
                <c16:uniqueId val="{00000012-1AB4-4C52-ADB1-3C7A0316630D}"/>
              </c:ext>
            </c:extLst>
          </c:dPt>
          <c:val>
            <c:numRef>
              <c:f>ControlChart_Budget2!$DB$5:$DB$7</c:f>
              <c:numCache>
                <c:formatCode>0%</c:formatCode>
                <c:ptCount val="3"/>
                <c:pt idx="0">
                  <c:v>0.1</c:v>
                </c:pt>
                <c:pt idx="1">
                  <c:v>0.01</c:v>
                </c:pt>
                <c:pt idx="2">
                  <c:v>3.1</c:v>
                </c:pt>
              </c:numCache>
            </c:numRef>
          </c:val>
          <c:extLst>
            <c:ext xmlns:c16="http://schemas.microsoft.com/office/drawing/2014/chart" uri="{C3380CC4-5D6E-409C-BE32-E72D297353CC}">
              <c16:uniqueId val="{00000013-1AB4-4C52-ADB1-3C7A0316630D}"/>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ControlChart_Budget2!$BG$21</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ControlChart_Budget2!$BG$22:$BG$26</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68BE-4FD1-B235-A53B67E2AFDD}"/>
            </c:ext>
          </c:extLst>
        </c:ser>
        <c:ser>
          <c:idx val="2"/>
          <c:order val="1"/>
          <c:tx>
            <c:strRef>
              <c:f>ControlChart_Budget2!$BI$21</c:f>
              <c:strCache>
                <c:ptCount val="1"/>
                <c:pt idx="0">
                  <c:v>Étiquette</c:v>
                </c:pt>
              </c:strCache>
            </c:strRef>
          </c:tx>
          <c:spPr>
            <a:solidFill>
              <a:schemeClr val="tx1">
                <a:lumMod val="75000"/>
                <a:lumOff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DCC7CC02-7FDE-4D2B-9DDD-60898BA382EE}"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8BE-4FD1-B235-A53B67E2AFDD}"/>
                </c:ext>
              </c:extLst>
            </c:dLbl>
            <c:dLbl>
              <c:idx val="1"/>
              <c:tx>
                <c:rich>
                  <a:bodyPr/>
                  <a:lstStyle/>
                  <a:p>
                    <a:fld id="{1499AFD9-28D5-4D47-A66D-981473D6FA01}"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8BE-4FD1-B235-A53B67E2AFDD}"/>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8BE-4FD1-B235-A53B67E2AFDD}"/>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8BE-4FD1-B235-A53B67E2AFDD}"/>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8BE-4FD1-B235-A53B67E2AF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ControlChart_Budget2!$BI$22:$BI$26</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ControlChart_Budget2!$BJ$22:$BJ$26</c15:f>
                <c15:dlblRangeCache>
                  <c:ptCount val="5"/>
                  <c:pt idx="0">
                    <c:v>90%</c:v>
                  </c:pt>
                  <c:pt idx="1">
                    <c:v>100%</c:v>
                  </c:pt>
                  <c:pt idx="2">
                    <c:v>#N/A</c:v>
                  </c:pt>
                  <c:pt idx="3">
                    <c:v>#N/A</c:v>
                  </c:pt>
                  <c:pt idx="4">
                    <c:v>#N/A</c:v>
                  </c:pt>
                </c15:dlblRangeCache>
              </c15:datalabelsRange>
            </c:ext>
            <c:ext xmlns:c16="http://schemas.microsoft.com/office/drawing/2014/chart" uri="{C3380CC4-5D6E-409C-BE32-E72D297353CC}">
              <c16:uniqueId val="{0000000B-68BE-4FD1-B235-A53B67E2AFDD}"/>
            </c:ext>
          </c:extLst>
        </c:ser>
        <c:ser>
          <c:idx val="3"/>
          <c:order val="2"/>
          <c:tx>
            <c:strRef>
              <c:f>ControlChart_Budget2!$BJ$21</c:f>
              <c:strCache>
                <c:ptCount val="1"/>
                <c:pt idx="0">
                  <c:v>Feed dynamique</c:v>
                </c:pt>
              </c:strCache>
            </c:strRef>
          </c:tx>
          <c:spPr>
            <a:gradFill>
              <a:gsLst>
                <a:gs pos="0">
                  <a:srgbClr val="C54EF8"/>
                </a:gs>
                <a:gs pos="70000">
                  <a:srgbClr val="C54EF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ControlChart_Budget2!$BJ$22:$BJ$26</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68BE-4FD1-B235-A53B67E2AFDD}"/>
            </c:ext>
          </c:extLst>
        </c:ser>
        <c:ser>
          <c:idx val="4"/>
          <c:order val="3"/>
          <c:tx>
            <c:strRef>
              <c:f>ControlChart_Budget2!$BK$21</c:f>
              <c:strCache>
                <c:ptCount val="1"/>
                <c:pt idx="0">
                  <c:v>Extra Quarter</c:v>
                </c:pt>
              </c:strCache>
            </c:strRef>
          </c:tx>
          <c:spPr>
            <a:pattFill prst="dashUpDiag">
              <a:fgClr>
                <a:schemeClr val="tx1"/>
              </a:fgClr>
              <a:bgClr>
                <a:schemeClr val="bg2">
                  <a:lumMod val="75000"/>
                </a:schemeClr>
              </a:bgClr>
            </a:pattFill>
            <a:ln>
              <a:noFill/>
            </a:ln>
            <a:effectLst/>
            <a:sp3d/>
          </c:spPr>
          <c:invertIfNegative val="0"/>
          <c:val>
            <c:numRef>
              <c:f>ControlChart_Budget2!$BK$22:$BK$26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68BE-4FD1-B235-A53B67E2AFDD}"/>
            </c:ext>
          </c:extLst>
        </c:ser>
        <c:ser>
          <c:idx val="5"/>
          <c:order val="4"/>
          <c:tx>
            <c:strRef>
              <c:f>ControlChart_Budget2!$BL$21</c:f>
              <c:strCache>
                <c:ptCount val="1"/>
                <c:pt idx="0">
                  <c:v>Extra dynamique %</c:v>
                </c:pt>
              </c:strCache>
            </c:strRef>
          </c:tx>
          <c:spPr>
            <a:gradFill>
              <a:gsLst>
                <a:gs pos="0">
                  <a:srgbClr val="C54EF8"/>
                </a:gs>
                <a:gs pos="70000">
                  <a:srgbClr val="C54EF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ControlChart_Budget2!$BL$22:$BL$26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68BE-4FD1-B235-A53B67E2AFDD}"/>
            </c:ext>
          </c:extLst>
        </c:ser>
        <c:ser>
          <c:idx val="6"/>
          <c:order val="5"/>
          <c:tx>
            <c:strRef>
              <c:f>ControlChart_Budget2!$BM$21</c:f>
              <c:strCache>
                <c:ptCount val="1"/>
                <c:pt idx="0">
                  <c:v>Transparent</c:v>
                </c:pt>
              </c:strCache>
            </c:strRef>
          </c:tx>
          <c:spPr>
            <a:gradFill>
              <a:gsLst>
                <a:gs pos="0">
                  <a:srgbClr val="C54EF8"/>
                </a:gs>
                <a:gs pos="70000">
                  <a:srgbClr val="C54EF8"/>
                </a:gs>
              </a:gsLst>
              <a:lin ang="13500000" scaled="1"/>
            </a:gradFill>
            <a:ln>
              <a:noFill/>
            </a:ln>
            <a:effectLst/>
            <a:scene3d>
              <a:camera prst="orthographicFront"/>
              <a:lightRig rig="threePt" dir="t"/>
            </a:scene3d>
            <a:sp3d prstMaterial="clear"/>
          </c:spPr>
          <c:invertIfNegative val="0"/>
          <c:val>
            <c:numRef>
              <c:f>ControlChart_Budget2!$BM$22:$BM$26</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68BE-4FD1-B235-A53B67E2AFDD}"/>
            </c:ext>
          </c:extLst>
        </c:ser>
        <c:ser>
          <c:idx val="1"/>
          <c:order val="6"/>
          <c:tx>
            <c:strRef>
              <c:f>ControlChart_Budget2!$BH$21</c:f>
              <c:strCache>
                <c:ptCount val="1"/>
                <c:pt idx="0">
                  <c:v>Haut</c:v>
                </c:pt>
              </c:strCache>
            </c:strRef>
          </c:tx>
          <c:spPr>
            <a:solidFill>
              <a:schemeClr val="tx1">
                <a:lumMod val="75000"/>
                <a:lumOff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DA084C1C-ADE4-421C-8B9A-F7DAF9B9A7A6}"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68BE-4FD1-B235-A53B67E2AFDD}"/>
                </c:ext>
              </c:extLst>
            </c:dLbl>
            <c:dLbl>
              <c:idx val="1"/>
              <c:tx>
                <c:rich>
                  <a:bodyPr/>
                  <a:lstStyle/>
                  <a:p>
                    <a:fld id="{1E925F0E-DFA2-42AE-BA82-E97B0AB6C8F0}"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8BE-4FD1-B235-A53B67E2AFDD}"/>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8BE-4FD1-B235-A53B67E2AFDD}"/>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8BE-4FD1-B235-A53B67E2AFDD}"/>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8BE-4FD1-B235-A53B67E2AF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ControlChart_Budget2!$BH$22:$BH$26</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ControlChart_Budget2!$AW$22:$AW$26</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68BE-4FD1-B235-A53B67E2AFDD}"/>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ControlChart_Budget2!$BG$30</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ControlChart_Budget2!$BG$31:$BG$35</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249B-4D68-BF30-1FAACD963DEE}"/>
            </c:ext>
          </c:extLst>
        </c:ser>
        <c:ser>
          <c:idx val="2"/>
          <c:order val="1"/>
          <c:tx>
            <c:strRef>
              <c:f>ControlChart_Budget2!$BI$30</c:f>
              <c:strCache>
                <c:ptCount val="1"/>
                <c:pt idx="0">
                  <c:v>Étiquette</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317594D4-6639-48B2-A10F-5827F97CBB6C}"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249B-4D68-BF30-1FAACD963DEE}"/>
                </c:ext>
              </c:extLst>
            </c:dLbl>
            <c:dLbl>
              <c:idx val="1"/>
              <c:tx>
                <c:rich>
                  <a:bodyPr/>
                  <a:lstStyle/>
                  <a:p>
                    <a:fld id="{A351A851-D0A3-49BE-BD8F-D8A6D18A7212}"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49B-4D68-BF30-1FAACD963DEE}"/>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249B-4D68-BF30-1FAACD963DEE}"/>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249B-4D68-BF30-1FAACD963DEE}"/>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249B-4D68-BF30-1FAACD963D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ControlChart_Budget2!$BI$31:$BI$35</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ControlChart_Budget2!$BJ$31:$BJ$35</c15:f>
                <c15:dlblRangeCache>
                  <c:ptCount val="5"/>
                  <c:pt idx="0">
                    <c:v>90%</c:v>
                  </c:pt>
                  <c:pt idx="1">
                    <c:v>100%</c:v>
                  </c:pt>
                  <c:pt idx="2">
                    <c:v>#N/A</c:v>
                  </c:pt>
                  <c:pt idx="3">
                    <c:v>#N/A</c:v>
                  </c:pt>
                  <c:pt idx="4">
                    <c:v>#N/A</c:v>
                  </c:pt>
                </c15:dlblRangeCache>
              </c15:datalabelsRange>
            </c:ext>
            <c:ext xmlns:c16="http://schemas.microsoft.com/office/drawing/2014/chart" uri="{C3380CC4-5D6E-409C-BE32-E72D297353CC}">
              <c16:uniqueId val="{0000000B-249B-4D68-BF30-1FAACD963DEE}"/>
            </c:ext>
          </c:extLst>
        </c:ser>
        <c:ser>
          <c:idx val="3"/>
          <c:order val="2"/>
          <c:tx>
            <c:strRef>
              <c:f>ControlChart_Budget2!$BJ$30</c:f>
              <c:strCache>
                <c:ptCount val="1"/>
                <c:pt idx="0">
                  <c:v>Feed dynamique</c:v>
                </c:pt>
              </c:strCache>
            </c:strRef>
          </c:tx>
          <c:spPr>
            <a:gradFill>
              <a:gsLst>
                <a:gs pos="0">
                  <a:srgbClr val="FA6148"/>
                </a:gs>
                <a:gs pos="70000">
                  <a:srgbClr val="FA614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ControlChart_Budget2!$BJ$31:$BJ$35</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249B-4D68-BF30-1FAACD963DEE}"/>
            </c:ext>
          </c:extLst>
        </c:ser>
        <c:ser>
          <c:idx val="4"/>
          <c:order val="3"/>
          <c:tx>
            <c:strRef>
              <c:f>ControlChart_Budget2!$BK$30</c:f>
              <c:strCache>
                <c:ptCount val="1"/>
                <c:pt idx="0">
                  <c:v>Extra Quarter</c:v>
                </c:pt>
              </c:strCache>
            </c:strRef>
          </c:tx>
          <c:spPr>
            <a:pattFill prst="dashUpDiag">
              <a:fgClr>
                <a:schemeClr val="bg2">
                  <a:lumMod val="25000"/>
                </a:schemeClr>
              </a:fgClr>
              <a:bgClr>
                <a:schemeClr val="bg2">
                  <a:lumMod val="75000"/>
                </a:schemeClr>
              </a:bgClr>
            </a:pattFill>
            <a:ln>
              <a:noFill/>
            </a:ln>
            <a:effectLst/>
            <a:sp3d/>
          </c:spPr>
          <c:invertIfNegative val="0"/>
          <c:val>
            <c:numRef>
              <c:f>ControlChart_Budget2!$BK$31:$BK$35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249B-4D68-BF30-1FAACD963DEE}"/>
            </c:ext>
          </c:extLst>
        </c:ser>
        <c:ser>
          <c:idx val="5"/>
          <c:order val="4"/>
          <c:tx>
            <c:strRef>
              <c:f>ControlChart_Budget2!$BL$30</c:f>
              <c:strCache>
                <c:ptCount val="1"/>
                <c:pt idx="0">
                  <c:v>Extra dynamique %</c:v>
                </c:pt>
              </c:strCache>
            </c:strRef>
          </c:tx>
          <c:spPr>
            <a:gradFill>
              <a:gsLst>
                <a:gs pos="0">
                  <a:srgbClr val="FA6148"/>
                </a:gs>
                <a:gs pos="70000">
                  <a:srgbClr val="FA614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Pt>
            <c:idx val="1"/>
            <c:invertIfNegative val="0"/>
            <c:bubble3D val="0"/>
            <c:spPr>
              <a:gradFill>
                <a:gsLst>
                  <a:gs pos="0">
                    <a:srgbClr val="FA6148"/>
                  </a:gs>
                  <a:gs pos="70000">
                    <a:srgbClr val="FA614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extLst>
              <c:ext xmlns:c16="http://schemas.microsoft.com/office/drawing/2014/chart" uri="{C3380CC4-5D6E-409C-BE32-E72D297353CC}">
                <c16:uniqueId val="{0000000F-249B-4D68-BF30-1FAACD963DEE}"/>
              </c:ext>
            </c:extLst>
          </c:dPt>
          <c:dPt>
            <c:idx val="3"/>
            <c:invertIfNegative val="0"/>
            <c:bubble3D val="0"/>
            <c:spPr>
              <a:gradFill>
                <a:gsLst>
                  <a:gs pos="0">
                    <a:srgbClr val="FA6148"/>
                  </a:gs>
                  <a:gs pos="70000">
                    <a:srgbClr val="FA614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extLst>
              <c:ext xmlns:c16="http://schemas.microsoft.com/office/drawing/2014/chart" uri="{C3380CC4-5D6E-409C-BE32-E72D297353CC}">
                <c16:uniqueId val="{00000011-249B-4D68-BF30-1FAACD963DEE}"/>
              </c:ext>
            </c:extLst>
          </c:dPt>
          <c:val>
            <c:numRef>
              <c:f>ControlChart_Budget2!$BL$31:$BL$35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12-249B-4D68-BF30-1FAACD963DEE}"/>
            </c:ext>
          </c:extLst>
        </c:ser>
        <c:ser>
          <c:idx val="6"/>
          <c:order val="5"/>
          <c:tx>
            <c:strRef>
              <c:f>ControlChart_Budget2!$BM$30</c:f>
              <c:strCache>
                <c:ptCount val="1"/>
                <c:pt idx="0">
                  <c:v>Transparent</c:v>
                </c:pt>
              </c:strCache>
            </c:strRef>
          </c:tx>
          <c:spPr>
            <a:gradFill>
              <a:gsLst>
                <a:gs pos="0">
                  <a:srgbClr val="FA6148"/>
                </a:gs>
                <a:gs pos="70000">
                  <a:srgbClr val="FA6148"/>
                </a:gs>
              </a:gsLst>
              <a:lin ang="13500000" scaled="1"/>
            </a:gradFill>
            <a:ln>
              <a:noFill/>
            </a:ln>
            <a:effectLst/>
            <a:scene3d>
              <a:camera prst="orthographicFront"/>
              <a:lightRig rig="threePt" dir="t"/>
            </a:scene3d>
            <a:sp3d prstMaterial="clear"/>
          </c:spPr>
          <c:invertIfNegative val="0"/>
          <c:val>
            <c:numRef>
              <c:f>ControlChart_Budget2!$BM$31:$BM$35</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13-249B-4D68-BF30-1FAACD963DEE}"/>
            </c:ext>
          </c:extLst>
        </c:ser>
        <c:ser>
          <c:idx val="1"/>
          <c:order val="6"/>
          <c:tx>
            <c:strRef>
              <c:f>ControlChart_Budget2!$BH$30</c:f>
              <c:strCache>
                <c:ptCount val="1"/>
                <c:pt idx="0">
                  <c:v>Haut</c:v>
                </c:pt>
              </c:strCache>
            </c:strRef>
          </c:tx>
          <c:spPr>
            <a:solidFill>
              <a:schemeClr val="bg2">
                <a:lumMod val="25000"/>
              </a:schemeClr>
            </a:soli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Lbls>
            <c:dLbl>
              <c:idx val="0"/>
              <c:tx>
                <c:rich>
                  <a:bodyPr/>
                  <a:lstStyle/>
                  <a:p>
                    <a:fld id="{9CCC23A2-B3AC-47C3-9FD3-7B60EA7A2406}"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249B-4D68-BF30-1FAACD963DEE}"/>
                </c:ext>
              </c:extLst>
            </c:dLbl>
            <c:dLbl>
              <c:idx val="1"/>
              <c:tx>
                <c:rich>
                  <a:bodyPr/>
                  <a:lstStyle/>
                  <a:p>
                    <a:fld id="{D64F71F0-A5F7-481F-8DBF-7E124300D79F}"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49B-4D68-BF30-1FAACD963DEE}"/>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249B-4D68-BF30-1FAACD963DEE}"/>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249B-4D68-BF30-1FAACD963DEE}"/>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249B-4D68-BF30-1FAACD963D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ControlChart_Budget2!$BH$31:$BH$35</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ControlChart_Budget2!$AW$31:$AW$35</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4-249B-4D68-BF30-1FAACD963DEE}"/>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a:outerShdw blurRad="38100" dist="50800" dir="5400000" algn="ctr" rotWithShape="0">
        <a:srgbClr val="000000">
          <a:alpha val="43137"/>
        </a:srgbClr>
      </a:outerShdw>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ControlChart_Budget2!$BG$57</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ControlChart_Budget2!$BG$58:$BG$62</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8090-4119-BF19-CEB37AB4CB16}"/>
            </c:ext>
          </c:extLst>
        </c:ser>
        <c:ser>
          <c:idx val="2"/>
          <c:order val="1"/>
          <c:tx>
            <c:strRef>
              <c:f>ControlChart_Budget2!$BI$57</c:f>
              <c:strCache>
                <c:ptCount val="1"/>
                <c:pt idx="0">
                  <c:v>Étiquette</c:v>
                </c:pt>
              </c:strCache>
            </c:strRef>
          </c:tx>
          <c:spPr>
            <a:solidFill>
              <a:schemeClr val="bg2">
                <a:lumMod val="25000"/>
              </a:schemeClr>
            </a:solidFill>
            <a:ln>
              <a:noFill/>
            </a:ln>
            <a:effectLst/>
            <a:scene3d>
              <a:camera prst="orthographicFront"/>
              <a:lightRig rig="threePt" dir="t"/>
            </a:scene3d>
            <a:sp3d prstMaterial="dkEdge"/>
          </c:spPr>
          <c:invertIfNegative val="0"/>
          <c:dLbls>
            <c:dLbl>
              <c:idx val="0"/>
              <c:tx>
                <c:rich>
                  <a:bodyPr/>
                  <a:lstStyle/>
                  <a:p>
                    <a:fld id="{A5D91D16-BC53-4E46-AC6E-2ABDC821C6F9}"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090-4119-BF19-CEB37AB4CB16}"/>
                </c:ext>
              </c:extLst>
            </c:dLbl>
            <c:dLbl>
              <c:idx val="1"/>
              <c:tx>
                <c:rich>
                  <a:bodyPr/>
                  <a:lstStyle/>
                  <a:p>
                    <a:fld id="{58042902-47A0-4E34-AF51-98C1DA7BA527}"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090-4119-BF19-CEB37AB4CB16}"/>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8090-4119-BF19-CEB37AB4CB16}"/>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8090-4119-BF19-CEB37AB4CB16}"/>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8090-4119-BF19-CEB37AB4CB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ControlChart_Budget2!$BI$58:$BI$62</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ControlChart_Budget2!$BJ$58:$BJ$62</c15:f>
                <c15:dlblRangeCache>
                  <c:ptCount val="5"/>
                  <c:pt idx="0">
                    <c:v>90%</c:v>
                  </c:pt>
                  <c:pt idx="1">
                    <c:v>100%</c:v>
                  </c:pt>
                  <c:pt idx="2">
                    <c:v>#N/A</c:v>
                  </c:pt>
                  <c:pt idx="3">
                    <c:v>#N/A</c:v>
                  </c:pt>
                  <c:pt idx="4">
                    <c:v>#N/A</c:v>
                  </c:pt>
                </c15:dlblRangeCache>
              </c15:datalabelsRange>
            </c:ext>
            <c:ext xmlns:c16="http://schemas.microsoft.com/office/drawing/2014/chart" uri="{C3380CC4-5D6E-409C-BE32-E72D297353CC}">
              <c16:uniqueId val="{0000000B-8090-4119-BF19-CEB37AB4CB16}"/>
            </c:ext>
          </c:extLst>
        </c:ser>
        <c:ser>
          <c:idx val="3"/>
          <c:order val="2"/>
          <c:tx>
            <c:strRef>
              <c:f>ControlChart_Budget2!$BJ$57</c:f>
              <c:strCache>
                <c:ptCount val="1"/>
                <c:pt idx="0">
                  <c:v>Feed dynamique</c:v>
                </c:pt>
              </c:strCache>
            </c:strRef>
          </c:tx>
          <c:spPr>
            <a:gradFill>
              <a:gsLst>
                <a:gs pos="0">
                  <a:srgbClr val="15C2FF"/>
                </a:gs>
                <a:gs pos="70000">
                  <a:srgbClr val="15C2FF"/>
                </a:gs>
              </a:gsLst>
              <a:lin ang="13500000" scaled="1"/>
            </a:gra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val>
            <c:numRef>
              <c:f>ControlChart_Budget2!$BJ$58:$BJ$62</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8090-4119-BF19-CEB37AB4CB16}"/>
            </c:ext>
          </c:extLst>
        </c:ser>
        <c:ser>
          <c:idx val="4"/>
          <c:order val="3"/>
          <c:tx>
            <c:strRef>
              <c:f>ControlChart_Budget2!$BK$57</c:f>
              <c:strCache>
                <c:ptCount val="1"/>
                <c:pt idx="0">
                  <c:v>Extra Quarter</c:v>
                </c:pt>
              </c:strCache>
            </c:strRef>
          </c:tx>
          <c:spPr>
            <a:pattFill prst="dashUpDiag">
              <a:fgClr>
                <a:schemeClr val="bg2">
                  <a:lumMod val="25000"/>
                </a:schemeClr>
              </a:fgClr>
              <a:bgClr>
                <a:schemeClr val="bg2">
                  <a:lumMod val="75000"/>
                </a:schemeClr>
              </a:bgClr>
            </a:pattFill>
            <a:ln>
              <a:noFill/>
            </a:ln>
            <a:effectLst/>
            <a:sp3d/>
          </c:spPr>
          <c:invertIfNegative val="0"/>
          <c:val>
            <c:numRef>
              <c:f>ControlChart_Budget2!$BK$58:$BK$62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8090-4119-BF19-CEB37AB4CB16}"/>
            </c:ext>
          </c:extLst>
        </c:ser>
        <c:ser>
          <c:idx val="5"/>
          <c:order val="4"/>
          <c:tx>
            <c:strRef>
              <c:f>ControlChart_Budget2!$BL$57</c:f>
              <c:strCache>
                <c:ptCount val="1"/>
                <c:pt idx="0">
                  <c:v>Extra dynamique %</c:v>
                </c:pt>
              </c:strCache>
            </c:strRef>
          </c:tx>
          <c:spPr>
            <a:gradFill>
              <a:gsLst>
                <a:gs pos="0">
                  <a:srgbClr val="15C2FF"/>
                </a:gs>
                <a:gs pos="70000">
                  <a:srgbClr val="15C2FF"/>
                </a:gs>
              </a:gsLst>
              <a:lin ang="13500000" scaled="1"/>
            </a:gra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val>
            <c:numRef>
              <c:f>ControlChart_Budget2!$BL$58:$BL$62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8090-4119-BF19-CEB37AB4CB16}"/>
            </c:ext>
          </c:extLst>
        </c:ser>
        <c:ser>
          <c:idx val="6"/>
          <c:order val="5"/>
          <c:tx>
            <c:strRef>
              <c:f>ControlChart_Budget2!$BM$57</c:f>
              <c:strCache>
                <c:ptCount val="1"/>
                <c:pt idx="0">
                  <c:v>Transparent</c:v>
                </c:pt>
              </c:strCache>
            </c:strRef>
          </c:tx>
          <c:spPr>
            <a:gradFill>
              <a:gsLst>
                <a:gs pos="0">
                  <a:srgbClr val="15C2FF"/>
                </a:gs>
                <a:gs pos="70000">
                  <a:srgbClr val="15C2FF"/>
                </a:gs>
              </a:gsLst>
              <a:lin ang="13500000" scaled="1"/>
            </a:gradFill>
            <a:ln>
              <a:noFill/>
            </a:ln>
            <a:effectLst/>
            <a:scene3d>
              <a:camera prst="orthographicFront"/>
              <a:lightRig rig="threePt" dir="t"/>
            </a:scene3d>
            <a:sp3d prstMaterial="clear">
              <a:contourClr>
                <a:schemeClr val="tx1">
                  <a:lumMod val="85000"/>
                  <a:lumOff val="15000"/>
                </a:schemeClr>
              </a:contourClr>
            </a:sp3d>
          </c:spPr>
          <c:invertIfNegative val="0"/>
          <c:val>
            <c:numRef>
              <c:f>ControlChart_Budget2!$BM$58:$BM$62</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8090-4119-BF19-CEB37AB4CB16}"/>
            </c:ext>
          </c:extLst>
        </c:ser>
        <c:ser>
          <c:idx val="1"/>
          <c:order val="6"/>
          <c:tx>
            <c:strRef>
              <c:f>ControlChart_Budget2!$BH$57</c:f>
              <c:strCache>
                <c:ptCount val="1"/>
                <c:pt idx="0">
                  <c:v>Haut</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26635704-5F02-4B62-8923-CFD3EBE58C2A}"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090-4119-BF19-CEB37AB4CB16}"/>
                </c:ext>
              </c:extLst>
            </c:dLbl>
            <c:dLbl>
              <c:idx val="1"/>
              <c:tx>
                <c:rich>
                  <a:bodyPr/>
                  <a:lstStyle/>
                  <a:p>
                    <a:fld id="{9789A8D4-93C3-4FA3-8AE5-47B7230CD629}"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090-4119-BF19-CEB37AB4CB16}"/>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8090-4119-BF19-CEB37AB4CB16}"/>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8090-4119-BF19-CEB37AB4CB16}"/>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8090-4119-BF19-CEB37AB4CB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ControlChart_Budget2!$BH$58:$BH$62</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ControlChart_Budget2!$AW$58:$AW$62</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8090-4119-BF19-CEB37AB4CB16}"/>
            </c:ext>
          </c:extLst>
        </c:ser>
        <c:dLbls>
          <c:showLegendKey val="0"/>
          <c:showVal val="0"/>
          <c:showCatName val="0"/>
          <c:showSerName val="0"/>
          <c:showPercent val="0"/>
          <c:showBubbleSize val="0"/>
        </c:dLbls>
        <c:gapWidth val="17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ControlChart_Budget2!$BG$39</c:f>
              <c:strCache>
                <c:ptCount val="1"/>
                <c:pt idx="0">
                  <c:v>Bas</c:v>
                </c:pt>
              </c:strCache>
            </c:strRef>
          </c:tx>
          <c:spPr>
            <a:solidFill>
              <a:schemeClr val="tx1">
                <a:lumMod val="85000"/>
                <a:lumOff val="15000"/>
              </a:schemeClr>
            </a:solidFill>
            <a:ln>
              <a:noFill/>
            </a:ln>
            <a:effectLst>
              <a:outerShdw blurRad="50800" dist="38100" dir="5400000" algn="t" rotWithShape="0">
                <a:schemeClr val="bg1">
                  <a:alpha val="40000"/>
                </a:schemeClr>
              </a:outerShdw>
            </a:effectLst>
            <a:scene3d>
              <a:camera prst="orthographicFront"/>
              <a:lightRig rig="threePt" dir="t"/>
            </a:scene3d>
            <a:sp3d prstMaterial="dkEdge">
              <a:contourClr>
                <a:srgbClr val="000000"/>
              </a:contourClr>
            </a:sp3d>
          </c:spPr>
          <c:invertIfNegative val="0"/>
          <c:val>
            <c:numRef>
              <c:f>ControlChart_Budget2!$BG$40:$BG$44</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6C3A-488A-9388-9A79F9FD9377}"/>
            </c:ext>
          </c:extLst>
        </c:ser>
        <c:ser>
          <c:idx val="2"/>
          <c:order val="1"/>
          <c:tx>
            <c:strRef>
              <c:f>ControlChart_Budget2!$BI$39</c:f>
              <c:strCache>
                <c:ptCount val="1"/>
                <c:pt idx="0">
                  <c:v>Étiquette</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194B7E98-3C41-440E-B600-CF4F3A2D79BD}"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C3A-488A-9388-9A79F9FD9377}"/>
                </c:ext>
              </c:extLst>
            </c:dLbl>
            <c:dLbl>
              <c:idx val="1"/>
              <c:tx>
                <c:rich>
                  <a:bodyPr/>
                  <a:lstStyle/>
                  <a:p>
                    <a:fld id="{EE5259E4-5E7F-46BF-9C2F-31D32383632D}"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C3A-488A-9388-9A79F9FD9377}"/>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C3A-488A-9388-9A79F9FD9377}"/>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C3A-488A-9388-9A79F9FD9377}"/>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C3A-488A-9388-9A79F9FD93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ControlChart_Budget2!$BI$40:$BI$44</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ControlChart_Budget2!$BJ$40:$BJ$44</c15:f>
                <c15:dlblRangeCache>
                  <c:ptCount val="5"/>
                  <c:pt idx="0">
                    <c:v>90%</c:v>
                  </c:pt>
                  <c:pt idx="1">
                    <c:v>100%</c:v>
                  </c:pt>
                  <c:pt idx="2">
                    <c:v>#N/A</c:v>
                  </c:pt>
                  <c:pt idx="3">
                    <c:v>#N/A</c:v>
                  </c:pt>
                  <c:pt idx="4">
                    <c:v>#N/A</c:v>
                  </c:pt>
                </c15:dlblRangeCache>
              </c15:datalabelsRange>
            </c:ext>
            <c:ext xmlns:c16="http://schemas.microsoft.com/office/drawing/2014/chart" uri="{C3380CC4-5D6E-409C-BE32-E72D297353CC}">
              <c16:uniqueId val="{0000000B-6C3A-488A-9388-9A79F9FD9377}"/>
            </c:ext>
          </c:extLst>
        </c:ser>
        <c:ser>
          <c:idx val="3"/>
          <c:order val="2"/>
          <c:tx>
            <c:strRef>
              <c:f>ControlChart_Budget2!$BJ$39</c:f>
              <c:strCache>
                <c:ptCount val="1"/>
                <c:pt idx="0">
                  <c:v>Feed dynamique</c:v>
                </c:pt>
              </c:strCache>
            </c:strRef>
          </c:tx>
          <c:spPr>
            <a:gradFill>
              <a:gsLst>
                <a:gs pos="0">
                  <a:srgbClr val="FFFF00"/>
                </a:gs>
                <a:gs pos="70000">
                  <a:srgbClr val="FFFF00"/>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ControlChart_Budget2!$BJ$40:$BJ$44</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6C3A-488A-9388-9A79F9FD9377}"/>
            </c:ext>
          </c:extLst>
        </c:ser>
        <c:ser>
          <c:idx val="4"/>
          <c:order val="3"/>
          <c:tx>
            <c:strRef>
              <c:f>ControlChart_Budget2!$BK$39</c:f>
              <c:strCache>
                <c:ptCount val="1"/>
                <c:pt idx="0">
                  <c:v>Extra Quarter</c:v>
                </c:pt>
              </c:strCache>
            </c:strRef>
          </c:tx>
          <c:spPr>
            <a:pattFill prst="dashUpDiag">
              <a:fgClr>
                <a:schemeClr val="bg2">
                  <a:lumMod val="25000"/>
                </a:schemeClr>
              </a:fgClr>
              <a:bgClr>
                <a:schemeClr val="bg2">
                  <a:lumMod val="75000"/>
                </a:schemeClr>
              </a:bgClr>
            </a:pattFill>
            <a:ln>
              <a:noFill/>
            </a:ln>
            <a:effectLst/>
            <a:sp3d/>
          </c:spPr>
          <c:invertIfNegative val="0"/>
          <c:val>
            <c:numRef>
              <c:f>ControlChart_Budget2!$BK$40:$BK$44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6C3A-488A-9388-9A79F9FD9377}"/>
            </c:ext>
          </c:extLst>
        </c:ser>
        <c:ser>
          <c:idx val="5"/>
          <c:order val="4"/>
          <c:tx>
            <c:strRef>
              <c:f>ControlChart_Budget2!$BL$39</c:f>
              <c:strCache>
                <c:ptCount val="1"/>
                <c:pt idx="0">
                  <c:v>Extra dynamique %</c:v>
                </c:pt>
              </c:strCache>
            </c:strRef>
          </c:tx>
          <c:spPr>
            <a:gradFill>
              <a:gsLst>
                <a:gs pos="0">
                  <a:srgbClr val="FFFF00"/>
                </a:gs>
                <a:gs pos="70000">
                  <a:srgbClr val="FFFF00"/>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ControlChart_Budget2!$BL$40:$BL$44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6C3A-488A-9388-9A79F9FD9377}"/>
            </c:ext>
          </c:extLst>
        </c:ser>
        <c:ser>
          <c:idx val="6"/>
          <c:order val="5"/>
          <c:tx>
            <c:strRef>
              <c:f>ControlChart_Budget2!$BM$39</c:f>
              <c:strCache>
                <c:ptCount val="1"/>
                <c:pt idx="0">
                  <c:v>Transparent</c:v>
                </c:pt>
              </c:strCache>
            </c:strRef>
          </c:tx>
          <c:spPr>
            <a:gradFill>
              <a:gsLst>
                <a:gs pos="0">
                  <a:srgbClr val="FFFF00"/>
                </a:gs>
                <a:gs pos="70000">
                  <a:srgbClr val="FFFF00"/>
                </a:gs>
              </a:gsLst>
              <a:lin ang="13500000" scaled="1"/>
            </a:gradFill>
            <a:ln>
              <a:solidFill>
                <a:schemeClr val="tx1">
                  <a:lumMod val="75000"/>
                  <a:lumOff val="25000"/>
                </a:schemeClr>
              </a:solidFill>
            </a:ln>
            <a:effectLst/>
            <a:scene3d>
              <a:camera prst="orthographicFront"/>
              <a:lightRig rig="threePt" dir="t"/>
            </a:scene3d>
            <a:sp3d prstMaterial="clear">
              <a:contourClr>
                <a:schemeClr val="tx1">
                  <a:lumMod val="75000"/>
                  <a:lumOff val="25000"/>
                </a:schemeClr>
              </a:contourClr>
            </a:sp3d>
          </c:spPr>
          <c:invertIfNegative val="0"/>
          <c:val>
            <c:numRef>
              <c:f>ControlChart_Budget2!$BM$40:$BM$44</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6C3A-488A-9388-9A79F9FD9377}"/>
            </c:ext>
          </c:extLst>
        </c:ser>
        <c:ser>
          <c:idx val="1"/>
          <c:order val="6"/>
          <c:tx>
            <c:strRef>
              <c:f>ControlChart_Budget2!$BH$39</c:f>
              <c:strCache>
                <c:ptCount val="1"/>
                <c:pt idx="0">
                  <c:v>Haut</c:v>
                </c:pt>
              </c:strCache>
            </c:strRef>
          </c:tx>
          <c:spPr>
            <a:solidFill>
              <a:schemeClr val="bg2">
                <a:lumMod val="25000"/>
              </a:schemeClr>
            </a:soli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Lbls>
            <c:dLbl>
              <c:idx val="0"/>
              <c:tx>
                <c:rich>
                  <a:bodyPr/>
                  <a:lstStyle/>
                  <a:p>
                    <a:fld id="{790B6160-ED9C-44C0-A933-BD38FFBACC34}"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6C3A-488A-9388-9A79F9FD9377}"/>
                </c:ext>
              </c:extLst>
            </c:dLbl>
            <c:dLbl>
              <c:idx val="1"/>
              <c:tx>
                <c:rich>
                  <a:bodyPr/>
                  <a:lstStyle/>
                  <a:p>
                    <a:fld id="{3ADB2A61-07F1-4C6C-A567-7EC4D3E24A44}"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C3A-488A-9388-9A79F9FD9377}"/>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C3A-488A-9388-9A79F9FD9377}"/>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C3A-488A-9388-9A79F9FD9377}"/>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C3A-488A-9388-9A79F9FD93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ControlChart_Budget2!$BH$40:$BH$44</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ControlChart_Budget2!$AW$40:$AW$44</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6C3A-488A-9388-9A79F9FD9377}"/>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ControlChart_Budget2!$BG$48</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ControlChart_Budget2!$BG$49:$BG$53</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E0EA-4136-92C7-55FECFA86EF2}"/>
            </c:ext>
          </c:extLst>
        </c:ser>
        <c:ser>
          <c:idx val="2"/>
          <c:order val="1"/>
          <c:tx>
            <c:strRef>
              <c:f>ControlChart_Budget2!$BI$48</c:f>
              <c:strCache>
                <c:ptCount val="1"/>
                <c:pt idx="0">
                  <c:v>Étiquette</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8E5A63C5-D22E-4FAF-9170-35252A42543F}"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0EA-4136-92C7-55FECFA86EF2}"/>
                </c:ext>
              </c:extLst>
            </c:dLbl>
            <c:dLbl>
              <c:idx val="1"/>
              <c:tx>
                <c:rich>
                  <a:bodyPr/>
                  <a:lstStyle/>
                  <a:p>
                    <a:fld id="{3B032B0F-9072-4D5B-B696-BCCF01AC3BE8}"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0EA-4136-92C7-55FECFA86EF2}"/>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E0EA-4136-92C7-55FECFA86EF2}"/>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E0EA-4136-92C7-55FECFA86EF2}"/>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E0EA-4136-92C7-55FECFA86E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ControlChart_Budget2!$BI$49:$BI$53</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ControlChart_Budget2!$BJ$49:$BJ$53</c15:f>
                <c15:dlblRangeCache>
                  <c:ptCount val="5"/>
                  <c:pt idx="0">
                    <c:v>90%</c:v>
                  </c:pt>
                  <c:pt idx="1">
                    <c:v>100%</c:v>
                  </c:pt>
                  <c:pt idx="2">
                    <c:v>#N/A</c:v>
                  </c:pt>
                  <c:pt idx="3">
                    <c:v>#N/A</c:v>
                  </c:pt>
                  <c:pt idx="4">
                    <c:v>#N/A</c:v>
                  </c:pt>
                </c15:dlblRangeCache>
              </c15:datalabelsRange>
            </c:ext>
            <c:ext xmlns:c16="http://schemas.microsoft.com/office/drawing/2014/chart" uri="{C3380CC4-5D6E-409C-BE32-E72D297353CC}">
              <c16:uniqueId val="{0000000B-E0EA-4136-92C7-55FECFA86EF2}"/>
            </c:ext>
          </c:extLst>
        </c:ser>
        <c:ser>
          <c:idx val="3"/>
          <c:order val="2"/>
          <c:tx>
            <c:strRef>
              <c:f>ControlChart_Budget2!$BJ$48</c:f>
              <c:strCache>
                <c:ptCount val="1"/>
                <c:pt idx="0">
                  <c:v>Feed dynamique</c:v>
                </c:pt>
              </c:strCache>
            </c:strRef>
          </c:tx>
          <c:spPr>
            <a:gradFill>
              <a:gsLst>
                <a:gs pos="0">
                  <a:srgbClr val="9EF193"/>
                </a:gs>
                <a:gs pos="70000">
                  <a:srgbClr val="9EF193"/>
                </a:gs>
              </a:gsLst>
              <a:lin ang="13500000" scaled="1"/>
            </a:gra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val>
            <c:numRef>
              <c:f>ControlChart_Budget2!$BJ$49:$BJ$53</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E0EA-4136-92C7-55FECFA86EF2}"/>
            </c:ext>
          </c:extLst>
        </c:ser>
        <c:ser>
          <c:idx val="4"/>
          <c:order val="3"/>
          <c:tx>
            <c:strRef>
              <c:f>ControlChart_Budget2!$BK$48</c:f>
              <c:strCache>
                <c:ptCount val="1"/>
                <c:pt idx="0">
                  <c:v>Extra Quarter</c:v>
                </c:pt>
              </c:strCache>
            </c:strRef>
          </c:tx>
          <c:spPr>
            <a:pattFill prst="dashUpDiag">
              <a:fgClr>
                <a:schemeClr val="bg2">
                  <a:lumMod val="25000"/>
                </a:schemeClr>
              </a:fgClr>
              <a:bgClr>
                <a:schemeClr val="bg2">
                  <a:lumMod val="75000"/>
                </a:schemeClr>
              </a:bgClr>
            </a:pattFill>
            <a:ln>
              <a:noFill/>
            </a:ln>
            <a:effectLst/>
            <a:sp3d/>
          </c:spPr>
          <c:invertIfNegative val="0"/>
          <c:val>
            <c:numRef>
              <c:f>ControlChart_Budget2!$BK$49:$BK$53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E0EA-4136-92C7-55FECFA86EF2}"/>
            </c:ext>
          </c:extLst>
        </c:ser>
        <c:ser>
          <c:idx val="5"/>
          <c:order val="4"/>
          <c:tx>
            <c:strRef>
              <c:f>ControlChart_Budget2!$BL$48</c:f>
              <c:strCache>
                <c:ptCount val="1"/>
                <c:pt idx="0">
                  <c:v>Extra dynamique %</c:v>
                </c:pt>
              </c:strCache>
            </c:strRef>
          </c:tx>
          <c:spPr>
            <a:gradFill>
              <a:gsLst>
                <a:gs pos="0">
                  <a:srgbClr val="9EF193"/>
                </a:gs>
                <a:gs pos="70000">
                  <a:srgbClr val="9EF193"/>
                </a:gs>
              </a:gsLst>
              <a:lin ang="13500000" scaled="1"/>
            </a:gra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val>
            <c:numRef>
              <c:f>ControlChart_Budget2!$BL$49:$BL$53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E0EA-4136-92C7-55FECFA86EF2}"/>
            </c:ext>
          </c:extLst>
        </c:ser>
        <c:ser>
          <c:idx val="6"/>
          <c:order val="5"/>
          <c:tx>
            <c:strRef>
              <c:f>ControlChart_Budget2!$BM$48</c:f>
              <c:strCache>
                <c:ptCount val="1"/>
                <c:pt idx="0">
                  <c:v>Transparent</c:v>
                </c:pt>
              </c:strCache>
            </c:strRef>
          </c:tx>
          <c:spPr>
            <a:gradFill>
              <a:gsLst>
                <a:gs pos="0">
                  <a:srgbClr val="9EF193"/>
                </a:gs>
                <a:gs pos="70000">
                  <a:srgbClr val="9EF193"/>
                </a:gs>
              </a:gsLst>
              <a:lin ang="13500000" scaled="1"/>
            </a:gradFill>
            <a:ln>
              <a:solidFill>
                <a:schemeClr val="tx1">
                  <a:lumMod val="85000"/>
                  <a:lumOff val="15000"/>
                </a:schemeClr>
              </a:solidFill>
            </a:ln>
            <a:effectLst/>
            <a:scene3d>
              <a:camera prst="orthographicFront"/>
              <a:lightRig rig="threePt" dir="t"/>
            </a:scene3d>
            <a:sp3d prstMaterial="clear">
              <a:contourClr>
                <a:schemeClr val="tx1">
                  <a:lumMod val="85000"/>
                  <a:lumOff val="15000"/>
                </a:schemeClr>
              </a:contourClr>
            </a:sp3d>
          </c:spPr>
          <c:invertIfNegative val="0"/>
          <c:val>
            <c:numRef>
              <c:f>ControlChart_Budget2!$BM$49:$BM$53</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E0EA-4136-92C7-55FECFA86EF2}"/>
            </c:ext>
          </c:extLst>
        </c:ser>
        <c:ser>
          <c:idx val="1"/>
          <c:order val="6"/>
          <c:tx>
            <c:strRef>
              <c:f>ControlChart_Budget2!$BH$48</c:f>
              <c:strCache>
                <c:ptCount val="1"/>
                <c:pt idx="0">
                  <c:v>Haut</c:v>
                </c:pt>
              </c:strCache>
            </c:strRef>
          </c:tx>
          <c:spPr>
            <a:solidFill>
              <a:schemeClr val="bg2">
                <a:lumMod val="25000"/>
              </a:schemeClr>
            </a:soli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Lbls>
            <c:dLbl>
              <c:idx val="0"/>
              <c:tx>
                <c:rich>
                  <a:bodyPr/>
                  <a:lstStyle/>
                  <a:p>
                    <a:fld id="{826DADBE-9538-4EA7-8725-265FC0385030}"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E0EA-4136-92C7-55FECFA86EF2}"/>
                </c:ext>
              </c:extLst>
            </c:dLbl>
            <c:dLbl>
              <c:idx val="1"/>
              <c:tx>
                <c:rich>
                  <a:bodyPr/>
                  <a:lstStyle/>
                  <a:p>
                    <a:fld id="{AEF3588F-37A3-4B76-BAD6-27CA6963455B}"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0EA-4136-92C7-55FECFA86EF2}"/>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E0EA-4136-92C7-55FECFA86EF2}"/>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E0EA-4136-92C7-55FECFA86EF2}"/>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E0EA-4136-92C7-55FECFA86E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ControlChart_Budget2!$BH$49:$BH$53</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ControlChart_Budget2!$AW$49:$AW$53</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E0EA-4136-92C7-55FECFA86EF2}"/>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ControlChart_Budget2!$BG$2</c:f>
              <c:strCache>
                <c:ptCount val="1"/>
                <c:pt idx="0">
                  <c:v>Bas</c:v>
                </c:pt>
              </c:strCache>
            </c:strRef>
          </c:tx>
          <c:spPr>
            <a:noFill/>
            <a:ln>
              <a:noFill/>
            </a:ln>
            <a:effectLst>
              <a:outerShdw blurRad="50800" dist="38100" dir="5400000" algn="t" rotWithShape="0">
                <a:schemeClr val="bg1">
                  <a:lumMod val="85000"/>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ControlChart_Budget2!$BG$3:$BG$7</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A87C-40E0-9C85-FABE00627569}"/>
            </c:ext>
          </c:extLst>
        </c:ser>
        <c:ser>
          <c:idx val="2"/>
          <c:order val="1"/>
          <c:tx>
            <c:strRef>
              <c:f>ControlChart_Budget2!$BI$2</c:f>
              <c:strCache>
                <c:ptCount val="1"/>
                <c:pt idx="0">
                  <c:v>Étiquette</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7877A751-7E02-4741-8E0C-612384DFAFE9}"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87C-40E0-9C85-FABE00627569}"/>
                </c:ext>
              </c:extLst>
            </c:dLbl>
            <c:dLbl>
              <c:idx val="1"/>
              <c:tx>
                <c:rich>
                  <a:bodyPr/>
                  <a:lstStyle/>
                  <a:p>
                    <a:fld id="{952E8BFE-20CB-4396-99E4-01F3E58EBDFF}"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87C-40E0-9C85-FABE00627569}"/>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A87C-40E0-9C85-FABE00627569}"/>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A87C-40E0-9C85-FABE00627569}"/>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A87C-40E0-9C85-FABE006275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ControlChart_Budget2!$BI$3:$BI$7</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ControlChart_Budget2!$BJ$3:$BJ$7</c15:f>
                <c15:dlblRangeCache>
                  <c:ptCount val="5"/>
                  <c:pt idx="0">
                    <c:v>90%</c:v>
                  </c:pt>
                  <c:pt idx="1">
                    <c:v>100%</c:v>
                  </c:pt>
                  <c:pt idx="2">
                    <c:v>#N/A</c:v>
                  </c:pt>
                  <c:pt idx="3">
                    <c:v>#N/A</c:v>
                  </c:pt>
                  <c:pt idx="4">
                    <c:v>#N/A</c:v>
                  </c:pt>
                </c15:dlblRangeCache>
              </c15:datalabelsRange>
            </c:ext>
            <c:ext xmlns:c16="http://schemas.microsoft.com/office/drawing/2014/chart" uri="{C3380CC4-5D6E-409C-BE32-E72D297353CC}">
              <c16:uniqueId val="{0000000B-A87C-40E0-9C85-FABE00627569}"/>
            </c:ext>
          </c:extLst>
        </c:ser>
        <c:ser>
          <c:idx val="3"/>
          <c:order val="2"/>
          <c:tx>
            <c:strRef>
              <c:f>ControlChart_Budget2!$BJ$2</c:f>
              <c:strCache>
                <c:ptCount val="1"/>
                <c:pt idx="0">
                  <c:v>Feed dynamique</c:v>
                </c:pt>
              </c:strCache>
            </c:strRef>
          </c:tx>
          <c:spPr>
            <a:gradFill>
              <a:gsLst>
                <a:gs pos="0">
                  <a:srgbClr val="F9ADF5"/>
                </a:gs>
                <a:gs pos="70000">
                  <a:srgbClr val="F9ADF5"/>
                </a:gs>
              </a:gsLst>
              <a:lin ang="13500000" scaled="1"/>
            </a:gradFill>
            <a:ln>
              <a:solidFill>
                <a:schemeClr val="tx1">
                  <a:lumMod val="65000"/>
                  <a:lumOff val="35000"/>
                </a:schemeClr>
              </a:solidFill>
            </a:ln>
            <a:effectLst/>
            <a:scene3d>
              <a:camera prst="orthographicFront"/>
              <a:lightRig rig="threePt" dir="t"/>
            </a:scene3d>
            <a:sp3d prstMaterial="dkEdge">
              <a:contourClr>
                <a:schemeClr val="tx1">
                  <a:lumMod val="65000"/>
                  <a:lumOff val="35000"/>
                </a:schemeClr>
              </a:contourClr>
            </a:sp3d>
          </c:spPr>
          <c:invertIfNegative val="0"/>
          <c:val>
            <c:numRef>
              <c:f>ControlChart_Budget2!$BJ$3:$BJ$7</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A87C-40E0-9C85-FABE00627569}"/>
            </c:ext>
          </c:extLst>
        </c:ser>
        <c:ser>
          <c:idx val="4"/>
          <c:order val="3"/>
          <c:tx>
            <c:strRef>
              <c:f>ControlChart_Budget2!$BK$2</c:f>
              <c:strCache>
                <c:ptCount val="1"/>
                <c:pt idx="0">
                  <c:v>Extra Quarter</c:v>
                </c:pt>
              </c:strCache>
            </c:strRef>
          </c:tx>
          <c:spPr>
            <a:pattFill prst="dashUpDiag">
              <a:fgClr>
                <a:schemeClr val="tx1"/>
              </a:fgClr>
              <a:bgClr>
                <a:schemeClr val="bg2">
                  <a:lumMod val="75000"/>
                </a:schemeClr>
              </a:bgClr>
            </a:pattFill>
            <a:ln>
              <a:solidFill>
                <a:schemeClr val="tx1">
                  <a:lumMod val="65000"/>
                  <a:lumOff val="35000"/>
                </a:schemeClr>
              </a:solidFill>
            </a:ln>
            <a:effectLst/>
            <a:sp3d>
              <a:contourClr>
                <a:schemeClr val="tx1">
                  <a:lumMod val="65000"/>
                  <a:lumOff val="35000"/>
                </a:schemeClr>
              </a:contourClr>
            </a:sp3d>
          </c:spPr>
          <c:invertIfNegative val="0"/>
          <c:val>
            <c:numRef>
              <c:f>ControlChart_Budget2!$BK$3:$BK$7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A87C-40E0-9C85-FABE00627569}"/>
            </c:ext>
          </c:extLst>
        </c:ser>
        <c:ser>
          <c:idx val="5"/>
          <c:order val="4"/>
          <c:tx>
            <c:strRef>
              <c:f>ControlChart_Budget2!$BL$2</c:f>
              <c:strCache>
                <c:ptCount val="1"/>
                <c:pt idx="0">
                  <c:v>Extra dynamique %</c:v>
                </c:pt>
              </c:strCache>
            </c:strRef>
          </c:tx>
          <c:spPr>
            <a:gradFill>
              <a:gsLst>
                <a:gs pos="0">
                  <a:srgbClr val="F9ADF5"/>
                </a:gs>
                <a:gs pos="70000">
                  <a:srgbClr val="F9ADF5"/>
                </a:gs>
              </a:gsLst>
              <a:lin ang="13500000" scaled="1"/>
            </a:gradFill>
            <a:ln>
              <a:solidFill>
                <a:schemeClr val="tx1">
                  <a:lumMod val="65000"/>
                  <a:lumOff val="35000"/>
                </a:schemeClr>
              </a:solidFill>
            </a:ln>
            <a:effectLst/>
            <a:scene3d>
              <a:camera prst="orthographicFront"/>
              <a:lightRig rig="threePt" dir="t"/>
            </a:scene3d>
            <a:sp3d prstMaterial="dkEdge">
              <a:contourClr>
                <a:schemeClr val="tx1">
                  <a:lumMod val="65000"/>
                  <a:lumOff val="35000"/>
                </a:schemeClr>
              </a:contourClr>
            </a:sp3d>
          </c:spPr>
          <c:invertIfNegative val="0"/>
          <c:val>
            <c:numRef>
              <c:f>ControlChart_Budget2!$BL$3:$BL$7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A87C-40E0-9C85-FABE00627569}"/>
            </c:ext>
          </c:extLst>
        </c:ser>
        <c:ser>
          <c:idx val="6"/>
          <c:order val="5"/>
          <c:tx>
            <c:strRef>
              <c:f>ControlChart_Budget2!$BM$2</c:f>
              <c:strCache>
                <c:ptCount val="1"/>
                <c:pt idx="0">
                  <c:v>Transparent</c:v>
                </c:pt>
              </c:strCache>
            </c:strRef>
          </c:tx>
          <c:spPr>
            <a:gradFill>
              <a:gsLst>
                <a:gs pos="0">
                  <a:srgbClr val="F9ADF5"/>
                </a:gs>
                <a:gs pos="70000">
                  <a:srgbClr val="F9ADF5"/>
                </a:gs>
              </a:gsLst>
              <a:lin ang="2700000" scaled="1"/>
            </a:gradFill>
            <a:ln>
              <a:noFill/>
            </a:ln>
            <a:effectLst/>
            <a:scene3d>
              <a:camera prst="orthographicFront"/>
              <a:lightRig rig="threePt" dir="t"/>
            </a:scene3d>
            <a:sp3d prstMaterial="clear"/>
          </c:spPr>
          <c:invertIfNegative val="0"/>
          <c:val>
            <c:numRef>
              <c:f>ControlChart_Budget2!$BM$3:$BM$7</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A87C-40E0-9C85-FABE00627569}"/>
            </c:ext>
          </c:extLst>
        </c:ser>
        <c:ser>
          <c:idx val="1"/>
          <c:order val="6"/>
          <c:tx>
            <c:strRef>
              <c:f>ControlChart_Budget2!$BH$2</c:f>
              <c:strCache>
                <c:ptCount val="1"/>
                <c:pt idx="0">
                  <c:v>Haut</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AD9558B2-1A9F-4D0A-80F6-D6A7C22596B3}"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A87C-40E0-9C85-FABE00627569}"/>
                </c:ext>
              </c:extLst>
            </c:dLbl>
            <c:dLbl>
              <c:idx val="1"/>
              <c:tx>
                <c:rich>
                  <a:bodyPr/>
                  <a:lstStyle/>
                  <a:p>
                    <a:fld id="{64F49D94-B19E-4BF7-81C7-93434A03D59B}"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87C-40E0-9C85-FABE00627569}"/>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A87C-40E0-9C85-FABE00627569}"/>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A87C-40E0-9C85-FABE00627569}"/>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A87C-40E0-9C85-FABE006275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ControlChart_Budget2!$BH$3:$BH$7</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ControlChart_Budget2!$AW$3:$AW$7</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A87C-40E0-9C85-FABE00627569}"/>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ControlChart_Budget2!$BG$12</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ControlChart_Budget2!$BG$13:$BG$17</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522B-4790-B7DB-847DBD12F362}"/>
            </c:ext>
          </c:extLst>
        </c:ser>
        <c:ser>
          <c:idx val="2"/>
          <c:order val="1"/>
          <c:tx>
            <c:strRef>
              <c:f>ControlChart_Budget2!$BI$12</c:f>
              <c:strCache>
                <c:ptCount val="1"/>
                <c:pt idx="0">
                  <c:v>Étiquette</c:v>
                </c:pt>
              </c:strCache>
            </c:strRef>
          </c:tx>
          <c:spPr>
            <a:solidFill>
              <a:schemeClr val="tx1">
                <a:lumMod val="65000"/>
                <a:lumOff val="35000"/>
              </a:schemeClr>
            </a:soli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Lbls>
            <c:dLbl>
              <c:idx val="0"/>
              <c:tx>
                <c:rich>
                  <a:bodyPr/>
                  <a:lstStyle/>
                  <a:p>
                    <a:fld id="{98CADE87-886C-4B4C-B6D1-442CCD28C955}"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22B-4790-B7DB-847DBD12F362}"/>
                </c:ext>
              </c:extLst>
            </c:dLbl>
            <c:dLbl>
              <c:idx val="1"/>
              <c:tx>
                <c:rich>
                  <a:bodyPr/>
                  <a:lstStyle/>
                  <a:p>
                    <a:fld id="{0F6013CF-39B7-4288-8F4D-BDE98F86C8F0}"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22B-4790-B7DB-847DBD12F362}"/>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522B-4790-B7DB-847DBD12F362}"/>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522B-4790-B7DB-847DBD12F362}"/>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522B-4790-B7DB-847DBD12F36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ControlChart_Budget2!$BI$13:$BI$17</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ControlChart_Budget2!$BJ$13:$BJ$17</c15:f>
                <c15:dlblRangeCache>
                  <c:ptCount val="5"/>
                  <c:pt idx="0">
                    <c:v>90%</c:v>
                  </c:pt>
                  <c:pt idx="1">
                    <c:v>100%</c:v>
                  </c:pt>
                  <c:pt idx="2">
                    <c:v>#N/A</c:v>
                  </c:pt>
                  <c:pt idx="3">
                    <c:v>#N/A</c:v>
                  </c:pt>
                  <c:pt idx="4">
                    <c:v>#N/A</c:v>
                  </c:pt>
                </c15:dlblRangeCache>
              </c15:datalabelsRange>
            </c:ext>
            <c:ext xmlns:c16="http://schemas.microsoft.com/office/drawing/2014/chart" uri="{C3380CC4-5D6E-409C-BE32-E72D297353CC}">
              <c16:uniqueId val="{0000000B-522B-4790-B7DB-847DBD12F362}"/>
            </c:ext>
          </c:extLst>
        </c:ser>
        <c:ser>
          <c:idx val="3"/>
          <c:order val="2"/>
          <c:tx>
            <c:strRef>
              <c:f>ControlChart_Budget2!$BJ$12</c:f>
              <c:strCache>
                <c:ptCount val="1"/>
                <c:pt idx="0">
                  <c:v>Feed dynamique</c:v>
                </c:pt>
              </c:strCache>
            </c:strRef>
          </c:tx>
          <c:spPr>
            <a:gradFill>
              <a:gsLst>
                <a:gs pos="0">
                  <a:srgbClr val="AADCD7"/>
                </a:gs>
                <a:gs pos="70000">
                  <a:srgbClr val="AADCD7"/>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ControlChart_Budget2!$BJ$13:$BJ$17</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522B-4790-B7DB-847DBD12F362}"/>
            </c:ext>
          </c:extLst>
        </c:ser>
        <c:ser>
          <c:idx val="4"/>
          <c:order val="3"/>
          <c:tx>
            <c:strRef>
              <c:f>ControlChart_Budget2!$BK$12</c:f>
              <c:strCache>
                <c:ptCount val="1"/>
                <c:pt idx="0">
                  <c:v>Extra Quarter</c:v>
                </c:pt>
              </c:strCache>
            </c:strRef>
          </c:tx>
          <c:spPr>
            <a:pattFill prst="dashUpDiag">
              <a:fgClr>
                <a:schemeClr val="tx1"/>
              </a:fgClr>
              <a:bgClr>
                <a:schemeClr val="bg1">
                  <a:lumMod val="75000"/>
                </a:schemeClr>
              </a:bgClr>
            </a:pattFill>
            <a:ln>
              <a:noFill/>
            </a:ln>
            <a:effectLst/>
            <a:sp3d/>
          </c:spPr>
          <c:invertIfNegative val="0"/>
          <c:val>
            <c:numRef>
              <c:f>ControlChart_Budget2!$BK$13:$BK$17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522B-4790-B7DB-847DBD12F362}"/>
            </c:ext>
          </c:extLst>
        </c:ser>
        <c:ser>
          <c:idx val="5"/>
          <c:order val="4"/>
          <c:tx>
            <c:strRef>
              <c:f>ControlChart_Budget2!$BL$12</c:f>
              <c:strCache>
                <c:ptCount val="1"/>
                <c:pt idx="0">
                  <c:v>Extra dynamique %</c:v>
                </c:pt>
              </c:strCache>
            </c:strRef>
          </c:tx>
          <c:spPr>
            <a:gradFill>
              <a:gsLst>
                <a:gs pos="0">
                  <a:srgbClr val="AADCD7"/>
                </a:gs>
                <a:gs pos="70000">
                  <a:srgbClr val="AADCD7"/>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ControlChart_Budget2!$BL$13:$BL$17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522B-4790-B7DB-847DBD12F362}"/>
            </c:ext>
          </c:extLst>
        </c:ser>
        <c:ser>
          <c:idx val="6"/>
          <c:order val="5"/>
          <c:tx>
            <c:strRef>
              <c:f>ControlChart_Budget2!$BM$12</c:f>
              <c:strCache>
                <c:ptCount val="1"/>
                <c:pt idx="0">
                  <c:v>Transparent</c:v>
                </c:pt>
              </c:strCache>
            </c:strRef>
          </c:tx>
          <c:spPr>
            <a:gradFill flip="none" rotWithShape="1">
              <a:gsLst>
                <a:gs pos="0">
                  <a:srgbClr val="AADCD7"/>
                </a:gs>
                <a:gs pos="70000">
                  <a:srgbClr val="AADCD7"/>
                </a:gs>
              </a:gsLst>
              <a:lin ang="13500000" scaled="1"/>
              <a:tileRect/>
            </a:gradFill>
            <a:ln>
              <a:solidFill>
                <a:schemeClr val="tx1">
                  <a:lumMod val="75000"/>
                  <a:lumOff val="25000"/>
                </a:schemeClr>
              </a:solidFill>
            </a:ln>
            <a:effectLst/>
            <a:scene3d>
              <a:camera prst="orthographicFront"/>
              <a:lightRig rig="threePt" dir="t"/>
            </a:scene3d>
            <a:sp3d prstMaterial="clear">
              <a:contourClr>
                <a:schemeClr val="tx1">
                  <a:lumMod val="75000"/>
                  <a:lumOff val="25000"/>
                </a:schemeClr>
              </a:contourClr>
            </a:sp3d>
          </c:spPr>
          <c:invertIfNegative val="0"/>
          <c:val>
            <c:numRef>
              <c:f>ControlChart_Budget2!$BM$13:$BM$17</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522B-4790-B7DB-847DBD12F362}"/>
            </c:ext>
          </c:extLst>
        </c:ser>
        <c:ser>
          <c:idx val="1"/>
          <c:order val="6"/>
          <c:tx>
            <c:strRef>
              <c:f>ControlChart_Budget2!$BH$12</c:f>
              <c:strCache>
                <c:ptCount val="1"/>
                <c:pt idx="0">
                  <c:v>Haut</c:v>
                </c:pt>
              </c:strCache>
            </c:strRef>
          </c:tx>
          <c:spPr>
            <a:solidFill>
              <a:schemeClr val="tx1">
                <a:lumMod val="85000"/>
                <a:lumOff val="1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2943D08D-C098-4CF6-A285-79BEEFC4B856}"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522B-4790-B7DB-847DBD12F362}"/>
                </c:ext>
              </c:extLst>
            </c:dLbl>
            <c:dLbl>
              <c:idx val="1"/>
              <c:tx>
                <c:rich>
                  <a:bodyPr/>
                  <a:lstStyle/>
                  <a:p>
                    <a:fld id="{120A4DC9-EE0B-4210-A43F-65CDB385E3FA}"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22B-4790-B7DB-847DBD12F362}"/>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522B-4790-B7DB-847DBD12F362}"/>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522B-4790-B7DB-847DBD12F362}"/>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522B-4790-B7DB-847DBD12F36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ControlChart_Budget2!$BH$13:$BH$17</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ControlChart_Budget2!$AW$13:$AW$17</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522B-4790-B7DB-847DBD12F362}"/>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0.97068961652873775"/>
          <c:h val="0.97068961652873775"/>
        </c:manualLayout>
      </c:layout>
      <c:doughnutChart>
        <c:varyColors val="1"/>
        <c:ser>
          <c:idx val="0"/>
          <c:order val="0"/>
          <c:dPt>
            <c:idx val="0"/>
            <c:bubble3D val="0"/>
            <c:spPr>
              <a:noFill/>
              <a:ln w="19050">
                <a:noFill/>
              </a:ln>
              <a:effectLst/>
            </c:spPr>
            <c:extLst>
              <c:ext xmlns:c16="http://schemas.microsoft.com/office/drawing/2014/chart" uri="{C3380CC4-5D6E-409C-BE32-E72D297353CC}">
                <c16:uniqueId val="{00000001-A0A9-44B2-B35A-BB09621AF03E}"/>
              </c:ext>
            </c:extLst>
          </c:dPt>
          <c:dPt>
            <c:idx val="1"/>
            <c:bubble3D val="0"/>
            <c:spPr>
              <a:gradFill>
                <a:gsLst>
                  <a:gs pos="0">
                    <a:schemeClr val="accent1">
                      <a:lumMod val="48000"/>
                      <a:lumOff val="52000"/>
                    </a:schemeClr>
                  </a:gs>
                  <a:gs pos="70000">
                    <a:schemeClr val="accent5">
                      <a:lumMod val="51000"/>
                      <a:alpha val="82000"/>
                    </a:schemeClr>
                  </a:gs>
                </a:gsLst>
                <a:lin ang="16200000" scaled="0"/>
              </a:gradFill>
              <a:ln w="19050">
                <a:noFill/>
              </a:ln>
              <a:effectLst/>
            </c:spPr>
            <c:extLst>
              <c:ext xmlns:c16="http://schemas.microsoft.com/office/drawing/2014/chart" uri="{C3380CC4-5D6E-409C-BE32-E72D297353CC}">
                <c16:uniqueId val="{00000003-A0A9-44B2-B35A-BB09621AF03E}"/>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A0A9-44B2-B35A-BB09621AF03E}"/>
              </c:ext>
            </c:extLst>
          </c:dPt>
          <c:dPt>
            <c:idx val="3"/>
            <c:bubble3D val="0"/>
            <c:spPr>
              <a:solidFill>
                <a:schemeClr val="accent1">
                  <a:lumMod val="50000"/>
                  <a:alpha val="70000"/>
                </a:schemeClr>
              </a:solidFill>
              <a:ln w="19050">
                <a:noFill/>
              </a:ln>
              <a:effectLst/>
            </c:spPr>
            <c:extLst>
              <c:ext xmlns:c16="http://schemas.microsoft.com/office/drawing/2014/chart" uri="{C3380CC4-5D6E-409C-BE32-E72D297353CC}">
                <c16:uniqueId val="{00000007-A0A9-44B2-B35A-BB09621AF03E}"/>
              </c:ext>
            </c:extLst>
          </c:dPt>
          <c:dPt>
            <c:idx val="4"/>
            <c:bubble3D val="0"/>
            <c:spPr>
              <a:gradFill>
                <a:gsLst>
                  <a:gs pos="0">
                    <a:srgbClr val="C00000">
                      <a:alpha val="80000"/>
                      <a:lumMod val="82000"/>
                      <a:lumOff val="18000"/>
                    </a:srgbClr>
                  </a:gs>
                  <a:gs pos="70000">
                    <a:srgbClr val="C00000">
                      <a:alpha val="30000"/>
                      <a:lumMod val="85000"/>
                      <a:lumOff val="15000"/>
                    </a:srgbClr>
                  </a:gs>
                </a:gsLst>
                <a:lin ang="16200000" scaled="0"/>
              </a:gradFill>
              <a:ln w="19050">
                <a:noFill/>
              </a:ln>
              <a:effectLst/>
              <a:scene3d>
                <a:camera prst="orthographicFront"/>
                <a:lightRig rig="freezing" dir="t"/>
              </a:scene3d>
              <a:sp3d prstMaterial="flat"/>
            </c:spPr>
            <c:extLst>
              <c:ext xmlns:c16="http://schemas.microsoft.com/office/drawing/2014/chart" uri="{C3380CC4-5D6E-409C-BE32-E72D297353CC}">
                <c16:uniqueId val="{00000009-A0A9-44B2-B35A-BB09621AF03E}"/>
              </c:ext>
            </c:extLst>
          </c:dPt>
          <c:dPt>
            <c:idx val="5"/>
            <c:bubble3D val="0"/>
            <c:spPr>
              <a:noFill/>
              <a:ln w="19050">
                <a:noFill/>
              </a:ln>
              <a:effectLst/>
            </c:spPr>
            <c:extLst>
              <c:ext xmlns:c16="http://schemas.microsoft.com/office/drawing/2014/chart" uri="{C3380CC4-5D6E-409C-BE32-E72D297353CC}">
                <c16:uniqueId val="{0000000B-A0A9-44B2-B35A-BB09621AF03E}"/>
              </c:ext>
            </c:extLst>
          </c:dPt>
          <c:val>
            <c:numRef>
              <c:f>ControlChart_Budget1!$DA$5:$DA$10</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A0A9-44B2-B35A-BB09621AF03E}"/>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ControlChart_Budget1!$DB$4</c:f>
              <c:strCache>
                <c:ptCount val="1"/>
                <c:pt idx="0">
                  <c:v>Point</c:v>
                </c:pt>
              </c:strCache>
            </c:strRef>
          </c:tx>
          <c:dPt>
            <c:idx val="0"/>
            <c:bubble3D val="0"/>
            <c:spPr>
              <a:noFill/>
              <a:ln w="19050">
                <a:noFill/>
              </a:ln>
              <a:effectLst/>
            </c:spPr>
            <c:extLst>
              <c:ext xmlns:c16="http://schemas.microsoft.com/office/drawing/2014/chart" uri="{C3380CC4-5D6E-409C-BE32-E72D297353CC}">
                <c16:uniqueId val="{0000000E-A0A9-44B2-B35A-BB09621AF03E}"/>
              </c:ext>
            </c:extLst>
          </c:dPt>
          <c:dPt>
            <c:idx val="1"/>
            <c:bubble3D val="0"/>
            <c:spPr>
              <a:solidFill>
                <a:schemeClr val="bg1"/>
              </a:solidFill>
              <a:ln w="19050">
                <a:noFill/>
              </a:ln>
              <a:effectLst>
                <a:outerShdw blurRad="50800" dist="38100" dir="2700000" algn="tl" rotWithShape="0">
                  <a:schemeClr val="bg1">
                    <a:alpha val="40000"/>
                  </a:schemeClr>
                </a:outerShdw>
              </a:effectLst>
              <a:scene3d>
                <a:camera prst="orthographicFront"/>
                <a:lightRig rig="chilly" dir="t"/>
              </a:scene3d>
              <a:sp3d prstMaterial="translucentPowder"/>
            </c:spPr>
            <c:extLst>
              <c:ext xmlns:c16="http://schemas.microsoft.com/office/drawing/2014/chart" uri="{C3380CC4-5D6E-409C-BE32-E72D297353CC}">
                <c16:uniqueId val="{00000010-A0A9-44B2-B35A-BB09621AF03E}"/>
              </c:ext>
            </c:extLst>
          </c:dPt>
          <c:dPt>
            <c:idx val="2"/>
            <c:bubble3D val="0"/>
            <c:spPr>
              <a:noFill/>
              <a:ln w="19050">
                <a:noFill/>
              </a:ln>
              <a:effectLst>
                <a:outerShdw blurRad="50800" dist="38100" dir="5400000" algn="t" rotWithShape="0">
                  <a:prstClr val="black">
                    <a:alpha val="37000"/>
                  </a:prstClr>
                </a:outerShdw>
              </a:effectLst>
            </c:spPr>
            <c:extLst>
              <c:ext xmlns:c16="http://schemas.microsoft.com/office/drawing/2014/chart" uri="{C3380CC4-5D6E-409C-BE32-E72D297353CC}">
                <c16:uniqueId val="{00000012-A0A9-44B2-B35A-BB09621AF03E}"/>
              </c:ext>
            </c:extLst>
          </c:dPt>
          <c:val>
            <c:numRef>
              <c:f>ControlChart_Budget1!$DB$5:$DB$7</c:f>
              <c:numCache>
                <c:formatCode>0%</c:formatCode>
                <c:ptCount val="3"/>
                <c:pt idx="0">
                  <c:v>0.1</c:v>
                </c:pt>
                <c:pt idx="1">
                  <c:v>0.01</c:v>
                </c:pt>
                <c:pt idx="2">
                  <c:v>3.1</c:v>
                </c:pt>
              </c:numCache>
            </c:numRef>
          </c:val>
          <c:extLst>
            <c:ext xmlns:c16="http://schemas.microsoft.com/office/drawing/2014/chart" uri="{C3380CC4-5D6E-409C-BE32-E72D297353CC}">
              <c16:uniqueId val="{00000013-A0A9-44B2-B35A-BB09621AF03E}"/>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203981655201166E-2"/>
          <c:y val="1.2878882634980195E-2"/>
          <c:w val="0.96550760892224297"/>
          <c:h val="0.96550760892224297"/>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7645-4F8A-B008-266D702C97F8}"/>
              </c:ext>
            </c:extLst>
          </c:dPt>
          <c:dPt>
            <c:idx val="1"/>
            <c:bubble3D val="0"/>
            <c:spPr>
              <a:gradFill>
                <a:gsLst>
                  <a:gs pos="0">
                    <a:schemeClr val="accent1">
                      <a:lumMod val="42000"/>
                      <a:lumOff val="58000"/>
                    </a:schemeClr>
                  </a:gs>
                  <a:gs pos="70000">
                    <a:schemeClr val="accent5">
                      <a:lumMod val="51000"/>
                    </a:schemeClr>
                  </a:gs>
                </a:gsLst>
                <a:lin ang="16200000" scaled="0"/>
              </a:gradFill>
              <a:ln w="19050">
                <a:noFill/>
              </a:ln>
              <a:effectLst/>
            </c:spPr>
            <c:extLst>
              <c:ext xmlns:c16="http://schemas.microsoft.com/office/drawing/2014/chart" uri="{C3380CC4-5D6E-409C-BE32-E72D297353CC}">
                <c16:uniqueId val="{00000003-7645-4F8A-B008-266D702C97F8}"/>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7645-4F8A-B008-266D702C97F8}"/>
              </c:ext>
            </c:extLst>
          </c:dPt>
          <c:dPt>
            <c:idx val="3"/>
            <c:bubble3D val="0"/>
            <c:spPr>
              <a:solidFill>
                <a:schemeClr val="accent1">
                  <a:lumMod val="50000"/>
                  <a:alpha val="70000"/>
                </a:schemeClr>
              </a:solidFill>
              <a:ln w="19050">
                <a:noFill/>
              </a:ln>
              <a:effectLst/>
            </c:spPr>
            <c:extLst>
              <c:ext xmlns:c16="http://schemas.microsoft.com/office/drawing/2014/chart" uri="{C3380CC4-5D6E-409C-BE32-E72D297353CC}">
                <c16:uniqueId val="{00000007-7645-4F8A-B008-266D702C97F8}"/>
              </c:ext>
            </c:extLst>
          </c:dPt>
          <c:dPt>
            <c:idx val="4"/>
            <c:bubble3D val="0"/>
            <c:spPr>
              <a:gradFill>
                <a:gsLst>
                  <a:gs pos="0">
                    <a:srgbClr val="C00000"/>
                  </a:gs>
                  <a:gs pos="70000">
                    <a:srgbClr val="C00000">
                      <a:alpha val="48000"/>
                    </a:srgbClr>
                  </a:gs>
                </a:gsLst>
                <a:lin ang="16200000" scaled="0"/>
              </a:gradFill>
              <a:ln w="19050">
                <a:noFill/>
              </a:ln>
              <a:effectLst/>
            </c:spPr>
            <c:extLst>
              <c:ext xmlns:c16="http://schemas.microsoft.com/office/drawing/2014/chart" uri="{C3380CC4-5D6E-409C-BE32-E72D297353CC}">
                <c16:uniqueId val="{00000009-7645-4F8A-B008-266D702C97F8}"/>
              </c:ext>
            </c:extLst>
          </c:dPt>
          <c:dPt>
            <c:idx val="5"/>
            <c:bubble3D val="0"/>
            <c:spPr>
              <a:noFill/>
              <a:ln w="19050">
                <a:noFill/>
              </a:ln>
              <a:effectLst/>
            </c:spPr>
            <c:extLst>
              <c:ext xmlns:c16="http://schemas.microsoft.com/office/drawing/2014/chart" uri="{C3380CC4-5D6E-409C-BE32-E72D297353CC}">
                <c16:uniqueId val="{0000000B-7645-4F8A-B008-266D702C97F8}"/>
              </c:ext>
            </c:extLst>
          </c:dPt>
          <c:val>
            <c:numRef>
              <c:f>ControlChart_Budget1!$DA$18:$DA$23</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7645-4F8A-B008-266D702C97F8}"/>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ControlChart_Budget1!$DB$17</c:f>
              <c:strCache>
                <c:ptCount val="1"/>
                <c:pt idx="0">
                  <c:v>Point</c:v>
                </c:pt>
              </c:strCache>
            </c:strRef>
          </c:tx>
          <c:spPr>
            <a:ln>
              <a:noFill/>
            </a:ln>
          </c:spPr>
          <c:dPt>
            <c:idx val="0"/>
            <c:bubble3D val="0"/>
            <c:spPr>
              <a:noFill/>
              <a:ln w="19050">
                <a:noFill/>
              </a:ln>
              <a:effectLst/>
            </c:spPr>
            <c:extLst>
              <c:ext xmlns:c16="http://schemas.microsoft.com/office/drawing/2014/chart" uri="{C3380CC4-5D6E-409C-BE32-E72D297353CC}">
                <c16:uniqueId val="{0000000E-7645-4F8A-B008-266D702C97F8}"/>
              </c:ext>
            </c:extLst>
          </c:dPt>
          <c:dPt>
            <c:idx val="1"/>
            <c:bubble3D val="0"/>
            <c:spPr>
              <a:solidFill>
                <a:schemeClr val="bg1"/>
              </a:solidFill>
              <a:ln w="19050">
                <a:noFill/>
              </a:ln>
              <a:effectLst>
                <a:outerShdw blurRad="50800" dist="38100" dir="2700000" algn="tl" rotWithShape="0">
                  <a:schemeClr val="bg1">
                    <a:alpha val="68000"/>
                  </a:schemeClr>
                </a:outerShdw>
              </a:effectLst>
              <a:scene3d>
                <a:camera prst="orthographicFront"/>
                <a:lightRig rig="chilly" dir="t"/>
              </a:scene3d>
              <a:sp3d prstMaterial="translucentPowder"/>
            </c:spPr>
            <c:extLst>
              <c:ext xmlns:c16="http://schemas.microsoft.com/office/drawing/2014/chart" uri="{C3380CC4-5D6E-409C-BE32-E72D297353CC}">
                <c16:uniqueId val="{00000010-7645-4F8A-B008-266D702C97F8}"/>
              </c:ext>
            </c:extLst>
          </c:dPt>
          <c:dPt>
            <c:idx val="2"/>
            <c:bubble3D val="0"/>
            <c:spPr>
              <a:noFill/>
              <a:ln w="19050">
                <a:noFill/>
              </a:ln>
              <a:effectLst/>
            </c:spPr>
            <c:extLst>
              <c:ext xmlns:c16="http://schemas.microsoft.com/office/drawing/2014/chart" uri="{C3380CC4-5D6E-409C-BE32-E72D297353CC}">
                <c16:uniqueId val="{00000012-7645-4F8A-B008-266D702C97F8}"/>
              </c:ext>
            </c:extLst>
          </c:dPt>
          <c:val>
            <c:numRef>
              <c:f>ControlChart_Budget1!$DB$18:$DB$20</c:f>
              <c:numCache>
                <c:formatCode>0%</c:formatCode>
                <c:ptCount val="3"/>
                <c:pt idx="0">
                  <c:v>0</c:v>
                </c:pt>
                <c:pt idx="1">
                  <c:v>0.01</c:v>
                </c:pt>
                <c:pt idx="2">
                  <c:v>3.2</c:v>
                </c:pt>
              </c:numCache>
            </c:numRef>
          </c:val>
          <c:extLst>
            <c:ext xmlns:c16="http://schemas.microsoft.com/office/drawing/2014/chart" uri="{C3380CC4-5D6E-409C-BE32-E72D297353CC}">
              <c16:uniqueId val="{00000013-7645-4F8A-B008-266D702C97F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457815219215299E-2"/>
          <c:y val="3.5579495191398539E-2"/>
          <c:w val="0.93861019403471924"/>
          <c:h val="0.92975431004495068"/>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B9B2-42E2-A835-DB9AFF4B92BE}"/>
              </c:ext>
            </c:extLst>
          </c:dPt>
          <c:dPt>
            <c:idx val="1"/>
            <c:bubble3D val="0"/>
            <c:spPr>
              <a:gradFill>
                <a:gsLst>
                  <a:gs pos="0">
                    <a:schemeClr val="accent1">
                      <a:lumMod val="75000"/>
                      <a:alpha val="58000"/>
                    </a:schemeClr>
                  </a:gs>
                  <a:gs pos="70000">
                    <a:schemeClr val="accent1">
                      <a:lumMod val="65000"/>
                      <a:lumOff val="35000"/>
                    </a:schemeClr>
                  </a:gs>
                </a:gsLst>
                <a:lin ang="5400000" scaled="1"/>
              </a:gradFill>
              <a:ln w="19050">
                <a:noFill/>
              </a:ln>
              <a:effectLst/>
            </c:spPr>
            <c:extLst>
              <c:ext xmlns:c16="http://schemas.microsoft.com/office/drawing/2014/chart" uri="{C3380CC4-5D6E-409C-BE32-E72D297353CC}">
                <c16:uniqueId val="{00000003-B9B2-42E2-A835-DB9AFF4B92BE}"/>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B9B2-42E2-A835-DB9AFF4B92BE}"/>
              </c:ext>
            </c:extLst>
          </c:dPt>
          <c:dPt>
            <c:idx val="3"/>
            <c:bubble3D val="0"/>
            <c:spPr>
              <a:solidFill>
                <a:schemeClr val="accent1">
                  <a:lumMod val="50000"/>
                  <a:alpha val="80000"/>
                </a:schemeClr>
              </a:solidFill>
              <a:ln w="19050">
                <a:noFill/>
              </a:ln>
              <a:effectLst/>
            </c:spPr>
            <c:extLst>
              <c:ext xmlns:c16="http://schemas.microsoft.com/office/drawing/2014/chart" uri="{C3380CC4-5D6E-409C-BE32-E72D297353CC}">
                <c16:uniqueId val="{00000007-B9B2-42E2-A835-DB9AFF4B92BE}"/>
              </c:ext>
            </c:extLst>
          </c:dPt>
          <c:dPt>
            <c:idx val="4"/>
            <c:bubble3D val="0"/>
            <c:spPr>
              <a:gradFill>
                <a:gsLst>
                  <a:gs pos="0">
                    <a:srgbClr val="C00000">
                      <a:alpha val="16000"/>
                    </a:srgbClr>
                  </a:gs>
                  <a:gs pos="70000">
                    <a:srgbClr val="C00000"/>
                  </a:gs>
                </a:gsLst>
                <a:lin ang="5400000" scaled="1"/>
              </a:gradFill>
              <a:ln w="19050">
                <a:noFill/>
              </a:ln>
              <a:effectLst/>
              <a:scene3d>
                <a:camera prst="orthographicFront"/>
                <a:lightRig rig="soft" dir="t"/>
              </a:scene3d>
              <a:sp3d prstMaterial="flat"/>
            </c:spPr>
            <c:extLst>
              <c:ext xmlns:c16="http://schemas.microsoft.com/office/drawing/2014/chart" uri="{C3380CC4-5D6E-409C-BE32-E72D297353CC}">
                <c16:uniqueId val="{00000009-B9B2-42E2-A835-DB9AFF4B92BE}"/>
              </c:ext>
            </c:extLst>
          </c:dPt>
          <c:dPt>
            <c:idx val="5"/>
            <c:bubble3D val="0"/>
            <c:spPr>
              <a:noFill/>
              <a:ln w="19050">
                <a:noFill/>
              </a:ln>
              <a:effectLst/>
            </c:spPr>
            <c:extLst>
              <c:ext xmlns:c16="http://schemas.microsoft.com/office/drawing/2014/chart" uri="{C3380CC4-5D6E-409C-BE32-E72D297353CC}">
                <c16:uniqueId val="{0000000B-B9B2-42E2-A835-DB9AFF4B92BE}"/>
              </c:ext>
            </c:extLst>
          </c:dPt>
          <c:val>
            <c:numRef>
              <c:f>ControlChart_Budget1!$DA$31:$DA$36</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B9B2-42E2-A835-DB9AFF4B92BE}"/>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ControlChart_Budget1!$DB$30</c:f>
              <c:strCache>
                <c:ptCount val="1"/>
                <c:pt idx="0">
                  <c:v>Point</c:v>
                </c:pt>
              </c:strCache>
            </c:strRef>
          </c:tx>
          <c:spPr>
            <a:noFill/>
            <a:ln>
              <a:noFill/>
            </a:ln>
          </c:spPr>
          <c:dPt>
            <c:idx val="0"/>
            <c:bubble3D val="0"/>
            <c:spPr>
              <a:noFill/>
              <a:ln w="19050">
                <a:noFill/>
              </a:ln>
              <a:effectLst/>
            </c:spPr>
            <c:extLst>
              <c:ext xmlns:c16="http://schemas.microsoft.com/office/drawing/2014/chart" uri="{C3380CC4-5D6E-409C-BE32-E72D297353CC}">
                <c16:uniqueId val="{0000000E-B9B2-42E2-A835-DB9AFF4B92BE}"/>
              </c:ext>
            </c:extLst>
          </c:dPt>
          <c:dPt>
            <c:idx val="1"/>
            <c:bubble3D val="0"/>
            <c:spPr>
              <a:solidFill>
                <a:schemeClr val="bg1"/>
              </a:solidFill>
              <a:ln w="19050">
                <a:noFill/>
              </a:ln>
              <a:effectLst>
                <a:outerShdw blurRad="63500" dist="38100" sx="102000" sy="102000" algn="ctr" rotWithShape="0">
                  <a:schemeClr val="bg1">
                    <a:alpha val="46000"/>
                  </a:schemeClr>
                </a:outerShdw>
              </a:effectLst>
              <a:scene3d>
                <a:camera prst="orthographicFront"/>
                <a:lightRig rig="chilly" dir="t"/>
              </a:scene3d>
              <a:sp3d prstMaterial="translucentPowder"/>
            </c:spPr>
            <c:extLst>
              <c:ext xmlns:c16="http://schemas.microsoft.com/office/drawing/2014/chart" uri="{C3380CC4-5D6E-409C-BE32-E72D297353CC}">
                <c16:uniqueId val="{00000010-B9B2-42E2-A835-DB9AFF4B92BE}"/>
              </c:ext>
            </c:extLst>
          </c:dPt>
          <c:dPt>
            <c:idx val="2"/>
            <c:bubble3D val="0"/>
            <c:spPr>
              <a:noFill/>
              <a:ln w="19050">
                <a:noFill/>
              </a:ln>
              <a:effectLst/>
            </c:spPr>
            <c:extLst>
              <c:ext xmlns:c16="http://schemas.microsoft.com/office/drawing/2014/chart" uri="{C3380CC4-5D6E-409C-BE32-E72D297353CC}">
                <c16:uniqueId val="{00000012-B9B2-42E2-A835-DB9AFF4B92BE}"/>
              </c:ext>
            </c:extLst>
          </c:dPt>
          <c:val>
            <c:numRef>
              <c:f>ControlChart_Budget1!$DB$31:$DB$33</c:f>
              <c:numCache>
                <c:formatCode>0%</c:formatCode>
                <c:ptCount val="3"/>
                <c:pt idx="0">
                  <c:v>0</c:v>
                </c:pt>
                <c:pt idx="1">
                  <c:v>0.01</c:v>
                </c:pt>
                <c:pt idx="2">
                  <c:v>3.2</c:v>
                </c:pt>
              </c:numCache>
            </c:numRef>
          </c:val>
          <c:extLst>
            <c:ext xmlns:c16="http://schemas.microsoft.com/office/drawing/2014/chart" uri="{C3380CC4-5D6E-409C-BE32-E72D297353CC}">
              <c16:uniqueId val="{00000013-B9B2-42E2-A835-DB9AFF4B92BE}"/>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787679799874921E-2"/>
          <c:y val="2.931519699812383E-3"/>
          <c:w val="0.97721232020012505"/>
          <c:h val="0.97721232020012505"/>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6156-49A8-9E65-AA6F59A3AC86}"/>
              </c:ext>
            </c:extLst>
          </c:dPt>
          <c:dPt>
            <c:idx val="1"/>
            <c:bubble3D val="0"/>
            <c:spPr>
              <a:gradFill>
                <a:gsLst>
                  <a:gs pos="0">
                    <a:schemeClr val="accent1">
                      <a:lumMod val="58000"/>
                      <a:alpha val="68000"/>
                    </a:schemeClr>
                  </a:gs>
                  <a:gs pos="71000">
                    <a:schemeClr val="accent1">
                      <a:lumMod val="77000"/>
                      <a:lumOff val="23000"/>
                    </a:schemeClr>
                  </a:gs>
                </a:gsLst>
                <a:lin ang="5400000" scaled="1"/>
              </a:gradFill>
              <a:ln w="19050">
                <a:noFill/>
              </a:ln>
              <a:effectLst/>
            </c:spPr>
            <c:extLst>
              <c:ext xmlns:c16="http://schemas.microsoft.com/office/drawing/2014/chart" uri="{C3380CC4-5D6E-409C-BE32-E72D297353CC}">
                <c16:uniqueId val="{00000003-6156-49A8-9E65-AA6F59A3AC86}"/>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6156-49A8-9E65-AA6F59A3AC86}"/>
              </c:ext>
            </c:extLst>
          </c:dPt>
          <c:dPt>
            <c:idx val="3"/>
            <c:bubble3D val="0"/>
            <c:spPr>
              <a:solidFill>
                <a:schemeClr val="accent1">
                  <a:lumMod val="50000"/>
                  <a:alpha val="80000"/>
                </a:schemeClr>
              </a:solidFill>
              <a:ln w="19050">
                <a:noFill/>
              </a:ln>
              <a:effectLst/>
            </c:spPr>
            <c:extLst>
              <c:ext xmlns:c16="http://schemas.microsoft.com/office/drawing/2014/chart" uri="{C3380CC4-5D6E-409C-BE32-E72D297353CC}">
                <c16:uniqueId val="{00000007-6156-49A8-9E65-AA6F59A3AC86}"/>
              </c:ext>
            </c:extLst>
          </c:dPt>
          <c:dPt>
            <c:idx val="4"/>
            <c:bubble3D val="0"/>
            <c:spPr>
              <a:gradFill>
                <a:gsLst>
                  <a:gs pos="0">
                    <a:srgbClr val="C00000">
                      <a:alpha val="10000"/>
                      <a:lumMod val="61000"/>
                    </a:srgbClr>
                  </a:gs>
                  <a:gs pos="71000">
                    <a:srgbClr val="C00000">
                      <a:lumMod val="94000"/>
                      <a:lumOff val="6000"/>
                    </a:srgbClr>
                  </a:gs>
                </a:gsLst>
                <a:lin ang="5400000" scaled="1"/>
              </a:gradFill>
              <a:ln w="19050">
                <a:noFill/>
              </a:ln>
              <a:effectLst/>
            </c:spPr>
            <c:extLst>
              <c:ext xmlns:c16="http://schemas.microsoft.com/office/drawing/2014/chart" uri="{C3380CC4-5D6E-409C-BE32-E72D297353CC}">
                <c16:uniqueId val="{00000009-6156-49A8-9E65-AA6F59A3AC86}"/>
              </c:ext>
            </c:extLst>
          </c:dPt>
          <c:dPt>
            <c:idx val="5"/>
            <c:bubble3D val="0"/>
            <c:spPr>
              <a:noFill/>
              <a:ln w="19050">
                <a:noFill/>
              </a:ln>
              <a:effectLst/>
            </c:spPr>
            <c:extLst>
              <c:ext xmlns:c16="http://schemas.microsoft.com/office/drawing/2014/chart" uri="{C3380CC4-5D6E-409C-BE32-E72D297353CC}">
                <c16:uniqueId val="{0000000B-6156-49A8-9E65-AA6F59A3AC86}"/>
              </c:ext>
            </c:extLst>
          </c:dPt>
          <c:val>
            <c:numRef>
              <c:f>ControlChart_Budget1!$DA$44:$DA$49</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6156-49A8-9E65-AA6F59A3AC86}"/>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ControlChart_Budget1!$DB$43</c:f>
              <c:strCache>
                <c:ptCount val="1"/>
                <c:pt idx="0">
                  <c:v>Point</c:v>
                </c:pt>
              </c:strCache>
            </c:strRef>
          </c:tx>
          <c:spPr>
            <a:ln>
              <a:noFill/>
            </a:ln>
          </c:spPr>
          <c:dPt>
            <c:idx val="0"/>
            <c:bubble3D val="0"/>
            <c:spPr>
              <a:noFill/>
              <a:ln w="19050">
                <a:noFill/>
              </a:ln>
              <a:effectLst/>
            </c:spPr>
            <c:extLst>
              <c:ext xmlns:c16="http://schemas.microsoft.com/office/drawing/2014/chart" uri="{C3380CC4-5D6E-409C-BE32-E72D297353CC}">
                <c16:uniqueId val="{0000000E-6156-49A8-9E65-AA6F59A3AC86}"/>
              </c:ext>
            </c:extLst>
          </c:dPt>
          <c:dPt>
            <c:idx val="1"/>
            <c:bubble3D val="0"/>
            <c:spPr>
              <a:solidFill>
                <a:schemeClr val="bg1"/>
              </a:solidFill>
              <a:ln w="19050">
                <a:noFill/>
              </a:ln>
              <a:effectLst>
                <a:outerShdw blurRad="101600" sx="111000" sy="111000" algn="ctr" rotWithShape="0">
                  <a:schemeClr val="bg1">
                    <a:alpha val="77000"/>
                  </a:schemeClr>
                </a:outerShdw>
              </a:effectLst>
              <a:scene3d>
                <a:camera prst="orthographicFront"/>
                <a:lightRig rig="chilly" dir="t"/>
              </a:scene3d>
              <a:sp3d prstMaterial="translucentPowder"/>
            </c:spPr>
            <c:extLst>
              <c:ext xmlns:c16="http://schemas.microsoft.com/office/drawing/2014/chart" uri="{C3380CC4-5D6E-409C-BE32-E72D297353CC}">
                <c16:uniqueId val="{00000010-6156-49A8-9E65-AA6F59A3AC86}"/>
              </c:ext>
            </c:extLst>
          </c:dPt>
          <c:dPt>
            <c:idx val="2"/>
            <c:bubble3D val="0"/>
            <c:spPr>
              <a:noFill/>
              <a:ln w="19050">
                <a:noFill/>
              </a:ln>
              <a:effectLst>
                <a:outerShdw blurRad="50800" dir="5400000" algn="t" rotWithShape="0">
                  <a:prstClr val="black">
                    <a:alpha val="40000"/>
                  </a:prstClr>
                </a:outerShdw>
              </a:effectLst>
            </c:spPr>
            <c:extLst>
              <c:ext xmlns:c16="http://schemas.microsoft.com/office/drawing/2014/chart" uri="{C3380CC4-5D6E-409C-BE32-E72D297353CC}">
                <c16:uniqueId val="{00000012-6156-49A8-9E65-AA6F59A3AC86}"/>
              </c:ext>
            </c:extLst>
          </c:dPt>
          <c:val>
            <c:numRef>
              <c:f>ControlChart_Budget1!$DB$44:$DB$46</c:f>
              <c:numCache>
                <c:formatCode>0%</c:formatCode>
                <c:ptCount val="3"/>
                <c:pt idx="0">
                  <c:v>0</c:v>
                </c:pt>
                <c:pt idx="1">
                  <c:v>0.01</c:v>
                </c:pt>
                <c:pt idx="2">
                  <c:v>3.2</c:v>
                </c:pt>
              </c:numCache>
            </c:numRef>
          </c:val>
          <c:extLst>
            <c:ext xmlns:c16="http://schemas.microsoft.com/office/drawing/2014/chart" uri="{C3380CC4-5D6E-409C-BE32-E72D297353CC}">
              <c16:uniqueId val="{00000013-6156-49A8-9E65-AA6F59A3AC86}"/>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406399833229107E-2"/>
          <c:y val="2.9315196998123748E-3"/>
          <c:w val="0.96766208046695867"/>
          <c:h val="0.96766208046695867"/>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2D08-4EB3-9479-B261CB5E55EB}"/>
              </c:ext>
            </c:extLst>
          </c:dPt>
          <c:dPt>
            <c:idx val="1"/>
            <c:bubble3D val="0"/>
            <c:spPr>
              <a:gradFill>
                <a:gsLst>
                  <a:gs pos="0">
                    <a:schemeClr val="accent1">
                      <a:lumMod val="96000"/>
                      <a:alpha val="33000"/>
                    </a:schemeClr>
                  </a:gs>
                  <a:gs pos="71000">
                    <a:schemeClr val="accent1">
                      <a:lumMod val="62000"/>
                      <a:lumOff val="38000"/>
                    </a:schemeClr>
                  </a:gs>
                </a:gsLst>
                <a:lin ang="5400000" scaled="1"/>
              </a:gradFill>
              <a:ln w="19050">
                <a:noFill/>
              </a:ln>
              <a:effectLst/>
            </c:spPr>
            <c:extLst>
              <c:ext xmlns:c16="http://schemas.microsoft.com/office/drawing/2014/chart" uri="{C3380CC4-5D6E-409C-BE32-E72D297353CC}">
                <c16:uniqueId val="{00000003-2D08-4EB3-9479-B261CB5E55EB}"/>
              </c:ext>
            </c:extLst>
          </c:dPt>
          <c:dPt>
            <c:idx val="2"/>
            <c:bubble3D val="0"/>
            <c:spPr>
              <a:solidFill>
                <a:schemeClr val="accent1">
                  <a:lumMod val="50000"/>
                  <a:alpha val="90000"/>
                </a:schemeClr>
              </a:solidFill>
              <a:ln w="19050">
                <a:noFill/>
              </a:ln>
              <a:effectLst/>
            </c:spPr>
            <c:extLst>
              <c:ext xmlns:c16="http://schemas.microsoft.com/office/drawing/2014/chart" uri="{C3380CC4-5D6E-409C-BE32-E72D297353CC}">
                <c16:uniqueId val="{00000005-2D08-4EB3-9479-B261CB5E55EB}"/>
              </c:ext>
            </c:extLst>
          </c:dPt>
          <c:dPt>
            <c:idx val="3"/>
            <c:bubble3D val="0"/>
            <c:spPr>
              <a:solidFill>
                <a:schemeClr val="accent1">
                  <a:lumMod val="50000"/>
                  <a:alpha val="80000"/>
                </a:schemeClr>
              </a:solidFill>
              <a:ln w="19050">
                <a:noFill/>
              </a:ln>
              <a:effectLst/>
            </c:spPr>
            <c:extLst>
              <c:ext xmlns:c16="http://schemas.microsoft.com/office/drawing/2014/chart" uri="{C3380CC4-5D6E-409C-BE32-E72D297353CC}">
                <c16:uniqueId val="{00000007-2D08-4EB3-9479-B261CB5E55EB}"/>
              </c:ext>
            </c:extLst>
          </c:dPt>
          <c:dPt>
            <c:idx val="4"/>
            <c:bubble3D val="0"/>
            <c:spPr>
              <a:gradFill>
                <a:gsLst>
                  <a:gs pos="0">
                    <a:srgbClr val="C00000">
                      <a:alpha val="3000"/>
                    </a:srgbClr>
                  </a:gs>
                  <a:gs pos="71000">
                    <a:srgbClr val="C00000">
                      <a:lumMod val="79000"/>
                      <a:lumOff val="21000"/>
                    </a:srgbClr>
                  </a:gs>
                </a:gsLst>
                <a:lin ang="5400000" scaled="1"/>
              </a:gradFill>
              <a:ln w="19050">
                <a:noFill/>
              </a:ln>
              <a:effectLst/>
              <a:scene3d>
                <a:camera prst="orthographicFront"/>
                <a:lightRig rig="sunset" dir="t"/>
              </a:scene3d>
              <a:sp3d prstMaterial="softEdge"/>
            </c:spPr>
            <c:extLst>
              <c:ext xmlns:c16="http://schemas.microsoft.com/office/drawing/2014/chart" uri="{C3380CC4-5D6E-409C-BE32-E72D297353CC}">
                <c16:uniqueId val="{00000009-2D08-4EB3-9479-B261CB5E55EB}"/>
              </c:ext>
            </c:extLst>
          </c:dPt>
          <c:dPt>
            <c:idx val="5"/>
            <c:bubble3D val="0"/>
            <c:spPr>
              <a:noFill/>
              <a:ln w="19050">
                <a:noFill/>
              </a:ln>
              <a:effectLst/>
            </c:spPr>
            <c:extLst>
              <c:ext xmlns:c16="http://schemas.microsoft.com/office/drawing/2014/chart" uri="{C3380CC4-5D6E-409C-BE32-E72D297353CC}">
                <c16:uniqueId val="{0000000B-2D08-4EB3-9479-B261CB5E55EB}"/>
              </c:ext>
            </c:extLst>
          </c:dPt>
          <c:val>
            <c:numRef>
              <c:f>ControlChart_Budget1!$DA$57:$DA$62</c:f>
              <c:numCache>
                <c:formatCode>0%</c:formatCode>
                <c:ptCount val="6"/>
                <c:pt idx="0">
                  <c:v>0</c:v>
                </c:pt>
                <c:pt idx="1">
                  <c:v>1</c:v>
                </c:pt>
                <c:pt idx="2">
                  <c:v>0.1</c:v>
                </c:pt>
                <c:pt idx="3">
                  <c:v>0.2</c:v>
                </c:pt>
                <c:pt idx="4">
                  <c:v>0.3</c:v>
                </c:pt>
                <c:pt idx="5">
                  <c:v>1.6</c:v>
                </c:pt>
              </c:numCache>
            </c:numRef>
          </c:val>
          <c:extLst>
            <c:ext xmlns:c16="http://schemas.microsoft.com/office/drawing/2014/chart" uri="{C3380CC4-5D6E-409C-BE32-E72D297353CC}">
              <c16:uniqueId val="{0000000C-2D08-4EB3-9479-B261CB5E55EB}"/>
            </c:ext>
          </c:extLst>
        </c:ser>
        <c:dLbls>
          <c:showLegendKey val="0"/>
          <c:showVal val="0"/>
          <c:showCatName val="0"/>
          <c:showSerName val="0"/>
          <c:showPercent val="0"/>
          <c:showBubbleSize val="0"/>
          <c:showLeaderLines val="1"/>
        </c:dLbls>
        <c:firstSliceAng val="270"/>
        <c:holeSize val="75"/>
      </c:doughnutChart>
      <c:pieChart>
        <c:varyColors val="1"/>
        <c:ser>
          <c:idx val="1"/>
          <c:order val="1"/>
          <c:tx>
            <c:strRef>
              <c:f>ControlChart_Budget1!$DB$56</c:f>
              <c:strCache>
                <c:ptCount val="1"/>
                <c:pt idx="0">
                  <c:v>Point</c:v>
                </c:pt>
              </c:strCache>
            </c:strRef>
          </c:tx>
          <c:spPr>
            <a:ln>
              <a:noFill/>
            </a:ln>
          </c:spPr>
          <c:dPt>
            <c:idx val="0"/>
            <c:bubble3D val="0"/>
            <c:spPr>
              <a:noFill/>
              <a:ln w="19050">
                <a:noFill/>
              </a:ln>
              <a:effectLst/>
            </c:spPr>
            <c:extLst>
              <c:ext xmlns:c16="http://schemas.microsoft.com/office/drawing/2014/chart" uri="{C3380CC4-5D6E-409C-BE32-E72D297353CC}">
                <c16:uniqueId val="{0000000E-2D08-4EB3-9479-B261CB5E55EB}"/>
              </c:ext>
            </c:extLst>
          </c:dPt>
          <c:dPt>
            <c:idx val="1"/>
            <c:bubble3D val="0"/>
            <c:spPr>
              <a:solidFill>
                <a:schemeClr val="bg1"/>
              </a:solidFill>
              <a:ln w="19050">
                <a:noFill/>
              </a:ln>
              <a:effectLst>
                <a:outerShdw blurRad="63500" dist="190500" sx="102000" sy="102000" algn="ctr" rotWithShape="0">
                  <a:schemeClr val="bg1">
                    <a:alpha val="40000"/>
                  </a:schemeClr>
                </a:outerShdw>
              </a:effectLst>
              <a:scene3d>
                <a:camera prst="orthographicFront"/>
                <a:lightRig rig="chilly" dir="t"/>
              </a:scene3d>
              <a:sp3d prstMaterial="translucentPowder"/>
            </c:spPr>
            <c:extLst>
              <c:ext xmlns:c16="http://schemas.microsoft.com/office/drawing/2014/chart" uri="{C3380CC4-5D6E-409C-BE32-E72D297353CC}">
                <c16:uniqueId val="{00000010-2D08-4EB3-9479-B261CB5E55EB}"/>
              </c:ext>
            </c:extLst>
          </c:dPt>
          <c:dPt>
            <c:idx val="2"/>
            <c:bubble3D val="0"/>
            <c:spPr>
              <a:noFill/>
              <a:ln w="19050">
                <a:noFill/>
              </a:ln>
              <a:effectLst/>
            </c:spPr>
            <c:extLst>
              <c:ext xmlns:c16="http://schemas.microsoft.com/office/drawing/2014/chart" uri="{C3380CC4-5D6E-409C-BE32-E72D297353CC}">
                <c16:uniqueId val="{00000012-2D08-4EB3-9479-B261CB5E55EB}"/>
              </c:ext>
            </c:extLst>
          </c:dPt>
          <c:val>
            <c:numRef>
              <c:f>ControlChart_Budget1!$DB$57:$DB$59</c:f>
              <c:numCache>
                <c:formatCode>0%</c:formatCode>
                <c:ptCount val="3"/>
                <c:pt idx="0">
                  <c:v>0</c:v>
                </c:pt>
                <c:pt idx="1">
                  <c:v>0.01</c:v>
                </c:pt>
                <c:pt idx="2">
                  <c:v>3.2</c:v>
                </c:pt>
              </c:numCache>
            </c:numRef>
          </c:val>
          <c:extLst>
            <c:ext xmlns:c16="http://schemas.microsoft.com/office/drawing/2014/chart" uri="{C3380CC4-5D6E-409C-BE32-E72D297353CC}">
              <c16:uniqueId val="{00000013-2D08-4EB3-9479-B261CB5E55EB}"/>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ControlChart_Budget1!$BG$12</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ControlChart_Budget1!$BG$13:$BG$17</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6846-4AAC-8CBE-A40FA76C08F4}"/>
            </c:ext>
          </c:extLst>
        </c:ser>
        <c:ser>
          <c:idx val="2"/>
          <c:order val="1"/>
          <c:tx>
            <c:strRef>
              <c:f>ControlChart_Budget1!$BI$12</c:f>
              <c:strCache>
                <c:ptCount val="1"/>
                <c:pt idx="0">
                  <c:v>Étiquette</c:v>
                </c:pt>
              </c:strCache>
            </c:strRef>
          </c:tx>
          <c:spPr>
            <a:solidFill>
              <a:schemeClr val="tx1">
                <a:lumMod val="65000"/>
                <a:lumOff val="35000"/>
              </a:schemeClr>
            </a:soli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Lbls>
            <c:dLbl>
              <c:idx val="0"/>
              <c:tx>
                <c:rich>
                  <a:bodyPr/>
                  <a:lstStyle/>
                  <a:p>
                    <a:fld id="{DAA911F9-60CF-4D32-9F57-A1C483EE3FB8}"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846-4AAC-8CBE-A40FA76C08F4}"/>
                </c:ext>
              </c:extLst>
            </c:dLbl>
            <c:dLbl>
              <c:idx val="1"/>
              <c:tx>
                <c:rich>
                  <a:bodyPr/>
                  <a:lstStyle/>
                  <a:p>
                    <a:fld id="{B44C9F84-8E5C-4DAC-816B-9627901D042B}"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846-4AAC-8CBE-A40FA76C08F4}"/>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846-4AAC-8CBE-A40FA76C08F4}"/>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846-4AAC-8CBE-A40FA76C08F4}"/>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846-4AAC-8CBE-A40FA76C08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ControlChart_Budget1!$BI$13:$BI$17</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ControlChart_Budget1!$BN$13:$BN$17</c15:f>
                <c15:dlblRangeCache>
                  <c:ptCount val="5"/>
                  <c:pt idx="0">
                    <c:v>90%</c:v>
                  </c:pt>
                  <c:pt idx="1">
                    <c:v>100%</c:v>
                  </c:pt>
                </c15:dlblRangeCache>
              </c15:datalabelsRange>
            </c:ext>
            <c:ext xmlns:c16="http://schemas.microsoft.com/office/drawing/2014/chart" uri="{C3380CC4-5D6E-409C-BE32-E72D297353CC}">
              <c16:uniqueId val="{0000000B-6846-4AAC-8CBE-A40FA76C08F4}"/>
            </c:ext>
          </c:extLst>
        </c:ser>
        <c:ser>
          <c:idx val="3"/>
          <c:order val="2"/>
          <c:tx>
            <c:strRef>
              <c:f>ControlChart_Budget1!$BJ$12</c:f>
              <c:strCache>
                <c:ptCount val="1"/>
                <c:pt idx="0">
                  <c:v>Feed dynamique</c:v>
                </c:pt>
              </c:strCache>
            </c:strRef>
          </c:tx>
          <c:spPr>
            <a:gradFill>
              <a:gsLst>
                <a:gs pos="0">
                  <a:srgbClr val="AADCD7"/>
                </a:gs>
                <a:gs pos="70000">
                  <a:srgbClr val="AADCD7"/>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ControlChart_Budget1!$BJ$13:$BJ$17</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6846-4AAC-8CBE-A40FA76C08F4}"/>
            </c:ext>
          </c:extLst>
        </c:ser>
        <c:ser>
          <c:idx val="4"/>
          <c:order val="3"/>
          <c:tx>
            <c:strRef>
              <c:f>ControlChart_Budget1!$BK$12</c:f>
              <c:strCache>
                <c:ptCount val="1"/>
                <c:pt idx="0">
                  <c:v>Extra Quarter</c:v>
                </c:pt>
              </c:strCache>
            </c:strRef>
          </c:tx>
          <c:spPr>
            <a:pattFill prst="dashUpDiag">
              <a:fgClr>
                <a:schemeClr val="tx1"/>
              </a:fgClr>
              <a:bgClr>
                <a:schemeClr val="bg1">
                  <a:lumMod val="75000"/>
                </a:schemeClr>
              </a:bgClr>
            </a:pattFill>
            <a:ln>
              <a:noFill/>
            </a:ln>
            <a:effectLst/>
            <a:sp3d/>
          </c:spPr>
          <c:invertIfNegative val="0"/>
          <c:val>
            <c:numRef>
              <c:f>ControlChart_Budget1!$BK$13:$BK$17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6846-4AAC-8CBE-A40FA76C08F4}"/>
            </c:ext>
          </c:extLst>
        </c:ser>
        <c:ser>
          <c:idx val="5"/>
          <c:order val="4"/>
          <c:tx>
            <c:strRef>
              <c:f>ControlChart_Budget1!$BL$12</c:f>
              <c:strCache>
                <c:ptCount val="1"/>
                <c:pt idx="0">
                  <c:v>Extra dynamique %</c:v>
                </c:pt>
              </c:strCache>
            </c:strRef>
          </c:tx>
          <c:spPr>
            <a:gradFill>
              <a:gsLst>
                <a:gs pos="0">
                  <a:srgbClr val="AADCD7"/>
                </a:gs>
                <a:gs pos="70000">
                  <a:srgbClr val="AADCD7"/>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ControlChart_Budget1!$BL$13:$BL$17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6846-4AAC-8CBE-A40FA76C08F4}"/>
            </c:ext>
          </c:extLst>
        </c:ser>
        <c:ser>
          <c:idx val="6"/>
          <c:order val="5"/>
          <c:tx>
            <c:strRef>
              <c:f>ControlChart_Budget1!$BM$12</c:f>
              <c:strCache>
                <c:ptCount val="1"/>
                <c:pt idx="0">
                  <c:v>Transparent</c:v>
                </c:pt>
              </c:strCache>
            </c:strRef>
          </c:tx>
          <c:spPr>
            <a:gradFill flip="none" rotWithShape="1">
              <a:gsLst>
                <a:gs pos="0">
                  <a:srgbClr val="AADCD7"/>
                </a:gs>
                <a:gs pos="70000">
                  <a:srgbClr val="AADCD7"/>
                </a:gs>
              </a:gsLst>
              <a:lin ang="13500000" scaled="1"/>
              <a:tileRect/>
            </a:gradFill>
            <a:ln>
              <a:noFill/>
            </a:ln>
            <a:effectLst/>
            <a:scene3d>
              <a:camera prst="orthographicFront"/>
              <a:lightRig rig="threePt" dir="t"/>
            </a:scene3d>
            <a:sp3d prstMaterial="clear">
              <a:contourClr>
                <a:schemeClr val="tx1">
                  <a:lumMod val="75000"/>
                  <a:lumOff val="25000"/>
                </a:schemeClr>
              </a:contourClr>
            </a:sp3d>
          </c:spPr>
          <c:invertIfNegative val="0"/>
          <c:val>
            <c:numRef>
              <c:f>ControlChart_Budget1!$BM$13:$BM$17</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6846-4AAC-8CBE-A40FA76C08F4}"/>
            </c:ext>
          </c:extLst>
        </c:ser>
        <c:ser>
          <c:idx val="1"/>
          <c:order val="6"/>
          <c:tx>
            <c:strRef>
              <c:f>ControlChart_Budget1!$BH$12</c:f>
              <c:strCache>
                <c:ptCount val="1"/>
                <c:pt idx="0">
                  <c:v>Haut</c:v>
                </c:pt>
              </c:strCache>
            </c:strRef>
          </c:tx>
          <c:spPr>
            <a:solidFill>
              <a:schemeClr val="tx1">
                <a:lumMod val="85000"/>
                <a:lumOff val="1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4FEEA63D-AA70-48E3-B227-4B4004865270}"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CD6D-476B-8F06-E6FBF2922B6C}"/>
                </c:ext>
              </c:extLst>
            </c:dLbl>
            <c:dLbl>
              <c:idx val="1"/>
              <c:tx>
                <c:rich>
                  <a:bodyPr/>
                  <a:lstStyle/>
                  <a:p>
                    <a:fld id="{8906B158-B285-4C79-9D55-D9BE48620C37}"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D6D-476B-8F06-E6FBF2922B6C}"/>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D6D-476B-8F06-E6FBF2922B6C}"/>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D6D-476B-8F06-E6FBF2922B6C}"/>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CD6D-476B-8F06-E6FBF2922B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ControlChart_Budget1!$BH$13:$BH$17</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ControlChart_Budget1!$AW$13:$AW$17</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6846-4AAC-8CBE-A40FA76C08F4}"/>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ControlChart_Budget1!$BG$21</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ControlChart_Budget1!$BG$22:$BG$26</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1CA5-433E-93AE-B752674BE1FC}"/>
            </c:ext>
          </c:extLst>
        </c:ser>
        <c:ser>
          <c:idx val="2"/>
          <c:order val="1"/>
          <c:tx>
            <c:strRef>
              <c:f>ControlChart_Budget1!$BI$21</c:f>
              <c:strCache>
                <c:ptCount val="1"/>
                <c:pt idx="0">
                  <c:v>Étiquette</c:v>
                </c:pt>
              </c:strCache>
            </c:strRef>
          </c:tx>
          <c:spPr>
            <a:solidFill>
              <a:schemeClr val="tx1">
                <a:lumMod val="75000"/>
                <a:lumOff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7AF6783E-E8DF-4AF0-96F4-BE4BC395AF14}"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1CA5-433E-93AE-B752674BE1FC}"/>
                </c:ext>
              </c:extLst>
            </c:dLbl>
            <c:dLbl>
              <c:idx val="1"/>
              <c:tx>
                <c:rich>
                  <a:bodyPr/>
                  <a:lstStyle/>
                  <a:p>
                    <a:fld id="{D0805ADD-1035-4508-8EAD-AD1C751C6811}"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CA5-433E-93AE-B752674BE1FC}"/>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1CA5-433E-93AE-B752674BE1FC}"/>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1CA5-433E-93AE-B752674BE1FC}"/>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1CA5-433E-93AE-B752674BE1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ControlChart_Budget1!$BI$22:$BI$26</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ControlChart_Budget1!$BN$22:$BN$26</c15:f>
                <c15:dlblRangeCache>
                  <c:ptCount val="5"/>
                  <c:pt idx="0">
                    <c:v>90%</c:v>
                  </c:pt>
                  <c:pt idx="1">
                    <c:v>100%</c:v>
                  </c:pt>
                </c15:dlblRangeCache>
              </c15:datalabelsRange>
            </c:ext>
            <c:ext xmlns:c16="http://schemas.microsoft.com/office/drawing/2014/chart" uri="{C3380CC4-5D6E-409C-BE32-E72D297353CC}">
              <c16:uniqueId val="{0000000B-1CA5-433E-93AE-B752674BE1FC}"/>
            </c:ext>
          </c:extLst>
        </c:ser>
        <c:ser>
          <c:idx val="3"/>
          <c:order val="2"/>
          <c:tx>
            <c:strRef>
              <c:f>ControlChart_Budget1!$BJ$21</c:f>
              <c:strCache>
                <c:ptCount val="1"/>
                <c:pt idx="0">
                  <c:v>Feed dynamique</c:v>
                </c:pt>
              </c:strCache>
            </c:strRef>
          </c:tx>
          <c:spPr>
            <a:gradFill>
              <a:gsLst>
                <a:gs pos="0">
                  <a:srgbClr val="C54EF8"/>
                </a:gs>
                <a:gs pos="70000">
                  <a:srgbClr val="C54EF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ControlChart_Budget1!$BJ$22:$BJ$26</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1CA5-433E-93AE-B752674BE1FC}"/>
            </c:ext>
          </c:extLst>
        </c:ser>
        <c:ser>
          <c:idx val="4"/>
          <c:order val="3"/>
          <c:tx>
            <c:strRef>
              <c:f>ControlChart_Budget1!$BK$21</c:f>
              <c:strCache>
                <c:ptCount val="1"/>
                <c:pt idx="0">
                  <c:v>Extra Quarter</c:v>
                </c:pt>
              </c:strCache>
            </c:strRef>
          </c:tx>
          <c:spPr>
            <a:pattFill prst="dashUpDiag">
              <a:fgClr>
                <a:schemeClr val="tx1"/>
              </a:fgClr>
              <a:bgClr>
                <a:schemeClr val="bg2">
                  <a:lumMod val="75000"/>
                </a:schemeClr>
              </a:bgClr>
            </a:pattFill>
            <a:ln>
              <a:noFill/>
            </a:ln>
            <a:effectLst/>
            <a:sp3d/>
          </c:spPr>
          <c:invertIfNegative val="0"/>
          <c:val>
            <c:numRef>
              <c:f>ControlChart_Budget1!$BK$22:$BK$26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1CA5-433E-93AE-B752674BE1FC}"/>
            </c:ext>
          </c:extLst>
        </c:ser>
        <c:ser>
          <c:idx val="5"/>
          <c:order val="4"/>
          <c:tx>
            <c:strRef>
              <c:f>ControlChart_Budget1!$BL$21</c:f>
              <c:strCache>
                <c:ptCount val="1"/>
                <c:pt idx="0">
                  <c:v>Extra dynamique %</c:v>
                </c:pt>
              </c:strCache>
            </c:strRef>
          </c:tx>
          <c:spPr>
            <a:gradFill>
              <a:gsLst>
                <a:gs pos="0">
                  <a:srgbClr val="C54EF8"/>
                </a:gs>
                <a:gs pos="70000">
                  <a:srgbClr val="C54EF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ControlChart_Budget1!$BL$22:$BL$26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1CA5-433E-93AE-B752674BE1FC}"/>
            </c:ext>
          </c:extLst>
        </c:ser>
        <c:ser>
          <c:idx val="6"/>
          <c:order val="5"/>
          <c:tx>
            <c:strRef>
              <c:f>ControlChart_Budget1!$BM$21</c:f>
              <c:strCache>
                <c:ptCount val="1"/>
                <c:pt idx="0">
                  <c:v>Transparent</c:v>
                </c:pt>
              </c:strCache>
            </c:strRef>
          </c:tx>
          <c:spPr>
            <a:gradFill>
              <a:gsLst>
                <a:gs pos="0">
                  <a:srgbClr val="C54EF8"/>
                </a:gs>
                <a:gs pos="70000">
                  <a:srgbClr val="C54EF8"/>
                </a:gs>
              </a:gsLst>
              <a:lin ang="13500000" scaled="1"/>
            </a:gradFill>
            <a:ln>
              <a:noFill/>
            </a:ln>
            <a:effectLst/>
            <a:scene3d>
              <a:camera prst="orthographicFront"/>
              <a:lightRig rig="threePt" dir="t"/>
            </a:scene3d>
            <a:sp3d prstMaterial="clear"/>
          </c:spPr>
          <c:invertIfNegative val="0"/>
          <c:val>
            <c:numRef>
              <c:f>ControlChart_Budget1!$BM$22:$BM$26</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1CA5-433E-93AE-B752674BE1FC}"/>
            </c:ext>
          </c:extLst>
        </c:ser>
        <c:ser>
          <c:idx val="1"/>
          <c:order val="6"/>
          <c:tx>
            <c:strRef>
              <c:f>ControlChart_Budget1!$BH$21</c:f>
              <c:strCache>
                <c:ptCount val="1"/>
                <c:pt idx="0">
                  <c:v>Haut</c:v>
                </c:pt>
              </c:strCache>
            </c:strRef>
          </c:tx>
          <c:spPr>
            <a:solidFill>
              <a:schemeClr val="tx1">
                <a:lumMod val="75000"/>
                <a:lumOff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CE49D411-B391-4B11-9A33-73B7AB8B3038}"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F6C-44EF-BCF5-7A6BE4553BD2}"/>
                </c:ext>
              </c:extLst>
            </c:dLbl>
            <c:dLbl>
              <c:idx val="1"/>
              <c:tx>
                <c:rich>
                  <a:bodyPr/>
                  <a:lstStyle/>
                  <a:p>
                    <a:fld id="{65818D5A-11CE-48D0-8CD3-0E0F6F0BFE3D}"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F6C-44EF-BCF5-7A6BE4553BD2}"/>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DF6C-44EF-BCF5-7A6BE4553BD2}"/>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DF6C-44EF-BCF5-7A6BE4553BD2}"/>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DF6C-44EF-BCF5-7A6BE4553B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ControlChart_Budget1!$BH$22:$BH$26</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ControlChart_Budget1!$AW$22:$AW$26</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1CA5-433E-93AE-B752674BE1FC}"/>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ControlChart_Budget1!$BG$30</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ControlChart_Budget1!$BG$31:$BG$35</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9661-411E-A81A-20636F777C7E}"/>
            </c:ext>
          </c:extLst>
        </c:ser>
        <c:ser>
          <c:idx val="2"/>
          <c:order val="1"/>
          <c:tx>
            <c:strRef>
              <c:f>ControlChart_Budget1!$BI$30</c:f>
              <c:strCache>
                <c:ptCount val="1"/>
                <c:pt idx="0">
                  <c:v>Étiquette</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DCD53323-FA18-4B51-8297-3C56F5FF76EB}"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9661-411E-A81A-20636F777C7E}"/>
                </c:ext>
              </c:extLst>
            </c:dLbl>
            <c:dLbl>
              <c:idx val="1"/>
              <c:tx>
                <c:rich>
                  <a:bodyPr/>
                  <a:lstStyle/>
                  <a:p>
                    <a:fld id="{04B20F53-0593-439B-A7DB-EAB348DC086F}"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661-411E-A81A-20636F777C7E}"/>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9661-411E-A81A-20636F777C7E}"/>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9661-411E-A81A-20636F777C7E}"/>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9661-411E-A81A-20636F777C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ControlChart_Budget1!$BI$31:$BI$35</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ControlChart_Budget1!$BN$31:$BN$35</c15:f>
                <c15:dlblRangeCache>
                  <c:ptCount val="5"/>
                  <c:pt idx="0">
                    <c:v>90%</c:v>
                  </c:pt>
                  <c:pt idx="1">
                    <c:v>100%</c:v>
                  </c:pt>
                </c15:dlblRangeCache>
              </c15:datalabelsRange>
            </c:ext>
            <c:ext xmlns:c16="http://schemas.microsoft.com/office/drawing/2014/chart" uri="{C3380CC4-5D6E-409C-BE32-E72D297353CC}">
              <c16:uniqueId val="{0000000B-9661-411E-A81A-20636F777C7E}"/>
            </c:ext>
          </c:extLst>
        </c:ser>
        <c:ser>
          <c:idx val="3"/>
          <c:order val="2"/>
          <c:tx>
            <c:strRef>
              <c:f>ControlChart_Budget1!$BJ$30</c:f>
              <c:strCache>
                <c:ptCount val="1"/>
                <c:pt idx="0">
                  <c:v>Feed dynamique</c:v>
                </c:pt>
              </c:strCache>
            </c:strRef>
          </c:tx>
          <c:spPr>
            <a:gradFill>
              <a:gsLst>
                <a:gs pos="0">
                  <a:srgbClr val="FA6148"/>
                </a:gs>
                <a:gs pos="70000">
                  <a:srgbClr val="FA6148"/>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ControlChart_Budget1!$BJ$31:$BJ$35</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9661-411E-A81A-20636F777C7E}"/>
            </c:ext>
          </c:extLst>
        </c:ser>
        <c:ser>
          <c:idx val="4"/>
          <c:order val="3"/>
          <c:tx>
            <c:strRef>
              <c:f>ControlChart_Budget1!$BK$30</c:f>
              <c:strCache>
                <c:ptCount val="1"/>
                <c:pt idx="0">
                  <c:v>Extra Quarter</c:v>
                </c:pt>
              </c:strCache>
            </c:strRef>
          </c:tx>
          <c:spPr>
            <a:pattFill prst="dashUpDiag">
              <a:fgClr>
                <a:schemeClr val="bg2">
                  <a:lumMod val="25000"/>
                </a:schemeClr>
              </a:fgClr>
              <a:bgClr>
                <a:schemeClr val="bg2">
                  <a:lumMod val="75000"/>
                </a:schemeClr>
              </a:bgClr>
            </a:pattFill>
            <a:ln>
              <a:noFill/>
            </a:ln>
            <a:effectLst/>
            <a:sp3d/>
          </c:spPr>
          <c:invertIfNegative val="0"/>
          <c:val>
            <c:numRef>
              <c:f>ControlChart_Budget1!$BK$31:$BK$35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9661-411E-A81A-20636F777C7E}"/>
            </c:ext>
          </c:extLst>
        </c:ser>
        <c:ser>
          <c:idx val="5"/>
          <c:order val="4"/>
          <c:tx>
            <c:strRef>
              <c:f>ControlChart_Budget1!$BL$30</c:f>
              <c:strCache>
                <c:ptCount val="1"/>
                <c:pt idx="0">
                  <c:v>Extra dynamique %</c:v>
                </c:pt>
              </c:strCache>
            </c:strRef>
          </c:tx>
          <c:spPr>
            <a:gradFill>
              <a:gsLst>
                <a:gs pos="0">
                  <a:srgbClr val="FA6148"/>
                </a:gs>
                <a:gs pos="70000">
                  <a:srgbClr val="FA6148"/>
                </a:gs>
              </a:gsLst>
              <a:lin ang="13500000" scaled="1"/>
            </a:gradFill>
            <a:ln>
              <a:noFill/>
            </a:ln>
            <a:effectLst/>
            <a:scene3d>
              <a:camera prst="orthographicFront"/>
              <a:lightRig rig="threePt" dir="t"/>
            </a:scene3d>
            <a:sp3d prstMaterial="dkEdge">
              <a:contourClr>
                <a:srgbClr val="000000"/>
              </a:contourClr>
            </a:sp3d>
          </c:spPr>
          <c:invertIfNegative val="0"/>
          <c:dPt>
            <c:idx val="1"/>
            <c:invertIfNegative val="0"/>
            <c:bubble3D val="0"/>
            <c:spPr>
              <a:gradFill>
                <a:gsLst>
                  <a:gs pos="0">
                    <a:srgbClr val="FA6148"/>
                  </a:gs>
                  <a:gs pos="70000">
                    <a:srgbClr val="FA6148"/>
                  </a:gs>
                </a:gsLst>
                <a:lin ang="13500000" scaled="1"/>
              </a:gradFill>
              <a:ln>
                <a:noFill/>
              </a:ln>
              <a:effectLst/>
              <a:scene3d>
                <a:camera prst="orthographicFront"/>
                <a:lightRig rig="threePt" dir="t"/>
              </a:scene3d>
              <a:sp3d prstMaterial="dkEdge">
                <a:contourClr>
                  <a:srgbClr val="000000"/>
                </a:contourClr>
              </a:sp3d>
            </c:spPr>
            <c:extLst>
              <c:ext xmlns:c16="http://schemas.microsoft.com/office/drawing/2014/chart" uri="{C3380CC4-5D6E-409C-BE32-E72D297353CC}">
                <c16:uniqueId val="{0000000F-9661-411E-A81A-20636F777C7E}"/>
              </c:ext>
            </c:extLst>
          </c:dPt>
          <c:dPt>
            <c:idx val="3"/>
            <c:invertIfNegative val="0"/>
            <c:bubble3D val="0"/>
            <c:spPr>
              <a:gradFill>
                <a:gsLst>
                  <a:gs pos="0">
                    <a:srgbClr val="FA6148"/>
                  </a:gs>
                  <a:gs pos="70000">
                    <a:srgbClr val="FA6148"/>
                  </a:gs>
                </a:gsLst>
                <a:lin ang="13500000" scaled="1"/>
              </a:gradFill>
              <a:ln>
                <a:noFill/>
              </a:ln>
              <a:effectLst/>
              <a:scene3d>
                <a:camera prst="orthographicFront"/>
                <a:lightRig rig="threePt" dir="t"/>
              </a:scene3d>
              <a:sp3d prstMaterial="dkEdge">
                <a:contourClr>
                  <a:srgbClr val="000000"/>
                </a:contourClr>
              </a:sp3d>
            </c:spPr>
            <c:extLst>
              <c:ext xmlns:c16="http://schemas.microsoft.com/office/drawing/2014/chart" uri="{C3380CC4-5D6E-409C-BE32-E72D297353CC}">
                <c16:uniqueId val="{00000011-9661-411E-A81A-20636F777C7E}"/>
              </c:ext>
            </c:extLst>
          </c:dPt>
          <c:val>
            <c:numRef>
              <c:f>ControlChart_Budget1!$BL$31:$BL$35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12-9661-411E-A81A-20636F777C7E}"/>
            </c:ext>
          </c:extLst>
        </c:ser>
        <c:ser>
          <c:idx val="6"/>
          <c:order val="5"/>
          <c:tx>
            <c:strRef>
              <c:f>ControlChart_Budget1!$BM$30</c:f>
              <c:strCache>
                <c:ptCount val="1"/>
                <c:pt idx="0">
                  <c:v>Transparent</c:v>
                </c:pt>
              </c:strCache>
            </c:strRef>
          </c:tx>
          <c:spPr>
            <a:gradFill>
              <a:gsLst>
                <a:gs pos="0">
                  <a:srgbClr val="FA6148"/>
                </a:gs>
                <a:gs pos="70000">
                  <a:srgbClr val="FA6148"/>
                </a:gs>
              </a:gsLst>
              <a:lin ang="13500000" scaled="1"/>
            </a:gradFill>
            <a:ln>
              <a:noFill/>
            </a:ln>
            <a:effectLst/>
            <a:scene3d>
              <a:camera prst="orthographicFront"/>
              <a:lightRig rig="threePt" dir="t"/>
            </a:scene3d>
            <a:sp3d prstMaterial="clear"/>
          </c:spPr>
          <c:invertIfNegative val="0"/>
          <c:val>
            <c:numRef>
              <c:f>ControlChart_Budget1!$BM$31:$BM$35</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13-9661-411E-A81A-20636F777C7E}"/>
            </c:ext>
          </c:extLst>
        </c:ser>
        <c:ser>
          <c:idx val="1"/>
          <c:order val="6"/>
          <c:tx>
            <c:strRef>
              <c:f>ControlChart_Budget1!$BH$30</c:f>
              <c:strCache>
                <c:ptCount val="1"/>
                <c:pt idx="0">
                  <c:v>Haut</c:v>
                </c:pt>
              </c:strCache>
            </c:strRef>
          </c:tx>
          <c:spPr>
            <a:solidFill>
              <a:schemeClr val="bg2">
                <a:lumMod val="25000"/>
              </a:schemeClr>
            </a:soli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Lbls>
            <c:dLbl>
              <c:idx val="0"/>
              <c:tx>
                <c:rich>
                  <a:bodyPr/>
                  <a:lstStyle/>
                  <a:p>
                    <a:fld id="{E8A9E3DE-0ACD-4774-8E0C-397C6CDDCBB0}"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D690-450A-B48F-30A87F72D414}"/>
                </c:ext>
              </c:extLst>
            </c:dLbl>
            <c:dLbl>
              <c:idx val="1"/>
              <c:tx>
                <c:rich>
                  <a:bodyPr/>
                  <a:lstStyle/>
                  <a:p>
                    <a:fld id="{33E07661-551B-497A-8D6F-119AFA432201}"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690-450A-B48F-30A87F72D414}"/>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D690-450A-B48F-30A87F72D414}"/>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D690-450A-B48F-30A87F72D414}"/>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D690-450A-B48F-30A87F72D4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ControlChart_Budget1!$BH$31:$BH$35</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ControlChart_Budget1!$AW$31:$AW$35</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4-9661-411E-A81A-20636F777C7E}"/>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a:outerShdw blurRad="38100" dist="50800" dir="5400000" algn="ctr" rotWithShape="0">
        <a:srgbClr val="000000">
          <a:alpha val="43137"/>
        </a:srgbClr>
      </a:outerShdw>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ControlChart_Budget1!$BG$57</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ControlChart_Budget1!$BG$58:$BG$62</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82DA-4C48-9495-652F41D2FD8B}"/>
            </c:ext>
          </c:extLst>
        </c:ser>
        <c:ser>
          <c:idx val="2"/>
          <c:order val="1"/>
          <c:tx>
            <c:strRef>
              <c:f>ControlChart_Budget1!$BI$57</c:f>
              <c:strCache>
                <c:ptCount val="1"/>
                <c:pt idx="0">
                  <c:v>Étiquette</c:v>
                </c:pt>
              </c:strCache>
            </c:strRef>
          </c:tx>
          <c:spPr>
            <a:solidFill>
              <a:schemeClr val="bg2">
                <a:lumMod val="25000"/>
              </a:schemeClr>
            </a:solidFill>
            <a:ln>
              <a:noFill/>
            </a:ln>
            <a:effectLst/>
            <a:scene3d>
              <a:camera prst="orthographicFront"/>
              <a:lightRig rig="threePt" dir="t"/>
            </a:scene3d>
            <a:sp3d prstMaterial="dkEdge"/>
          </c:spPr>
          <c:invertIfNegative val="0"/>
          <c:dLbls>
            <c:dLbl>
              <c:idx val="0"/>
              <c:tx>
                <c:rich>
                  <a:bodyPr/>
                  <a:lstStyle/>
                  <a:p>
                    <a:fld id="{2ED2DE56-294B-46D2-98DB-685324AC8F1E}"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2DA-4C48-9495-652F41D2FD8B}"/>
                </c:ext>
              </c:extLst>
            </c:dLbl>
            <c:dLbl>
              <c:idx val="1"/>
              <c:tx>
                <c:rich>
                  <a:bodyPr/>
                  <a:lstStyle/>
                  <a:p>
                    <a:fld id="{9974A197-A9CC-4958-B3DD-36797810E995}"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2DA-4C48-9495-652F41D2FD8B}"/>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82DA-4C48-9495-652F41D2FD8B}"/>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82DA-4C48-9495-652F41D2FD8B}"/>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82DA-4C48-9495-652F41D2FD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ControlChart_Budget1!$BI$58:$BI$62</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ControlChart_Budget1!$BN$58:$BN$62</c15:f>
                <c15:dlblRangeCache>
                  <c:ptCount val="5"/>
                  <c:pt idx="0">
                    <c:v>90%</c:v>
                  </c:pt>
                  <c:pt idx="1">
                    <c:v>100%</c:v>
                  </c:pt>
                </c15:dlblRangeCache>
              </c15:datalabelsRange>
            </c:ext>
            <c:ext xmlns:c16="http://schemas.microsoft.com/office/drawing/2014/chart" uri="{C3380CC4-5D6E-409C-BE32-E72D297353CC}">
              <c16:uniqueId val="{0000000B-82DA-4C48-9495-652F41D2FD8B}"/>
            </c:ext>
          </c:extLst>
        </c:ser>
        <c:ser>
          <c:idx val="3"/>
          <c:order val="2"/>
          <c:tx>
            <c:strRef>
              <c:f>ControlChart_Budget1!$BJ$57</c:f>
              <c:strCache>
                <c:ptCount val="1"/>
                <c:pt idx="0">
                  <c:v>Feed dynamique</c:v>
                </c:pt>
              </c:strCache>
            </c:strRef>
          </c:tx>
          <c:spPr>
            <a:gradFill>
              <a:gsLst>
                <a:gs pos="0">
                  <a:srgbClr val="15C2FF"/>
                </a:gs>
                <a:gs pos="70000">
                  <a:srgbClr val="15C2FF"/>
                </a:gs>
              </a:gsLst>
              <a:lin ang="13500000" scaled="1"/>
            </a:gra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val>
            <c:numRef>
              <c:f>ControlChart_Budget1!$BJ$58:$BJ$62</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82DA-4C48-9495-652F41D2FD8B}"/>
            </c:ext>
          </c:extLst>
        </c:ser>
        <c:ser>
          <c:idx val="4"/>
          <c:order val="3"/>
          <c:tx>
            <c:strRef>
              <c:f>ControlChart_Budget1!$BK$57</c:f>
              <c:strCache>
                <c:ptCount val="1"/>
                <c:pt idx="0">
                  <c:v>Extra Quarter</c:v>
                </c:pt>
              </c:strCache>
            </c:strRef>
          </c:tx>
          <c:spPr>
            <a:pattFill prst="dashUpDiag">
              <a:fgClr>
                <a:schemeClr val="bg2">
                  <a:lumMod val="25000"/>
                </a:schemeClr>
              </a:fgClr>
              <a:bgClr>
                <a:schemeClr val="bg2">
                  <a:lumMod val="75000"/>
                </a:schemeClr>
              </a:bgClr>
            </a:pattFill>
            <a:ln>
              <a:noFill/>
            </a:ln>
            <a:effectLst/>
            <a:sp3d/>
          </c:spPr>
          <c:invertIfNegative val="0"/>
          <c:val>
            <c:numRef>
              <c:f>ControlChart_Budget1!$BK$58:$BK$62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82DA-4C48-9495-652F41D2FD8B}"/>
            </c:ext>
          </c:extLst>
        </c:ser>
        <c:ser>
          <c:idx val="5"/>
          <c:order val="4"/>
          <c:tx>
            <c:strRef>
              <c:f>ControlChart_Budget1!$BL$57</c:f>
              <c:strCache>
                <c:ptCount val="1"/>
                <c:pt idx="0">
                  <c:v>Extra dynamique %</c:v>
                </c:pt>
              </c:strCache>
            </c:strRef>
          </c:tx>
          <c:spPr>
            <a:gradFill>
              <a:gsLst>
                <a:gs pos="0">
                  <a:srgbClr val="15C2FF"/>
                </a:gs>
                <a:gs pos="70000">
                  <a:srgbClr val="15C2FF"/>
                </a:gs>
              </a:gsLst>
              <a:lin ang="13500000" scaled="1"/>
            </a:gra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val>
            <c:numRef>
              <c:f>ControlChart_Budget1!$BL$58:$BL$62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82DA-4C48-9495-652F41D2FD8B}"/>
            </c:ext>
          </c:extLst>
        </c:ser>
        <c:ser>
          <c:idx val="6"/>
          <c:order val="5"/>
          <c:tx>
            <c:strRef>
              <c:f>ControlChart_Budget1!$BM$57</c:f>
              <c:strCache>
                <c:ptCount val="1"/>
                <c:pt idx="0">
                  <c:v>Transparent</c:v>
                </c:pt>
              </c:strCache>
            </c:strRef>
          </c:tx>
          <c:spPr>
            <a:gradFill>
              <a:gsLst>
                <a:gs pos="0">
                  <a:srgbClr val="15C2FF"/>
                </a:gs>
                <a:gs pos="70000">
                  <a:srgbClr val="15C2FF"/>
                </a:gs>
              </a:gsLst>
              <a:lin ang="13500000" scaled="1"/>
            </a:gradFill>
            <a:ln>
              <a:solidFill>
                <a:schemeClr val="tx1">
                  <a:lumMod val="85000"/>
                  <a:lumOff val="15000"/>
                </a:schemeClr>
              </a:solidFill>
            </a:ln>
            <a:effectLst/>
            <a:scene3d>
              <a:camera prst="orthographicFront"/>
              <a:lightRig rig="threePt" dir="t"/>
            </a:scene3d>
            <a:sp3d prstMaterial="clear">
              <a:contourClr>
                <a:schemeClr val="tx1">
                  <a:lumMod val="85000"/>
                  <a:lumOff val="15000"/>
                </a:schemeClr>
              </a:contourClr>
            </a:sp3d>
          </c:spPr>
          <c:invertIfNegative val="0"/>
          <c:val>
            <c:numRef>
              <c:f>ControlChart_Budget1!$BM$58:$BM$62</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82DA-4C48-9495-652F41D2FD8B}"/>
            </c:ext>
          </c:extLst>
        </c:ser>
        <c:ser>
          <c:idx val="1"/>
          <c:order val="6"/>
          <c:tx>
            <c:strRef>
              <c:f>ControlChart_Budget1!$BH$57</c:f>
              <c:strCache>
                <c:ptCount val="1"/>
                <c:pt idx="0">
                  <c:v>Haut</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3FFD0971-E8A2-48D5-8E03-EE09F86583F1}"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99A-486C-B36F-0C000172471F}"/>
                </c:ext>
              </c:extLst>
            </c:dLbl>
            <c:dLbl>
              <c:idx val="1"/>
              <c:tx>
                <c:rich>
                  <a:bodyPr/>
                  <a:lstStyle/>
                  <a:p>
                    <a:fld id="{DDB584D9-DE0B-4885-9F6E-3EF8E8BE875B}"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99A-486C-B36F-0C000172471F}"/>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499A-486C-B36F-0C000172471F}"/>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499A-486C-B36F-0C000172471F}"/>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499A-486C-B36F-0C000172471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ControlChart_Budget1!$BH$58:$BH$62</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ControlChart_Budget1!$AW$58:$AW$62</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82DA-4C48-9495-652F41D2FD8B}"/>
            </c:ext>
          </c:extLst>
        </c:ser>
        <c:dLbls>
          <c:showLegendKey val="0"/>
          <c:showVal val="0"/>
          <c:showCatName val="0"/>
          <c:showSerName val="0"/>
          <c:showPercent val="0"/>
          <c:showBubbleSize val="0"/>
        </c:dLbls>
        <c:gapWidth val="17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ControlChart_Budget1!$BG$39</c:f>
              <c:strCache>
                <c:ptCount val="1"/>
                <c:pt idx="0">
                  <c:v>Bas</c:v>
                </c:pt>
              </c:strCache>
            </c:strRef>
          </c:tx>
          <c:spPr>
            <a:solidFill>
              <a:schemeClr val="tx1">
                <a:lumMod val="85000"/>
                <a:lumOff val="15000"/>
              </a:schemeClr>
            </a:solidFill>
            <a:ln>
              <a:noFill/>
            </a:ln>
            <a:effectLst>
              <a:outerShdw blurRad="50800" dist="38100" dir="5400000" algn="t" rotWithShape="0">
                <a:schemeClr val="bg1">
                  <a:alpha val="40000"/>
                </a:schemeClr>
              </a:outerShdw>
            </a:effectLst>
            <a:scene3d>
              <a:camera prst="orthographicFront"/>
              <a:lightRig rig="threePt" dir="t"/>
            </a:scene3d>
            <a:sp3d prstMaterial="dkEdge">
              <a:contourClr>
                <a:srgbClr val="000000"/>
              </a:contourClr>
            </a:sp3d>
          </c:spPr>
          <c:invertIfNegative val="0"/>
          <c:val>
            <c:numRef>
              <c:f>ControlChart_Budget1!$BG$40:$BG$44</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9FCE-4399-B25A-F4D573CDDAF5}"/>
            </c:ext>
          </c:extLst>
        </c:ser>
        <c:ser>
          <c:idx val="2"/>
          <c:order val="1"/>
          <c:tx>
            <c:strRef>
              <c:f>ControlChart_Budget1!$BI$39</c:f>
              <c:strCache>
                <c:ptCount val="1"/>
                <c:pt idx="0">
                  <c:v>Étiquette</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D207BA9F-1DAB-493F-8FC3-2132E3D6A66D}"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9FCE-4399-B25A-F4D573CDDAF5}"/>
                </c:ext>
              </c:extLst>
            </c:dLbl>
            <c:dLbl>
              <c:idx val="1"/>
              <c:tx>
                <c:rich>
                  <a:bodyPr/>
                  <a:lstStyle/>
                  <a:p>
                    <a:fld id="{A1BAA114-C669-48F0-A051-419097ACB803}"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FCE-4399-B25A-F4D573CDDAF5}"/>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9FCE-4399-B25A-F4D573CDDAF5}"/>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9FCE-4399-B25A-F4D573CDDAF5}"/>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9FCE-4399-B25A-F4D573CDDA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ControlChart_Budget1!$BI$40:$BI$44</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ControlChart_Budget1!$BN$40:$BN$44</c15:f>
                <c15:dlblRangeCache>
                  <c:ptCount val="5"/>
                  <c:pt idx="0">
                    <c:v>90%</c:v>
                  </c:pt>
                  <c:pt idx="1">
                    <c:v>100%</c:v>
                  </c:pt>
                </c15:dlblRangeCache>
              </c15:datalabelsRange>
            </c:ext>
            <c:ext xmlns:c16="http://schemas.microsoft.com/office/drawing/2014/chart" uri="{C3380CC4-5D6E-409C-BE32-E72D297353CC}">
              <c16:uniqueId val="{0000000B-9FCE-4399-B25A-F4D573CDDAF5}"/>
            </c:ext>
          </c:extLst>
        </c:ser>
        <c:ser>
          <c:idx val="3"/>
          <c:order val="2"/>
          <c:tx>
            <c:strRef>
              <c:f>ControlChart_Budget1!$BJ$39</c:f>
              <c:strCache>
                <c:ptCount val="1"/>
                <c:pt idx="0">
                  <c:v>Feed dynamique</c:v>
                </c:pt>
              </c:strCache>
            </c:strRef>
          </c:tx>
          <c:spPr>
            <a:gradFill>
              <a:gsLst>
                <a:gs pos="0">
                  <a:srgbClr val="FFFF00"/>
                </a:gs>
                <a:gs pos="70000">
                  <a:srgbClr val="FFFF00"/>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ControlChart_Budget1!$BJ$40:$BJ$44</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9FCE-4399-B25A-F4D573CDDAF5}"/>
            </c:ext>
          </c:extLst>
        </c:ser>
        <c:ser>
          <c:idx val="4"/>
          <c:order val="3"/>
          <c:tx>
            <c:strRef>
              <c:f>ControlChart_Budget1!$BK$39</c:f>
              <c:strCache>
                <c:ptCount val="1"/>
                <c:pt idx="0">
                  <c:v>Extra Quarter</c:v>
                </c:pt>
              </c:strCache>
            </c:strRef>
          </c:tx>
          <c:spPr>
            <a:pattFill prst="dashUpDiag">
              <a:fgClr>
                <a:schemeClr val="bg2">
                  <a:lumMod val="25000"/>
                </a:schemeClr>
              </a:fgClr>
              <a:bgClr>
                <a:schemeClr val="bg2">
                  <a:lumMod val="75000"/>
                </a:schemeClr>
              </a:bgClr>
            </a:pattFill>
            <a:ln>
              <a:noFill/>
            </a:ln>
            <a:effectLst/>
            <a:sp3d/>
          </c:spPr>
          <c:invertIfNegative val="0"/>
          <c:val>
            <c:numRef>
              <c:f>ControlChart_Budget1!$BK$40:$BK$44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9FCE-4399-B25A-F4D573CDDAF5}"/>
            </c:ext>
          </c:extLst>
        </c:ser>
        <c:ser>
          <c:idx val="5"/>
          <c:order val="4"/>
          <c:tx>
            <c:strRef>
              <c:f>ControlChart_Budget1!$BL$39</c:f>
              <c:strCache>
                <c:ptCount val="1"/>
                <c:pt idx="0">
                  <c:v>Extra dynamique %</c:v>
                </c:pt>
              </c:strCache>
            </c:strRef>
          </c:tx>
          <c:spPr>
            <a:gradFill>
              <a:gsLst>
                <a:gs pos="0">
                  <a:srgbClr val="FFFF00"/>
                </a:gs>
                <a:gs pos="70000">
                  <a:srgbClr val="FFFF00"/>
                </a:gs>
              </a:gsLst>
              <a:lin ang="13500000" scaled="1"/>
            </a:gra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val>
            <c:numRef>
              <c:f>ControlChart_Budget1!$BL$40:$BL$44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9FCE-4399-B25A-F4D573CDDAF5}"/>
            </c:ext>
          </c:extLst>
        </c:ser>
        <c:ser>
          <c:idx val="6"/>
          <c:order val="5"/>
          <c:tx>
            <c:strRef>
              <c:f>ControlChart_Budget1!$BM$39</c:f>
              <c:strCache>
                <c:ptCount val="1"/>
                <c:pt idx="0">
                  <c:v>Transparent</c:v>
                </c:pt>
              </c:strCache>
            </c:strRef>
          </c:tx>
          <c:spPr>
            <a:gradFill>
              <a:gsLst>
                <a:gs pos="0">
                  <a:srgbClr val="FFFF00"/>
                </a:gs>
                <a:gs pos="70000">
                  <a:srgbClr val="FFFF00"/>
                </a:gs>
              </a:gsLst>
              <a:lin ang="13500000" scaled="1"/>
            </a:gradFill>
            <a:ln>
              <a:solidFill>
                <a:schemeClr val="tx1">
                  <a:lumMod val="75000"/>
                  <a:lumOff val="25000"/>
                </a:schemeClr>
              </a:solidFill>
            </a:ln>
            <a:effectLst/>
            <a:scene3d>
              <a:camera prst="orthographicFront"/>
              <a:lightRig rig="threePt" dir="t"/>
            </a:scene3d>
            <a:sp3d prstMaterial="clear">
              <a:contourClr>
                <a:schemeClr val="tx1">
                  <a:lumMod val="75000"/>
                  <a:lumOff val="25000"/>
                </a:schemeClr>
              </a:contourClr>
            </a:sp3d>
          </c:spPr>
          <c:invertIfNegative val="0"/>
          <c:val>
            <c:numRef>
              <c:f>ControlChart_Budget1!$BM$40:$BM$44</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9FCE-4399-B25A-F4D573CDDAF5}"/>
            </c:ext>
          </c:extLst>
        </c:ser>
        <c:ser>
          <c:idx val="1"/>
          <c:order val="6"/>
          <c:tx>
            <c:strRef>
              <c:f>ControlChart_Budget1!$BH$39</c:f>
              <c:strCache>
                <c:ptCount val="1"/>
                <c:pt idx="0">
                  <c:v>Haut</c:v>
                </c:pt>
              </c:strCache>
            </c:strRef>
          </c:tx>
          <c:spPr>
            <a:solidFill>
              <a:schemeClr val="bg2">
                <a:lumMod val="25000"/>
              </a:schemeClr>
            </a:soli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Lbls>
            <c:dLbl>
              <c:idx val="0"/>
              <c:tx>
                <c:rich>
                  <a:bodyPr/>
                  <a:lstStyle/>
                  <a:p>
                    <a:fld id="{E944ECEA-01B4-438A-9134-42F3B74B7ABE}"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3E9-40CA-8FF2-7E06CA3FF18E}"/>
                </c:ext>
              </c:extLst>
            </c:dLbl>
            <c:dLbl>
              <c:idx val="1"/>
              <c:tx>
                <c:rich>
                  <a:bodyPr/>
                  <a:lstStyle/>
                  <a:p>
                    <a:fld id="{6A401126-C1CA-46C4-B4CD-75AA404CE92A}"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3E9-40CA-8FF2-7E06CA3FF18E}"/>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3E9-40CA-8FF2-7E06CA3FF18E}"/>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23E9-40CA-8FF2-7E06CA3FF18E}"/>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23E9-40CA-8FF2-7E06CA3FF18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ControlChart_Budget1!$BH$40:$BH$44</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ControlChart_Budget1!$AW$40:$AW$44</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9FCE-4399-B25A-F4D573CDDAF5}"/>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ControlChart_Budget1!$BG$48</c:f>
              <c:strCache>
                <c:ptCount val="1"/>
                <c:pt idx="0">
                  <c:v>Bas</c:v>
                </c:pt>
              </c:strCache>
            </c:strRef>
          </c:tx>
          <c:spPr>
            <a:solidFill>
              <a:schemeClr val="tx1">
                <a:lumMod val="85000"/>
                <a:lumOff val="15000"/>
              </a:schemeClr>
            </a:solidFill>
            <a:ln>
              <a:solidFill>
                <a:schemeClr val="tx1">
                  <a:lumMod val="85000"/>
                  <a:lumOff val="15000"/>
                </a:schemeClr>
              </a:solidFill>
            </a:ln>
            <a:effectLst>
              <a:outerShdw blurRad="50800" dist="38100" dir="5400000" algn="t" rotWithShape="0">
                <a:schemeClr val="bg1">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ControlChart_Budget1!$BG$49:$BG$53</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550E-4C15-8E78-73F3A3926D64}"/>
            </c:ext>
          </c:extLst>
        </c:ser>
        <c:ser>
          <c:idx val="2"/>
          <c:order val="1"/>
          <c:tx>
            <c:strRef>
              <c:f>ControlChart_Budget1!$BI$48</c:f>
              <c:strCache>
                <c:ptCount val="1"/>
                <c:pt idx="0">
                  <c:v>Étiquette</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0F4D05CF-905F-4784-9578-A5286F8981BE}"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50E-4C15-8E78-73F3A3926D64}"/>
                </c:ext>
              </c:extLst>
            </c:dLbl>
            <c:dLbl>
              <c:idx val="1"/>
              <c:tx>
                <c:rich>
                  <a:bodyPr/>
                  <a:lstStyle/>
                  <a:p>
                    <a:fld id="{ECA55C89-5C80-4ABF-AAEB-35C81028F6A7}"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50E-4C15-8E78-73F3A3926D64}"/>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550E-4C15-8E78-73F3A3926D64}"/>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550E-4C15-8E78-73F3A3926D64}"/>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550E-4C15-8E78-73F3A3926D6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ControlChart_Budget1!$BI$49:$BI$53</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ControlChart_Budget1!$BN$49:$BN$53</c15:f>
                <c15:dlblRangeCache>
                  <c:ptCount val="5"/>
                  <c:pt idx="0">
                    <c:v>90%</c:v>
                  </c:pt>
                  <c:pt idx="1">
                    <c:v>100%</c:v>
                  </c:pt>
                </c15:dlblRangeCache>
              </c15:datalabelsRange>
            </c:ext>
            <c:ext xmlns:c16="http://schemas.microsoft.com/office/drawing/2014/chart" uri="{C3380CC4-5D6E-409C-BE32-E72D297353CC}">
              <c16:uniqueId val="{0000000B-550E-4C15-8E78-73F3A3926D64}"/>
            </c:ext>
          </c:extLst>
        </c:ser>
        <c:ser>
          <c:idx val="3"/>
          <c:order val="2"/>
          <c:tx>
            <c:strRef>
              <c:f>ControlChart_Budget1!$BJ$48</c:f>
              <c:strCache>
                <c:ptCount val="1"/>
                <c:pt idx="0">
                  <c:v>Feed dynamique</c:v>
                </c:pt>
              </c:strCache>
            </c:strRef>
          </c:tx>
          <c:spPr>
            <a:gradFill>
              <a:gsLst>
                <a:gs pos="0">
                  <a:srgbClr val="9EF193"/>
                </a:gs>
                <a:gs pos="70000">
                  <a:srgbClr val="9EF193"/>
                </a:gs>
              </a:gsLst>
              <a:lin ang="13500000" scaled="1"/>
            </a:gra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val>
            <c:numRef>
              <c:f>ControlChart_Budget1!$BJ$49:$BJ$53</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550E-4C15-8E78-73F3A3926D64}"/>
            </c:ext>
          </c:extLst>
        </c:ser>
        <c:ser>
          <c:idx val="4"/>
          <c:order val="3"/>
          <c:tx>
            <c:strRef>
              <c:f>ControlChart_Budget1!$BK$48</c:f>
              <c:strCache>
                <c:ptCount val="1"/>
                <c:pt idx="0">
                  <c:v>Extra Quarter</c:v>
                </c:pt>
              </c:strCache>
            </c:strRef>
          </c:tx>
          <c:spPr>
            <a:pattFill prst="dashUpDiag">
              <a:fgClr>
                <a:schemeClr val="bg2">
                  <a:lumMod val="25000"/>
                </a:schemeClr>
              </a:fgClr>
              <a:bgClr>
                <a:schemeClr val="bg2">
                  <a:lumMod val="75000"/>
                </a:schemeClr>
              </a:bgClr>
            </a:pattFill>
            <a:ln>
              <a:noFill/>
            </a:ln>
            <a:effectLst/>
            <a:sp3d/>
          </c:spPr>
          <c:invertIfNegative val="0"/>
          <c:val>
            <c:numRef>
              <c:f>ControlChart_Budget1!$BK$49:$BK$53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550E-4C15-8E78-73F3A3926D64}"/>
            </c:ext>
          </c:extLst>
        </c:ser>
        <c:ser>
          <c:idx val="5"/>
          <c:order val="4"/>
          <c:tx>
            <c:strRef>
              <c:f>ControlChart_Budget1!$BL$48</c:f>
              <c:strCache>
                <c:ptCount val="1"/>
                <c:pt idx="0">
                  <c:v>Extra dynamique %</c:v>
                </c:pt>
              </c:strCache>
            </c:strRef>
          </c:tx>
          <c:spPr>
            <a:gradFill>
              <a:gsLst>
                <a:gs pos="0">
                  <a:srgbClr val="9EF193"/>
                </a:gs>
                <a:gs pos="70000">
                  <a:srgbClr val="9EF193"/>
                </a:gs>
              </a:gsLst>
              <a:lin ang="13500000" scaled="1"/>
            </a:gra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val>
            <c:numRef>
              <c:f>ControlChart_Budget1!$BL$49:$BL$53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550E-4C15-8E78-73F3A3926D64}"/>
            </c:ext>
          </c:extLst>
        </c:ser>
        <c:ser>
          <c:idx val="6"/>
          <c:order val="5"/>
          <c:tx>
            <c:strRef>
              <c:f>ControlChart_Budget1!$BM$48</c:f>
              <c:strCache>
                <c:ptCount val="1"/>
                <c:pt idx="0">
                  <c:v>Transparent</c:v>
                </c:pt>
              </c:strCache>
            </c:strRef>
          </c:tx>
          <c:spPr>
            <a:gradFill>
              <a:gsLst>
                <a:gs pos="0">
                  <a:srgbClr val="9EF193"/>
                </a:gs>
                <a:gs pos="70000">
                  <a:srgbClr val="9EF193"/>
                </a:gs>
              </a:gsLst>
              <a:lin ang="13500000" scaled="1"/>
            </a:gradFill>
            <a:ln>
              <a:solidFill>
                <a:schemeClr val="tx1">
                  <a:lumMod val="85000"/>
                  <a:lumOff val="15000"/>
                </a:schemeClr>
              </a:solidFill>
            </a:ln>
            <a:effectLst/>
            <a:scene3d>
              <a:camera prst="orthographicFront"/>
              <a:lightRig rig="threePt" dir="t"/>
            </a:scene3d>
            <a:sp3d prstMaterial="clear">
              <a:contourClr>
                <a:schemeClr val="tx1">
                  <a:lumMod val="85000"/>
                  <a:lumOff val="15000"/>
                </a:schemeClr>
              </a:contourClr>
            </a:sp3d>
          </c:spPr>
          <c:invertIfNegative val="0"/>
          <c:val>
            <c:numRef>
              <c:f>ControlChart_Budget1!$BM$49:$BM$53</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550E-4C15-8E78-73F3A3926D64}"/>
            </c:ext>
          </c:extLst>
        </c:ser>
        <c:ser>
          <c:idx val="1"/>
          <c:order val="6"/>
          <c:tx>
            <c:strRef>
              <c:f>ControlChart_Budget1!$BH$48</c:f>
              <c:strCache>
                <c:ptCount val="1"/>
                <c:pt idx="0">
                  <c:v>Haut</c:v>
                </c:pt>
              </c:strCache>
            </c:strRef>
          </c:tx>
          <c:spPr>
            <a:solidFill>
              <a:schemeClr val="bg2">
                <a:lumMod val="25000"/>
              </a:schemeClr>
            </a:solidFill>
            <a:ln>
              <a:solidFill>
                <a:schemeClr val="tx1">
                  <a:lumMod val="75000"/>
                  <a:lumOff val="25000"/>
                </a:schemeClr>
              </a:solidFill>
            </a:ln>
            <a:effectLst/>
            <a:scene3d>
              <a:camera prst="orthographicFront"/>
              <a:lightRig rig="threePt" dir="t"/>
            </a:scene3d>
            <a:sp3d prstMaterial="dkEdge">
              <a:contourClr>
                <a:schemeClr val="tx1">
                  <a:lumMod val="75000"/>
                  <a:lumOff val="25000"/>
                </a:schemeClr>
              </a:contourClr>
            </a:sp3d>
          </c:spPr>
          <c:invertIfNegative val="0"/>
          <c:dLbls>
            <c:dLbl>
              <c:idx val="0"/>
              <c:tx>
                <c:rich>
                  <a:bodyPr/>
                  <a:lstStyle/>
                  <a:p>
                    <a:fld id="{89FD597B-B8F3-4CD9-8048-3F0B14C974B2}"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F017-449D-BF35-9FC4C0257E9C}"/>
                </c:ext>
              </c:extLst>
            </c:dLbl>
            <c:dLbl>
              <c:idx val="1"/>
              <c:tx>
                <c:rich>
                  <a:bodyPr/>
                  <a:lstStyle/>
                  <a:p>
                    <a:fld id="{7E3DE46F-98A4-43DC-B0E9-5BEA258D1D93}"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017-449D-BF35-9FC4C0257E9C}"/>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F017-449D-BF35-9FC4C0257E9C}"/>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F017-449D-BF35-9FC4C0257E9C}"/>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F017-449D-BF35-9FC4C0257E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ControlChart_Budget1!$BH$49:$BH$53</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ControlChart_Budget1!$AW$49:$AW$53</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550E-4C15-8E78-73F3A3926D64}"/>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ControlChart_Budget1!$BG$2</c:f>
              <c:strCache>
                <c:ptCount val="1"/>
                <c:pt idx="0">
                  <c:v>Bas</c:v>
                </c:pt>
              </c:strCache>
            </c:strRef>
          </c:tx>
          <c:spPr>
            <a:solidFill>
              <a:schemeClr val="tx1">
                <a:lumMod val="75000"/>
                <a:lumOff val="25000"/>
              </a:schemeClr>
            </a:solidFill>
            <a:ln>
              <a:noFill/>
            </a:ln>
            <a:effectLst>
              <a:outerShdw blurRad="50800" dist="38100" dir="5400000" algn="t" rotWithShape="0">
                <a:schemeClr val="bg1">
                  <a:lumMod val="85000"/>
                  <a:alpha val="40000"/>
                </a:schemeClr>
              </a:outerShdw>
            </a:effectLst>
            <a:scene3d>
              <a:camera prst="orthographicFront"/>
              <a:lightRig rig="threePt" dir="t"/>
            </a:scene3d>
            <a:sp3d prstMaterial="dkEdge">
              <a:contourClr>
                <a:schemeClr val="tx1">
                  <a:lumMod val="85000"/>
                  <a:lumOff val="15000"/>
                </a:schemeClr>
              </a:contourClr>
            </a:sp3d>
          </c:spPr>
          <c:invertIfNegative val="0"/>
          <c:val>
            <c:numRef>
              <c:f>ControlChart_Budget1!$BG$3:$BG$7</c:f>
              <c:numCache>
                <c:formatCode>0%</c:formatCode>
                <c:ptCount val="5"/>
                <c:pt idx="0">
                  <c:v>0.1</c:v>
                </c:pt>
                <c:pt idx="1">
                  <c:v>0.1</c:v>
                </c:pt>
                <c:pt idx="2">
                  <c:v>#N/A</c:v>
                </c:pt>
                <c:pt idx="3">
                  <c:v>#N/A</c:v>
                </c:pt>
                <c:pt idx="4">
                  <c:v>#N/A</c:v>
                </c:pt>
              </c:numCache>
            </c:numRef>
          </c:val>
          <c:extLst>
            <c:ext xmlns:c16="http://schemas.microsoft.com/office/drawing/2014/chart" uri="{C3380CC4-5D6E-409C-BE32-E72D297353CC}">
              <c16:uniqueId val="{00000005-B0B5-4174-B5E0-D57EB792F66E}"/>
            </c:ext>
          </c:extLst>
        </c:ser>
        <c:ser>
          <c:idx val="2"/>
          <c:order val="1"/>
          <c:tx>
            <c:strRef>
              <c:f>ControlChart_Budget1!$BI$2</c:f>
              <c:strCache>
                <c:ptCount val="1"/>
                <c:pt idx="0">
                  <c:v>Étiquette</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4AA82E8B-D515-4864-8D22-604918F82C86}"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B0B5-4174-B5E0-D57EB792F66E}"/>
                </c:ext>
              </c:extLst>
            </c:dLbl>
            <c:dLbl>
              <c:idx val="1"/>
              <c:tx>
                <c:rich>
                  <a:bodyPr/>
                  <a:lstStyle/>
                  <a:p>
                    <a:fld id="{A2DC7639-6BC5-4F6F-ABFA-CCAE9091BF80}"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0B5-4174-B5E0-D57EB792F66E}"/>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B0B5-4174-B5E0-D57EB792F66E}"/>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B0B5-4174-B5E0-D57EB792F66E}"/>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B0B5-4174-B5E0-D57EB792F6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ControlChart_Budget1!$BI$3:$BI$7</c:f>
              <c:numCache>
                <c:formatCode>0%</c:formatCode>
                <c:ptCount val="5"/>
                <c:pt idx="0">
                  <c:v>0.2</c:v>
                </c:pt>
                <c:pt idx="1">
                  <c:v>0.2</c:v>
                </c:pt>
                <c:pt idx="2">
                  <c:v>#N/A</c:v>
                </c:pt>
                <c:pt idx="3">
                  <c:v>#N/A</c:v>
                </c:pt>
                <c:pt idx="4">
                  <c:v>#N/A</c:v>
                </c:pt>
              </c:numCache>
            </c:numRef>
          </c:val>
          <c:extLst>
            <c:ext xmlns:c15="http://schemas.microsoft.com/office/drawing/2012/chart" uri="{02D57815-91ED-43cb-92C2-25804820EDAC}">
              <c15:datalabelsRange>
                <c15:f>ControlChart_Budget1!$BN$3:$BN$7</c15:f>
                <c15:dlblRangeCache>
                  <c:ptCount val="5"/>
                  <c:pt idx="0">
                    <c:v>90%</c:v>
                  </c:pt>
                  <c:pt idx="1">
                    <c:v>100%</c:v>
                  </c:pt>
                </c15:dlblRangeCache>
              </c15:datalabelsRange>
            </c:ext>
            <c:ext xmlns:c16="http://schemas.microsoft.com/office/drawing/2014/chart" uri="{C3380CC4-5D6E-409C-BE32-E72D297353CC}">
              <c16:uniqueId val="{0000000B-B0B5-4174-B5E0-D57EB792F66E}"/>
            </c:ext>
          </c:extLst>
        </c:ser>
        <c:ser>
          <c:idx val="3"/>
          <c:order val="2"/>
          <c:tx>
            <c:strRef>
              <c:f>ControlChart_Budget1!$BJ$2</c:f>
              <c:strCache>
                <c:ptCount val="1"/>
                <c:pt idx="0">
                  <c:v>Feed dynamique</c:v>
                </c:pt>
              </c:strCache>
            </c:strRef>
          </c:tx>
          <c:spPr>
            <a:gradFill>
              <a:gsLst>
                <a:gs pos="0">
                  <a:srgbClr val="F9ADF5"/>
                </a:gs>
                <a:gs pos="70000">
                  <a:srgbClr val="F9ADF5"/>
                </a:gs>
              </a:gsLst>
              <a:lin ang="13500000" scaled="1"/>
            </a:gradFill>
            <a:ln>
              <a:solidFill>
                <a:schemeClr val="tx1">
                  <a:lumMod val="65000"/>
                  <a:lumOff val="35000"/>
                </a:schemeClr>
              </a:solidFill>
            </a:ln>
            <a:effectLst/>
            <a:scene3d>
              <a:camera prst="orthographicFront"/>
              <a:lightRig rig="threePt" dir="t"/>
            </a:scene3d>
            <a:sp3d prstMaterial="dkEdge">
              <a:contourClr>
                <a:schemeClr val="tx1">
                  <a:lumMod val="65000"/>
                  <a:lumOff val="35000"/>
                </a:schemeClr>
              </a:contourClr>
            </a:sp3d>
          </c:spPr>
          <c:invertIfNegative val="0"/>
          <c:val>
            <c:numRef>
              <c:f>ControlChart_Budget1!$BJ$3:$BJ$7</c:f>
              <c:numCache>
                <c:formatCode>0%</c:formatCode>
                <c:ptCount val="5"/>
                <c:pt idx="0">
                  <c:v>0.89999999999999991</c:v>
                </c:pt>
                <c:pt idx="1">
                  <c:v>1</c:v>
                </c:pt>
                <c:pt idx="2">
                  <c:v>#N/A</c:v>
                </c:pt>
                <c:pt idx="3">
                  <c:v>#N/A</c:v>
                </c:pt>
                <c:pt idx="4">
                  <c:v>#N/A</c:v>
                </c:pt>
              </c:numCache>
            </c:numRef>
          </c:val>
          <c:extLst>
            <c:ext xmlns:c16="http://schemas.microsoft.com/office/drawing/2014/chart" uri="{C3380CC4-5D6E-409C-BE32-E72D297353CC}">
              <c16:uniqueId val="{0000000C-B0B5-4174-B5E0-D57EB792F66E}"/>
            </c:ext>
          </c:extLst>
        </c:ser>
        <c:ser>
          <c:idx val="4"/>
          <c:order val="3"/>
          <c:tx>
            <c:strRef>
              <c:f>ControlChart_Budget1!$BK$2</c:f>
              <c:strCache>
                <c:ptCount val="1"/>
                <c:pt idx="0">
                  <c:v>Extra Quarter</c:v>
                </c:pt>
              </c:strCache>
            </c:strRef>
          </c:tx>
          <c:spPr>
            <a:pattFill prst="dashUpDiag">
              <a:fgClr>
                <a:schemeClr val="tx1"/>
              </a:fgClr>
              <a:bgClr>
                <a:schemeClr val="bg2">
                  <a:lumMod val="75000"/>
                </a:schemeClr>
              </a:bgClr>
            </a:pattFill>
            <a:ln>
              <a:solidFill>
                <a:schemeClr val="tx1">
                  <a:lumMod val="65000"/>
                  <a:lumOff val="35000"/>
                </a:schemeClr>
              </a:solidFill>
            </a:ln>
            <a:effectLst/>
            <a:sp3d>
              <a:contourClr>
                <a:schemeClr val="tx1">
                  <a:lumMod val="65000"/>
                  <a:lumOff val="35000"/>
                </a:schemeClr>
              </a:contourClr>
            </a:sp3d>
          </c:spPr>
          <c:invertIfNegative val="0"/>
          <c:val>
            <c:numRef>
              <c:f>ControlChart_Budget1!$BK$3:$BK$7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D-B0B5-4174-B5E0-D57EB792F66E}"/>
            </c:ext>
          </c:extLst>
        </c:ser>
        <c:ser>
          <c:idx val="5"/>
          <c:order val="4"/>
          <c:tx>
            <c:strRef>
              <c:f>ControlChart_Budget1!$BL$2</c:f>
              <c:strCache>
                <c:ptCount val="1"/>
                <c:pt idx="0">
                  <c:v>Extra dynamique %</c:v>
                </c:pt>
              </c:strCache>
            </c:strRef>
          </c:tx>
          <c:spPr>
            <a:gradFill>
              <a:gsLst>
                <a:gs pos="0">
                  <a:srgbClr val="F9ADF5"/>
                </a:gs>
                <a:gs pos="70000">
                  <a:srgbClr val="F9ADF5"/>
                </a:gs>
              </a:gsLst>
              <a:lin ang="13500000" scaled="1"/>
            </a:gradFill>
            <a:ln>
              <a:solidFill>
                <a:schemeClr val="tx1">
                  <a:lumMod val="65000"/>
                  <a:lumOff val="35000"/>
                </a:schemeClr>
              </a:solidFill>
            </a:ln>
            <a:effectLst/>
            <a:scene3d>
              <a:camera prst="orthographicFront"/>
              <a:lightRig rig="threePt" dir="t"/>
            </a:scene3d>
            <a:sp3d prstMaterial="dkEdge">
              <a:contourClr>
                <a:schemeClr val="tx1">
                  <a:lumMod val="65000"/>
                  <a:lumOff val="35000"/>
                </a:schemeClr>
              </a:contourClr>
            </a:sp3d>
          </c:spPr>
          <c:invertIfNegative val="0"/>
          <c:val>
            <c:numRef>
              <c:f>ControlChart_Budget1!$BL$3:$BL$7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B0B5-4174-B5E0-D57EB792F66E}"/>
            </c:ext>
          </c:extLst>
        </c:ser>
        <c:ser>
          <c:idx val="6"/>
          <c:order val="5"/>
          <c:tx>
            <c:strRef>
              <c:f>ControlChart_Budget1!$BM$2</c:f>
              <c:strCache>
                <c:ptCount val="1"/>
                <c:pt idx="0">
                  <c:v>Transparent</c:v>
                </c:pt>
              </c:strCache>
            </c:strRef>
          </c:tx>
          <c:spPr>
            <a:gradFill>
              <a:gsLst>
                <a:gs pos="0">
                  <a:srgbClr val="F9ADF5"/>
                </a:gs>
                <a:gs pos="70000">
                  <a:srgbClr val="F9ADF5"/>
                </a:gs>
              </a:gsLst>
              <a:lin ang="2700000" scaled="1"/>
            </a:gradFill>
            <a:ln>
              <a:noFill/>
            </a:ln>
            <a:effectLst/>
            <a:scene3d>
              <a:camera prst="orthographicFront"/>
              <a:lightRig rig="threePt" dir="t"/>
            </a:scene3d>
            <a:sp3d prstMaterial="clear"/>
          </c:spPr>
          <c:invertIfNegative val="0"/>
          <c:val>
            <c:numRef>
              <c:f>ControlChart_Budget1!$BM$3:$BM$7</c:f>
              <c:numCache>
                <c:formatCode>0%</c:formatCode>
                <c:ptCount val="5"/>
                <c:pt idx="0">
                  <c:v>0.10000000000000005</c:v>
                </c:pt>
                <c:pt idx="1">
                  <c:v>0</c:v>
                </c:pt>
                <c:pt idx="2">
                  <c:v>0</c:v>
                </c:pt>
                <c:pt idx="3">
                  <c:v>0</c:v>
                </c:pt>
                <c:pt idx="4">
                  <c:v>0</c:v>
                </c:pt>
              </c:numCache>
            </c:numRef>
          </c:val>
          <c:extLst>
            <c:ext xmlns:c16="http://schemas.microsoft.com/office/drawing/2014/chart" uri="{C3380CC4-5D6E-409C-BE32-E72D297353CC}">
              <c16:uniqueId val="{0000000F-B0B5-4174-B5E0-D57EB792F66E}"/>
            </c:ext>
          </c:extLst>
        </c:ser>
        <c:ser>
          <c:idx val="1"/>
          <c:order val="6"/>
          <c:tx>
            <c:strRef>
              <c:f>ControlChart_Budget1!$BH$2</c:f>
              <c:strCache>
                <c:ptCount val="1"/>
                <c:pt idx="0">
                  <c:v>Haut</c:v>
                </c:pt>
              </c:strCache>
            </c:strRef>
          </c:tx>
          <c:spPr>
            <a:solidFill>
              <a:schemeClr val="bg2">
                <a:lumMod val="25000"/>
              </a:schemeClr>
            </a:solidFill>
            <a:ln>
              <a:solidFill>
                <a:schemeClr val="tx1">
                  <a:lumMod val="85000"/>
                  <a:lumOff val="15000"/>
                </a:schemeClr>
              </a:solidFill>
            </a:ln>
            <a:effectLst/>
            <a:scene3d>
              <a:camera prst="orthographicFront"/>
              <a:lightRig rig="threePt" dir="t"/>
            </a:scene3d>
            <a:sp3d prstMaterial="dkEdge">
              <a:contourClr>
                <a:schemeClr val="tx1">
                  <a:lumMod val="85000"/>
                  <a:lumOff val="15000"/>
                </a:schemeClr>
              </a:contourClr>
            </a:sp3d>
          </c:spPr>
          <c:invertIfNegative val="0"/>
          <c:dLbls>
            <c:dLbl>
              <c:idx val="0"/>
              <c:tx>
                <c:rich>
                  <a:bodyPr/>
                  <a:lstStyle/>
                  <a:p>
                    <a:fld id="{9658BF7C-3641-485D-A4A1-CA7C3ADEA71D}"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F62-4376-9EC4-4872A711FF33}"/>
                </c:ext>
              </c:extLst>
            </c:dLbl>
            <c:dLbl>
              <c:idx val="1"/>
              <c:tx>
                <c:rich>
                  <a:bodyPr/>
                  <a:lstStyle/>
                  <a:p>
                    <a:fld id="{FBF31139-2B33-43BE-AAEC-C9C895ED49A2}"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F62-4376-9EC4-4872A711FF33}"/>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EF62-4376-9EC4-4872A711FF33}"/>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EF62-4376-9EC4-4872A711FF33}"/>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EF62-4376-9EC4-4872A711FF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ControlChart_Budget1!$BH$3:$BH$7</c:f>
              <c:numCache>
                <c:formatCode>0%</c:formatCode>
                <c:ptCount val="5"/>
                <c:pt idx="0">
                  <c:v>0.1</c:v>
                </c:pt>
                <c:pt idx="1">
                  <c:v>0.1</c:v>
                </c:pt>
                <c:pt idx="2">
                  <c:v>#N/A</c:v>
                </c:pt>
                <c:pt idx="3">
                  <c:v>#N/A</c:v>
                </c:pt>
                <c:pt idx="4">
                  <c:v>#N/A</c:v>
                </c:pt>
              </c:numCache>
            </c:numRef>
          </c:val>
          <c:extLst>
            <c:ext xmlns:c15="http://schemas.microsoft.com/office/drawing/2012/chart" uri="{02D57815-91ED-43cb-92C2-25804820EDAC}">
              <c15:datalabelsRange>
                <c15:f>ControlChart_Budget1!$AW$3:$AW$7</c15:f>
                <c15:dlblRangeCache>
                  <c:ptCount val="5"/>
                  <c:pt idx="0">
                    <c:v>Qtr1</c:v>
                  </c:pt>
                  <c:pt idx="1">
                    <c:v>Qtr1</c:v>
                  </c:pt>
                  <c:pt idx="2">
                    <c:v>Grand Total</c:v>
                  </c:pt>
                  <c:pt idx="3">
                    <c:v>0</c:v>
                  </c:pt>
                </c15:dlblRangeCache>
              </c15:datalabelsRange>
            </c:ext>
            <c:ext xmlns:c16="http://schemas.microsoft.com/office/drawing/2014/chart" uri="{C3380CC4-5D6E-409C-BE32-E72D297353CC}">
              <c16:uniqueId val="{00000010-B0B5-4174-B5E0-D57EB792F66E}"/>
            </c:ext>
          </c:extLst>
        </c:ser>
        <c:dLbls>
          <c:showLegendKey val="0"/>
          <c:showVal val="0"/>
          <c:showCatName val="0"/>
          <c:showSerName val="0"/>
          <c:showPercent val="0"/>
          <c:showBubbleSize val="0"/>
        </c:dLbls>
        <c:gapWidth val="150"/>
        <c:gapDepth val="300"/>
        <c:shape val="cylinder"/>
        <c:axId val="327346383"/>
        <c:axId val="327340623"/>
        <c:axId val="0"/>
      </c:bar3DChart>
      <c:catAx>
        <c:axId val="327346383"/>
        <c:scaling>
          <c:orientation val="minMax"/>
        </c:scaling>
        <c:delete val="1"/>
        <c:axPos val="b"/>
        <c:numFmt formatCode="General" sourceLinked="1"/>
        <c:majorTickMark val="none"/>
        <c:minorTickMark val="none"/>
        <c:tickLblPos val="nextTo"/>
        <c:crossAx val="327340623"/>
        <c:crosses val="autoZero"/>
        <c:auto val="1"/>
        <c:lblAlgn val="ctr"/>
        <c:lblOffset val="100"/>
        <c:noMultiLvlLbl val="0"/>
      </c:catAx>
      <c:valAx>
        <c:axId val="327340623"/>
        <c:scaling>
          <c:orientation val="minMax"/>
        </c:scaling>
        <c:delete val="1"/>
        <c:axPos val="l"/>
        <c:numFmt formatCode="0%" sourceLinked="1"/>
        <c:majorTickMark val="none"/>
        <c:minorTickMark val="none"/>
        <c:tickLblPos val="nextTo"/>
        <c:crossAx val="32734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23455022667622"/>
          <c:y val="5.0925925925925923E-2"/>
          <c:w val="0.82353071208334439"/>
          <c:h val="0.8416746864975212"/>
        </c:manualLayout>
      </c:layout>
      <c:scatterChart>
        <c:scatterStyle val="lineMarker"/>
        <c:varyColors val="0"/>
        <c:ser>
          <c:idx val="0"/>
          <c:order val="0"/>
          <c:tx>
            <c:strRef>
              <c:f>ControlChart!$EX$1</c:f>
              <c:strCache>
                <c:ptCount val="1"/>
                <c:pt idx="0">
                  <c:v>Stratégie2</c:v>
                </c:pt>
              </c:strCache>
            </c:strRef>
          </c:tx>
          <c:spPr>
            <a:ln w="12700" cap="rnd">
              <a:solidFill>
                <a:srgbClr val="FFFF00"/>
              </a:solidFill>
              <a:round/>
            </a:ln>
            <a:effectLst/>
          </c:spPr>
          <c:marker>
            <c:symbol val="none"/>
          </c:marker>
          <c:xVal>
            <c:numRef>
              <c:f>ControlChart!$EV$2:$EV$127</c:f>
              <c:numCache>
                <c:formatCode>General</c:formatCode>
                <c:ptCount val="1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pt idx="46">
                  <c:v>2071</c:v>
                </c:pt>
                <c:pt idx="47">
                  <c:v>2072</c:v>
                </c:pt>
                <c:pt idx="48">
                  <c:v>2073</c:v>
                </c:pt>
                <c:pt idx="49">
                  <c:v>2074</c:v>
                </c:pt>
                <c:pt idx="50">
                  <c:v>2075</c:v>
                </c:pt>
                <c:pt idx="51">
                  <c:v>2076</c:v>
                </c:pt>
                <c:pt idx="52">
                  <c:v>2077</c:v>
                </c:pt>
                <c:pt idx="53">
                  <c:v>2078</c:v>
                </c:pt>
                <c:pt idx="54">
                  <c:v>2079</c:v>
                </c:pt>
                <c:pt idx="55">
                  <c:v>2080</c:v>
                </c:pt>
                <c:pt idx="56">
                  <c:v>2081</c:v>
                </c:pt>
                <c:pt idx="57">
                  <c:v>2082</c:v>
                </c:pt>
                <c:pt idx="58">
                  <c:v>2083</c:v>
                </c:pt>
                <c:pt idx="59">
                  <c:v>2084</c:v>
                </c:pt>
                <c:pt idx="60">
                  <c:v>2085</c:v>
                </c:pt>
                <c:pt idx="61">
                  <c:v>2086</c:v>
                </c:pt>
                <c:pt idx="62">
                  <c:v>2087</c:v>
                </c:pt>
                <c:pt idx="63">
                  <c:v>2088</c:v>
                </c:pt>
                <c:pt idx="64">
                  <c:v>2089</c:v>
                </c:pt>
                <c:pt idx="65">
                  <c:v>2090</c:v>
                </c:pt>
                <c:pt idx="66">
                  <c:v>2091</c:v>
                </c:pt>
                <c:pt idx="67">
                  <c:v>2092</c:v>
                </c:pt>
                <c:pt idx="68">
                  <c:v>2093</c:v>
                </c:pt>
                <c:pt idx="69">
                  <c:v>2094</c:v>
                </c:pt>
                <c:pt idx="70">
                  <c:v>2095</c:v>
                </c:pt>
                <c:pt idx="71">
                  <c:v>2096</c:v>
                </c:pt>
                <c:pt idx="72">
                  <c:v>2097</c:v>
                </c:pt>
                <c:pt idx="73">
                  <c:v>2098</c:v>
                </c:pt>
                <c:pt idx="74">
                  <c:v>2099</c:v>
                </c:pt>
                <c:pt idx="75">
                  <c:v>2100</c:v>
                </c:pt>
                <c:pt idx="76">
                  <c:v>2101</c:v>
                </c:pt>
                <c:pt idx="77">
                  <c:v>2102</c:v>
                </c:pt>
                <c:pt idx="78">
                  <c:v>2103</c:v>
                </c:pt>
                <c:pt idx="79">
                  <c:v>2104</c:v>
                </c:pt>
                <c:pt idx="80">
                  <c:v>2105</c:v>
                </c:pt>
                <c:pt idx="81">
                  <c:v>2106</c:v>
                </c:pt>
                <c:pt idx="82">
                  <c:v>2107</c:v>
                </c:pt>
                <c:pt idx="83">
                  <c:v>2108</c:v>
                </c:pt>
                <c:pt idx="84">
                  <c:v>2109</c:v>
                </c:pt>
                <c:pt idx="85">
                  <c:v>2110</c:v>
                </c:pt>
                <c:pt idx="86">
                  <c:v>2111</c:v>
                </c:pt>
                <c:pt idx="87">
                  <c:v>2112</c:v>
                </c:pt>
                <c:pt idx="88">
                  <c:v>2113</c:v>
                </c:pt>
                <c:pt idx="89">
                  <c:v>2114</c:v>
                </c:pt>
                <c:pt idx="90">
                  <c:v>2115</c:v>
                </c:pt>
                <c:pt idx="91">
                  <c:v>2116</c:v>
                </c:pt>
                <c:pt idx="92">
                  <c:v>2117</c:v>
                </c:pt>
                <c:pt idx="93">
                  <c:v>2118</c:v>
                </c:pt>
                <c:pt idx="94">
                  <c:v>2119</c:v>
                </c:pt>
                <c:pt idx="95">
                  <c:v>2120</c:v>
                </c:pt>
                <c:pt idx="96">
                  <c:v>2121</c:v>
                </c:pt>
                <c:pt idx="97">
                  <c:v>2122</c:v>
                </c:pt>
                <c:pt idx="98">
                  <c:v>2123</c:v>
                </c:pt>
                <c:pt idx="99">
                  <c:v>2124</c:v>
                </c:pt>
                <c:pt idx="100">
                  <c:v>2125</c:v>
                </c:pt>
                <c:pt idx="101">
                  <c:v>2126</c:v>
                </c:pt>
                <c:pt idx="102">
                  <c:v>2127</c:v>
                </c:pt>
                <c:pt idx="103">
                  <c:v>2128</c:v>
                </c:pt>
                <c:pt idx="104">
                  <c:v>2129</c:v>
                </c:pt>
                <c:pt idx="105">
                  <c:v>2130</c:v>
                </c:pt>
                <c:pt idx="106">
                  <c:v>2131</c:v>
                </c:pt>
                <c:pt idx="107">
                  <c:v>2132</c:v>
                </c:pt>
                <c:pt idx="108">
                  <c:v>2133</c:v>
                </c:pt>
                <c:pt idx="109">
                  <c:v>2134</c:v>
                </c:pt>
                <c:pt idx="110">
                  <c:v>2135</c:v>
                </c:pt>
                <c:pt idx="111">
                  <c:v>2136</c:v>
                </c:pt>
                <c:pt idx="112">
                  <c:v>2137</c:v>
                </c:pt>
                <c:pt idx="113">
                  <c:v>2138</c:v>
                </c:pt>
                <c:pt idx="114">
                  <c:v>2139</c:v>
                </c:pt>
                <c:pt idx="115">
                  <c:v>2140</c:v>
                </c:pt>
                <c:pt idx="116">
                  <c:v>2141</c:v>
                </c:pt>
                <c:pt idx="117">
                  <c:v>2142</c:v>
                </c:pt>
                <c:pt idx="118">
                  <c:v>2143</c:v>
                </c:pt>
                <c:pt idx="119">
                  <c:v>2144</c:v>
                </c:pt>
                <c:pt idx="120">
                  <c:v>2145</c:v>
                </c:pt>
                <c:pt idx="121">
                  <c:v>2146</c:v>
                </c:pt>
                <c:pt idx="122">
                  <c:v>2147</c:v>
                </c:pt>
                <c:pt idx="123">
                  <c:v>2148</c:v>
                </c:pt>
                <c:pt idx="124">
                  <c:v>2149</c:v>
                </c:pt>
                <c:pt idx="125">
                  <c:v>2150</c:v>
                </c:pt>
              </c:numCache>
            </c:numRef>
          </c:xVal>
          <c:yVal>
            <c:numRef>
              <c:f>ControlChart!$EX$2:$EX$127</c:f>
              <c:numCache>
                <c:formatCode>#\ ##0\ "$"</c:formatCode>
                <c:ptCount val="126"/>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pt idx="51">
                  <c:v>0.01</c:v>
                </c:pt>
                <c:pt idx="52">
                  <c:v>0.01</c:v>
                </c:pt>
                <c:pt idx="53">
                  <c:v>0.01</c:v>
                </c:pt>
                <c:pt idx="54">
                  <c:v>0.01</c:v>
                </c:pt>
                <c:pt idx="55">
                  <c:v>0.01</c:v>
                </c:pt>
              </c:numCache>
            </c:numRef>
          </c:yVal>
          <c:smooth val="1"/>
          <c:extLst>
            <c:ext xmlns:c16="http://schemas.microsoft.com/office/drawing/2014/chart" uri="{C3380CC4-5D6E-409C-BE32-E72D297353CC}">
              <c16:uniqueId val="{00000000-1754-4626-A15B-8E2C6ED28E58}"/>
            </c:ext>
          </c:extLst>
        </c:ser>
        <c:ser>
          <c:idx val="1"/>
          <c:order val="1"/>
          <c:tx>
            <c:strRef>
              <c:f>ControlChart!$EW$1</c:f>
              <c:strCache>
                <c:ptCount val="1"/>
                <c:pt idx="0">
                  <c:v>Stratégie1</c:v>
                </c:pt>
              </c:strCache>
            </c:strRef>
          </c:tx>
          <c:spPr>
            <a:ln w="12700" cap="rnd">
              <a:solidFill>
                <a:srgbClr val="C54EF8"/>
              </a:solidFill>
              <a:round/>
            </a:ln>
            <a:effectLst/>
          </c:spPr>
          <c:marker>
            <c:symbol val="none"/>
          </c:marker>
          <c:xVal>
            <c:numRef>
              <c:f>ControlChart!$EV$2:$EV$127</c:f>
              <c:numCache>
                <c:formatCode>General</c:formatCode>
                <c:ptCount val="1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pt idx="46">
                  <c:v>2071</c:v>
                </c:pt>
                <c:pt idx="47">
                  <c:v>2072</c:v>
                </c:pt>
                <c:pt idx="48">
                  <c:v>2073</c:v>
                </c:pt>
                <c:pt idx="49">
                  <c:v>2074</c:v>
                </c:pt>
                <c:pt idx="50">
                  <c:v>2075</c:v>
                </c:pt>
                <c:pt idx="51">
                  <c:v>2076</c:v>
                </c:pt>
                <c:pt idx="52">
                  <c:v>2077</c:v>
                </c:pt>
                <c:pt idx="53">
                  <c:v>2078</c:v>
                </c:pt>
                <c:pt idx="54">
                  <c:v>2079</c:v>
                </c:pt>
                <c:pt idx="55">
                  <c:v>2080</c:v>
                </c:pt>
                <c:pt idx="56">
                  <c:v>2081</c:v>
                </c:pt>
                <c:pt idx="57">
                  <c:v>2082</c:v>
                </c:pt>
                <c:pt idx="58">
                  <c:v>2083</c:v>
                </c:pt>
                <c:pt idx="59">
                  <c:v>2084</c:v>
                </c:pt>
                <c:pt idx="60">
                  <c:v>2085</c:v>
                </c:pt>
                <c:pt idx="61">
                  <c:v>2086</c:v>
                </c:pt>
                <c:pt idx="62">
                  <c:v>2087</c:v>
                </c:pt>
                <c:pt idx="63">
                  <c:v>2088</c:v>
                </c:pt>
                <c:pt idx="64">
                  <c:v>2089</c:v>
                </c:pt>
                <c:pt idx="65">
                  <c:v>2090</c:v>
                </c:pt>
                <c:pt idx="66">
                  <c:v>2091</c:v>
                </c:pt>
                <c:pt idx="67">
                  <c:v>2092</c:v>
                </c:pt>
                <c:pt idx="68">
                  <c:v>2093</c:v>
                </c:pt>
                <c:pt idx="69">
                  <c:v>2094</c:v>
                </c:pt>
                <c:pt idx="70">
                  <c:v>2095</c:v>
                </c:pt>
                <c:pt idx="71">
                  <c:v>2096</c:v>
                </c:pt>
                <c:pt idx="72">
                  <c:v>2097</c:v>
                </c:pt>
                <c:pt idx="73">
                  <c:v>2098</c:v>
                </c:pt>
                <c:pt idx="74">
                  <c:v>2099</c:v>
                </c:pt>
                <c:pt idx="75">
                  <c:v>2100</c:v>
                </c:pt>
                <c:pt idx="76">
                  <c:v>2101</c:v>
                </c:pt>
                <c:pt idx="77">
                  <c:v>2102</c:v>
                </c:pt>
                <c:pt idx="78">
                  <c:v>2103</c:v>
                </c:pt>
                <c:pt idx="79">
                  <c:v>2104</c:v>
                </c:pt>
                <c:pt idx="80">
                  <c:v>2105</c:v>
                </c:pt>
                <c:pt idx="81">
                  <c:v>2106</c:v>
                </c:pt>
                <c:pt idx="82">
                  <c:v>2107</c:v>
                </c:pt>
                <c:pt idx="83">
                  <c:v>2108</c:v>
                </c:pt>
                <c:pt idx="84">
                  <c:v>2109</c:v>
                </c:pt>
                <c:pt idx="85">
                  <c:v>2110</c:v>
                </c:pt>
                <c:pt idx="86">
                  <c:v>2111</c:v>
                </c:pt>
                <c:pt idx="87">
                  <c:v>2112</c:v>
                </c:pt>
                <c:pt idx="88">
                  <c:v>2113</c:v>
                </c:pt>
                <c:pt idx="89">
                  <c:v>2114</c:v>
                </c:pt>
                <c:pt idx="90">
                  <c:v>2115</c:v>
                </c:pt>
                <c:pt idx="91">
                  <c:v>2116</c:v>
                </c:pt>
                <c:pt idx="92">
                  <c:v>2117</c:v>
                </c:pt>
                <c:pt idx="93">
                  <c:v>2118</c:v>
                </c:pt>
                <c:pt idx="94">
                  <c:v>2119</c:v>
                </c:pt>
                <c:pt idx="95">
                  <c:v>2120</c:v>
                </c:pt>
                <c:pt idx="96">
                  <c:v>2121</c:v>
                </c:pt>
                <c:pt idx="97">
                  <c:v>2122</c:v>
                </c:pt>
                <c:pt idx="98">
                  <c:v>2123</c:v>
                </c:pt>
                <c:pt idx="99">
                  <c:v>2124</c:v>
                </c:pt>
                <c:pt idx="100">
                  <c:v>2125</c:v>
                </c:pt>
                <c:pt idx="101">
                  <c:v>2126</c:v>
                </c:pt>
                <c:pt idx="102">
                  <c:v>2127</c:v>
                </c:pt>
                <c:pt idx="103">
                  <c:v>2128</c:v>
                </c:pt>
                <c:pt idx="104">
                  <c:v>2129</c:v>
                </c:pt>
                <c:pt idx="105">
                  <c:v>2130</c:v>
                </c:pt>
                <c:pt idx="106">
                  <c:v>2131</c:v>
                </c:pt>
                <c:pt idx="107">
                  <c:v>2132</c:v>
                </c:pt>
                <c:pt idx="108">
                  <c:v>2133</c:v>
                </c:pt>
                <c:pt idx="109">
                  <c:v>2134</c:v>
                </c:pt>
                <c:pt idx="110">
                  <c:v>2135</c:v>
                </c:pt>
                <c:pt idx="111">
                  <c:v>2136</c:v>
                </c:pt>
                <c:pt idx="112">
                  <c:v>2137</c:v>
                </c:pt>
                <c:pt idx="113">
                  <c:v>2138</c:v>
                </c:pt>
                <c:pt idx="114">
                  <c:v>2139</c:v>
                </c:pt>
                <c:pt idx="115">
                  <c:v>2140</c:v>
                </c:pt>
                <c:pt idx="116">
                  <c:v>2141</c:v>
                </c:pt>
                <c:pt idx="117">
                  <c:v>2142</c:v>
                </c:pt>
                <c:pt idx="118">
                  <c:v>2143</c:v>
                </c:pt>
                <c:pt idx="119">
                  <c:v>2144</c:v>
                </c:pt>
                <c:pt idx="120">
                  <c:v>2145</c:v>
                </c:pt>
                <c:pt idx="121">
                  <c:v>2146</c:v>
                </c:pt>
                <c:pt idx="122">
                  <c:v>2147</c:v>
                </c:pt>
                <c:pt idx="123">
                  <c:v>2148</c:v>
                </c:pt>
                <c:pt idx="124">
                  <c:v>2149</c:v>
                </c:pt>
                <c:pt idx="125">
                  <c:v>2150</c:v>
                </c:pt>
              </c:numCache>
            </c:numRef>
          </c:xVal>
          <c:yVal>
            <c:numRef>
              <c:f>ControlChart!$EW$2:$EW$127</c:f>
              <c:numCache>
                <c:formatCode>#\ ##0\ "$"</c:formatCode>
                <c:ptCount val="126"/>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pt idx="51">
                  <c:v>0.01</c:v>
                </c:pt>
                <c:pt idx="52">
                  <c:v>0.01</c:v>
                </c:pt>
                <c:pt idx="53">
                  <c:v>0.01</c:v>
                </c:pt>
                <c:pt idx="54">
                  <c:v>0.01</c:v>
                </c:pt>
                <c:pt idx="55">
                  <c:v>0.01</c:v>
                </c:pt>
              </c:numCache>
            </c:numRef>
          </c:yVal>
          <c:smooth val="1"/>
          <c:extLst>
            <c:ext xmlns:c16="http://schemas.microsoft.com/office/drawing/2014/chart" uri="{C3380CC4-5D6E-409C-BE32-E72D297353CC}">
              <c16:uniqueId val="{00000001-1754-4626-A15B-8E2C6ED28E58}"/>
            </c:ext>
          </c:extLst>
        </c:ser>
        <c:ser>
          <c:idx val="2"/>
          <c:order val="2"/>
          <c:tx>
            <c:strRef>
              <c:f>ControlChart!$EY$1</c:f>
              <c:strCache>
                <c:ptCount val="1"/>
                <c:pt idx="0">
                  <c:v>Stratégie3</c:v>
                </c:pt>
              </c:strCache>
            </c:strRef>
          </c:tx>
          <c:spPr>
            <a:ln w="12700" cap="rnd">
              <a:solidFill>
                <a:srgbClr val="FA6148"/>
              </a:solidFill>
              <a:round/>
            </a:ln>
            <a:effectLst/>
          </c:spPr>
          <c:marker>
            <c:symbol val="none"/>
          </c:marker>
          <c:xVal>
            <c:numRef>
              <c:f>ControlChart!$EV$2:$EV$127</c:f>
              <c:numCache>
                <c:formatCode>General</c:formatCode>
                <c:ptCount val="1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pt idx="46">
                  <c:v>2071</c:v>
                </c:pt>
                <c:pt idx="47">
                  <c:v>2072</c:v>
                </c:pt>
                <c:pt idx="48">
                  <c:v>2073</c:v>
                </c:pt>
                <c:pt idx="49">
                  <c:v>2074</c:v>
                </c:pt>
                <c:pt idx="50">
                  <c:v>2075</c:v>
                </c:pt>
                <c:pt idx="51">
                  <c:v>2076</c:v>
                </c:pt>
                <c:pt idx="52">
                  <c:v>2077</c:v>
                </c:pt>
                <c:pt idx="53">
                  <c:v>2078</c:v>
                </c:pt>
                <c:pt idx="54">
                  <c:v>2079</c:v>
                </c:pt>
                <c:pt idx="55">
                  <c:v>2080</c:v>
                </c:pt>
                <c:pt idx="56">
                  <c:v>2081</c:v>
                </c:pt>
                <c:pt idx="57">
                  <c:v>2082</c:v>
                </c:pt>
                <c:pt idx="58">
                  <c:v>2083</c:v>
                </c:pt>
                <c:pt idx="59">
                  <c:v>2084</c:v>
                </c:pt>
                <c:pt idx="60">
                  <c:v>2085</c:v>
                </c:pt>
                <c:pt idx="61">
                  <c:v>2086</c:v>
                </c:pt>
                <c:pt idx="62">
                  <c:v>2087</c:v>
                </c:pt>
                <c:pt idx="63">
                  <c:v>2088</c:v>
                </c:pt>
                <c:pt idx="64">
                  <c:v>2089</c:v>
                </c:pt>
                <c:pt idx="65">
                  <c:v>2090</c:v>
                </c:pt>
                <c:pt idx="66">
                  <c:v>2091</c:v>
                </c:pt>
                <c:pt idx="67">
                  <c:v>2092</c:v>
                </c:pt>
                <c:pt idx="68">
                  <c:v>2093</c:v>
                </c:pt>
                <c:pt idx="69">
                  <c:v>2094</c:v>
                </c:pt>
                <c:pt idx="70">
                  <c:v>2095</c:v>
                </c:pt>
                <c:pt idx="71">
                  <c:v>2096</c:v>
                </c:pt>
                <c:pt idx="72">
                  <c:v>2097</c:v>
                </c:pt>
                <c:pt idx="73">
                  <c:v>2098</c:v>
                </c:pt>
                <c:pt idx="74">
                  <c:v>2099</c:v>
                </c:pt>
                <c:pt idx="75">
                  <c:v>2100</c:v>
                </c:pt>
                <c:pt idx="76">
                  <c:v>2101</c:v>
                </c:pt>
                <c:pt idx="77">
                  <c:v>2102</c:v>
                </c:pt>
                <c:pt idx="78">
                  <c:v>2103</c:v>
                </c:pt>
                <c:pt idx="79">
                  <c:v>2104</c:v>
                </c:pt>
                <c:pt idx="80">
                  <c:v>2105</c:v>
                </c:pt>
                <c:pt idx="81">
                  <c:v>2106</c:v>
                </c:pt>
                <c:pt idx="82">
                  <c:v>2107</c:v>
                </c:pt>
                <c:pt idx="83">
                  <c:v>2108</c:v>
                </c:pt>
                <c:pt idx="84">
                  <c:v>2109</c:v>
                </c:pt>
                <c:pt idx="85">
                  <c:v>2110</c:v>
                </c:pt>
                <c:pt idx="86">
                  <c:v>2111</c:v>
                </c:pt>
                <c:pt idx="87">
                  <c:v>2112</c:v>
                </c:pt>
                <c:pt idx="88">
                  <c:v>2113</c:v>
                </c:pt>
                <c:pt idx="89">
                  <c:v>2114</c:v>
                </c:pt>
                <c:pt idx="90">
                  <c:v>2115</c:v>
                </c:pt>
                <c:pt idx="91">
                  <c:v>2116</c:v>
                </c:pt>
                <c:pt idx="92">
                  <c:v>2117</c:v>
                </c:pt>
                <c:pt idx="93">
                  <c:v>2118</c:v>
                </c:pt>
                <c:pt idx="94">
                  <c:v>2119</c:v>
                </c:pt>
                <c:pt idx="95">
                  <c:v>2120</c:v>
                </c:pt>
                <c:pt idx="96">
                  <c:v>2121</c:v>
                </c:pt>
                <c:pt idx="97">
                  <c:v>2122</c:v>
                </c:pt>
                <c:pt idx="98">
                  <c:v>2123</c:v>
                </c:pt>
                <c:pt idx="99">
                  <c:v>2124</c:v>
                </c:pt>
                <c:pt idx="100">
                  <c:v>2125</c:v>
                </c:pt>
                <c:pt idx="101">
                  <c:v>2126</c:v>
                </c:pt>
                <c:pt idx="102">
                  <c:v>2127</c:v>
                </c:pt>
                <c:pt idx="103">
                  <c:v>2128</c:v>
                </c:pt>
                <c:pt idx="104">
                  <c:v>2129</c:v>
                </c:pt>
                <c:pt idx="105">
                  <c:v>2130</c:v>
                </c:pt>
                <c:pt idx="106">
                  <c:v>2131</c:v>
                </c:pt>
                <c:pt idx="107">
                  <c:v>2132</c:v>
                </c:pt>
                <c:pt idx="108">
                  <c:v>2133</c:v>
                </c:pt>
                <c:pt idx="109">
                  <c:v>2134</c:v>
                </c:pt>
                <c:pt idx="110">
                  <c:v>2135</c:v>
                </c:pt>
                <c:pt idx="111">
                  <c:v>2136</c:v>
                </c:pt>
                <c:pt idx="112">
                  <c:v>2137</c:v>
                </c:pt>
                <c:pt idx="113">
                  <c:v>2138</c:v>
                </c:pt>
                <c:pt idx="114">
                  <c:v>2139</c:v>
                </c:pt>
                <c:pt idx="115">
                  <c:v>2140</c:v>
                </c:pt>
                <c:pt idx="116">
                  <c:v>2141</c:v>
                </c:pt>
                <c:pt idx="117">
                  <c:v>2142</c:v>
                </c:pt>
                <c:pt idx="118">
                  <c:v>2143</c:v>
                </c:pt>
                <c:pt idx="119">
                  <c:v>2144</c:v>
                </c:pt>
                <c:pt idx="120">
                  <c:v>2145</c:v>
                </c:pt>
                <c:pt idx="121">
                  <c:v>2146</c:v>
                </c:pt>
                <c:pt idx="122">
                  <c:v>2147</c:v>
                </c:pt>
                <c:pt idx="123">
                  <c:v>2148</c:v>
                </c:pt>
                <c:pt idx="124">
                  <c:v>2149</c:v>
                </c:pt>
                <c:pt idx="125">
                  <c:v>2150</c:v>
                </c:pt>
              </c:numCache>
            </c:numRef>
          </c:xVal>
          <c:yVal>
            <c:numRef>
              <c:f>ControlChart!$EY$2:$EY$127</c:f>
              <c:numCache>
                <c:formatCode>#\ ##0\ "$"</c:formatCode>
                <c:ptCount val="126"/>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pt idx="51">
                  <c:v>0.01</c:v>
                </c:pt>
                <c:pt idx="52">
                  <c:v>0.01</c:v>
                </c:pt>
                <c:pt idx="53">
                  <c:v>0.01</c:v>
                </c:pt>
                <c:pt idx="54">
                  <c:v>0.01</c:v>
                </c:pt>
                <c:pt idx="55">
                  <c:v>0.01</c:v>
                </c:pt>
              </c:numCache>
            </c:numRef>
          </c:yVal>
          <c:smooth val="1"/>
          <c:extLst>
            <c:ext xmlns:c16="http://schemas.microsoft.com/office/drawing/2014/chart" uri="{C3380CC4-5D6E-409C-BE32-E72D297353CC}">
              <c16:uniqueId val="{00000002-1754-4626-A15B-8E2C6ED28E58}"/>
            </c:ext>
          </c:extLst>
        </c:ser>
        <c:ser>
          <c:idx val="3"/>
          <c:order val="3"/>
          <c:tx>
            <c:v>Stratégie 1</c:v>
          </c:tx>
          <c:spPr>
            <a:ln w="9525" cap="rnd">
              <a:noFill/>
              <a:prstDash val="lgDash"/>
              <a:round/>
            </a:ln>
            <a:effectLst/>
            <a:extLst>
              <a:ext uri="{91240B29-F687-4F45-9708-019B960494DF}">
                <a14:hiddenLine xmlns:a14="http://schemas.microsoft.com/office/drawing/2010/main" w="9525" cap="rnd">
                  <a:solidFill>
                    <a:srgbClr val="C54EF8"/>
                  </a:solidFill>
                  <a:prstDash val="lgDash"/>
                  <a:round/>
                </a14:hiddenLine>
              </a:ext>
            </a:extLst>
          </c:spPr>
          <c:marker>
            <c:symbol val="none"/>
          </c:marker>
          <c:dPt>
            <c:idx val="2"/>
            <c:marker>
              <c:symbol val="none"/>
            </c:marker>
            <c:bubble3D val="0"/>
            <c:extLst>
              <c:ext xmlns:c16="http://schemas.microsoft.com/office/drawing/2014/chart" uri="{C3380CC4-5D6E-409C-BE32-E72D297353CC}">
                <c16:uniqueId val="{00000001-5E45-4E5D-9F5E-23C453BAB1F0}"/>
              </c:ext>
            </c:extLst>
          </c:dPt>
          <c:dLbls>
            <c:dLbl>
              <c:idx val="1"/>
              <c:numFmt formatCode="#\ ###\ ###\ &quot;$&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noFill/>
                      <a:latin typeface="Aptos Narrow"/>
                      <a:ea typeface="Aptos Narrow"/>
                      <a:cs typeface="Aptos Narrow"/>
                    </a:defRPr>
                  </a:pPr>
                  <a:endParaRPr lang="fr-FR"/>
                </a:p>
              </c:txPr>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5F4-43DA-A848-A52BC8026D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ControlChart!$FA$2:$FA$4</c:f>
              <c:numCache>
                <c:formatCode>General</c:formatCode>
                <c:ptCount val="3"/>
                <c:pt idx="0">
                  <c:v>2055</c:v>
                </c:pt>
                <c:pt idx="1">
                  <c:v>2055</c:v>
                </c:pt>
                <c:pt idx="2">
                  <c:v>2055</c:v>
                </c:pt>
              </c:numCache>
            </c:numRef>
          </c:xVal>
          <c:yVal>
            <c:numRef>
              <c:f>ControlChart!$FB$2:$FB$4</c:f>
              <c:numCache>
                <c:formatCode>#\ ##0\ "$"</c:formatCode>
                <c:ptCount val="3"/>
                <c:pt idx="0">
                  <c:v>0</c:v>
                </c:pt>
                <c:pt idx="1">
                  <c:v>0</c:v>
                </c:pt>
                <c:pt idx="2">
                  <c:v>0</c:v>
                </c:pt>
              </c:numCache>
            </c:numRef>
          </c:yVal>
          <c:smooth val="0"/>
          <c:extLst>
            <c:ext xmlns:c16="http://schemas.microsoft.com/office/drawing/2014/chart" uri="{C3380CC4-5D6E-409C-BE32-E72D297353CC}">
              <c16:uniqueId val="{00000003-1754-4626-A15B-8E2C6ED28E58}"/>
            </c:ext>
          </c:extLst>
        </c:ser>
        <c:ser>
          <c:idx val="5"/>
          <c:order val="4"/>
          <c:tx>
            <c:v>Stratégie 3</c:v>
          </c:tx>
          <c:spPr>
            <a:ln w="9525" cap="rnd">
              <a:noFill/>
              <a:prstDash val="lgDash"/>
              <a:round/>
            </a:ln>
            <a:effectLst/>
            <a:extLst>
              <a:ext uri="{91240B29-F687-4F45-9708-019B960494DF}">
                <a14:hiddenLine xmlns:a14="http://schemas.microsoft.com/office/drawing/2010/main" w="9525" cap="rnd">
                  <a:solidFill>
                    <a:srgbClr val="FA6148"/>
                  </a:solidFill>
                  <a:prstDash val="lgDash"/>
                  <a:round/>
                </a14:hiddenLine>
              </a:ext>
            </a:extLst>
          </c:spPr>
          <c:marker>
            <c:symbol val="none"/>
          </c:marker>
          <c:dLbls>
            <c:dLbl>
              <c:idx val="1"/>
              <c:numFmt formatCode="#\ ###\ ###\ &quot;$&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noFill/>
                      <a:latin typeface="Aptos Narrow"/>
                      <a:ea typeface="Aptos Narrow"/>
                      <a:cs typeface="Aptos Narrow"/>
                    </a:defRPr>
                  </a:pPr>
                  <a:endParaRPr lang="fr-FR"/>
                </a:p>
              </c:txPr>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5D0-45CD-9DC2-3522D86608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ControlChart!$FA$2:$FA$4</c:f>
              <c:numCache>
                <c:formatCode>General</c:formatCode>
                <c:ptCount val="3"/>
                <c:pt idx="0">
                  <c:v>2055</c:v>
                </c:pt>
                <c:pt idx="1">
                  <c:v>2055</c:v>
                </c:pt>
                <c:pt idx="2">
                  <c:v>2055</c:v>
                </c:pt>
              </c:numCache>
            </c:numRef>
          </c:xVal>
          <c:yVal>
            <c:numRef>
              <c:f>ControlChart!$FD$2:$FD$4</c:f>
              <c:numCache>
                <c:formatCode>#\ ##0\ "$"</c:formatCode>
                <c:ptCount val="3"/>
                <c:pt idx="0">
                  <c:v>0</c:v>
                </c:pt>
                <c:pt idx="1">
                  <c:v>0</c:v>
                </c:pt>
                <c:pt idx="2">
                  <c:v>0</c:v>
                </c:pt>
              </c:numCache>
            </c:numRef>
          </c:yVal>
          <c:smooth val="0"/>
          <c:extLst>
            <c:ext xmlns:c16="http://schemas.microsoft.com/office/drawing/2014/chart" uri="{C3380CC4-5D6E-409C-BE32-E72D297353CC}">
              <c16:uniqueId val="{00000004-1754-4626-A15B-8E2C6ED28E58}"/>
            </c:ext>
          </c:extLst>
        </c:ser>
        <c:ser>
          <c:idx val="4"/>
          <c:order val="5"/>
          <c:tx>
            <c:v>Stratégie 2</c:v>
          </c:tx>
          <c:spPr>
            <a:ln w="9525" cap="rnd">
              <a:noFill/>
              <a:prstDash val="lgDash"/>
              <a:round/>
            </a:ln>
            <a:effectLst/>
            <a:extLst>
              <a:ext uri="{91240B29-F687-4F45-9708-019B960494DF}">
                <a14:hiddenLine xmlns:a14="http://schemas.microsoft.com/office/drawing/2010/main" w="9525" cap="rnd">
                  <a:solidFill>
                    <a:srgbClr val="FFFF00"/>
                  </a:solidFill>
                  <a:prstDash val="lgDash"/>
                  <a:round/>
                </a14:hiddenLine>
              </a:ext>
            </a:extLst>
          </c:spPr>
          <c:marker>
            <c:symbol val="none"/>
          </c:marker>
          <c:dPt>
            <c:idx val="0"/>
            <c:marker>
              <c:symbol val="none"/>
            </c:marker>
            <c:bubble3D val="0"/>
            <c:extLst>
              <c:ext xmlns:c16="http://schemas.microsoft.com/office/drawing/2014/chart" uri="{C3380CC4-5D6E-409C-BE32-E72D297353CC}">
                <c16:uniqueId val="{00000005-1754-4626-A15B-8E2C6ED28E58}"/>
              </c:ext>
            </c:extLst>
          </c:dPt>
          <c:dLbls>
            <c:dLbl>
              <c:idx val="1"/>
              <c:numFmt formatCode="#\ ###\ ###\ &quot;$&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noFill/>
                      <a:latin typeface="Aptos Narrow"/>
                      <a:ea typeface="Aptos Narrow"/>
                      <a:cs typeface="Aptos Narrow"/>
                    </a:defRPr>
                  </a:pPr>
                  <a:endParaRPr lang="fr-FR"/>
                </a:p>
              </c:txPr>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5D0-45CD-9DC2-3522D86608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ControlChart!$FA$2:$FA$4</c:f>
              <c:numCache>
                <c:formatCode>General</c:formatCode>
                <c:ptCount val="3"/>
                <c:pt idx="0">
                  <c:v>2055</c:v>
                </c:pt>
                <c:pt idx="1">
                  <c:v>2055</c:v>
                </c:pt>
                <c:pt idx="2">
                  <c:v>2055</c:v>
                </c:pt>
              </c:numCache>
            </c:numRef>
          </c:xVal>
          <c:yVal>
            <c:numRef>
              <c:f>ControlChart!$FC$2:$FC$4</c:f>
              <c:numCache>
                <c:formatCode>#\ ##0\ "$"</c:formatCode>
                <c:ptCount val="3"/>
                <c:pt idx="0">
                  <c:v>0</c:v>
                </c:pt>
                <c:pt idx="1">
                  <c:v>0</c:v>
                </c:pt>
                <c:pt idx="2">
                  <c:v>0</c:v>
                </c:pt>
              </c:numCache>
            </c:numRef>
          </c:yVal>
          <c:smooth val="0"/>
          <c:extLst>
            <c:ext xmlns:c16="http://schemas.microsoft.com/office/drawing/2014/chart" uri="{C3380CC4-5D6E-409C-BE32-E72D297353CC}">
              <c16:uniqueId val="{00000006-1754-4626-A15B-8E2C6ED28E58}"/>
            </c:ext>
          </c:extLst>
        </c:ser>
        <c:ser>
          <c:idx val="6"/>
          <c:order val="6"/>
          <c:tx>
            <c:strRef>
              <c:f>ControlChart!$EZ$1</c:f>
              <c:strCache>
                <c:ptCount val="1"/>
                <c:pt idx="0">
                  <c:v>TTEP</c:v>
                </c:pt>
              </c:strCache>
            </c:strRef>
          </c:tx>
          <c:spPr>
            <a:ln w="12700" cap="rnd">
              <a:solidFill>
                <a:srgbClr val="AADCD7"/>
              </a:solidFill>
              <a:round/>
            </a:ln>
            <a:effectLst/>
          </c:spPr>
          <c:marker>
            <c:symbol val="none"/>
          </c:marker>
          <c:xVal>
            <c:numRef>
              <c:f>ControlChart!$EV$2:$EV$127</c:f>
              <c:numCache>
                <c:formatCode>General</c:formatCode>
                <c:ptCount val="1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pt idx="46">
                  <c:v>2071</c:v>
                </c:pt>
                <c:pt idx="47">
                  <c:v>2072</c:v>
                </c:pt>
                <c:pt idx="48">
                  <c:v>2073</c:v>
                </c:pt>
                <c:pt idx="49">
                  <c:v>2074</c:v>
                </c:pt>
                <c:pt idx="50">
                  <c:v>2075</c:v>
                </c:pt>
                <c:pt idx="51">
                  <c:v>2076</c:v>
                </c:pt>
                <c:pt idx="52">
                  <c:v>2077</c:v>
                </c:pt>
                <c:pt idx="53">
                  <c:v>2078</c:v>
                </c:pt>
                <c:pt idx="54">
                  <c:v>2079</c:v>
                </c:pt>
                <c:pt idx="55">
                  <c:v>2080</c:v>
                </c:pt>
                <c:pt idx="56">
                  <c:v>2081</c:v>
                </c:pt>
                <c:pt idx="57">
                  <c:v>2082</c:v>
                </c:pt>
                <c:pt idx="58">
                  <c:v>2083</c:v>
                </c:pt>
                <c:pt idx="59">
                  <c:v>2084</c:v>
                </c:pt>
                <c:pt idx="60">
                  <c:v>2085</c:v>
                </c:pt>
                <c:pt idx="61">
                  <c:v>2086</c:v>
                </c:pt>
                <c:pt idx="62">
                  <c:v>2087</c:v>
                </c:pt>
                <c:pt idx="63">
                  <c:v>2088</c:v>
                </c:pt>
                <c:pt idx="64">
                  <c:v>2089</c:v>
                </c:pt>
                <c:pt idx="65">
                  <c:v>2090</c:v>
                </c:pt>
                <c:pt idx="66">
                  <c:v>2091</c:v>
                </c:pt>
                <c:pt idx="67">
                  <c:v>2092</c:v>
                </c:pt>
                <c:pt idx="68">
                  <c:v>2093</c:v>
                </c:pt>
                <c:pt idx="69">
                  <c:v>2094</c:v>
                </c:pt>
                <c:pt idx="70">
                  <c:v>2095</c:v>
                </c:pt>
                <c:pt idx="71">
                  <c:v>2096</c:v>
                </c:pt>
                <c:pt idx="72">
                  <c:v>2097</c:v>
                </c:pt>
                <c:pt idx="73">
                  <c:v>2098</c:v>
                </c:pt>
                <c:pt idx="74">
                  <c:v>2099</c:v>
                </c:pt>
                <c:pt idx="75">
                  <c:v>2100</c:v>
                </c:pt>
                <c:pt idx="76">
                  <c:v>2101</c:v>
                </c:pt>
                <c:pt idx="77">
                  <c:v>2102</c:v>
                </c:pt>
                <c:pt idx="78">
                  <c:v>2103</c:v>
                </c:pt>
                <c:pt idx="79">
                  <c:v>2104</c:v>
                </c:pt>
                <c:pt idx="80">
                  <c:v>2105</c:v>
                </c:pt>
                <c:pt idx="81">
                  <c:v>2106</c:v>
                </c:pt>
                <c:pt idx="82">
                  <c:v>2107</c:v>
                </c:pt>
                <c:pt idx="83">
                  <c:v>2108</c:v>
                </c:pt>
                <c:pt idx="84">
                  <c:v>2109</c:v>
                </c:pt>
                <c:pt idx="85">
                  <c:v>2110</c:v>
                </c:pt>
                <c:pt idx="86">
                  <c:v>2111</c:v>
                </c:pt>
                <c:pt idx="87">
                  <c:v>2112</c:v>
                </c:pt>
                <c:pt idx="88">
                  <c:v>2113</c:v>
                </c:pt>
                <c:pt idx="89">
                  <c:v>2114</c:v>
                </c:pt>
                <c:pt idx="90">
                  <c:v>2115</c:v>
                </c:pt>
                <c:pt idx="91">
                  <c:v>2116</c:v>
                </c:pt>
                <c:pt idx="92">
                  <c:v>2117</c:v>
                </c:pt>
                <c:pt idx="93">
                  <c:v>2118</c:v>
                </c:pt>
                <c:pt idx="94">
                  <c:v>2119</c:v>
                </c:pt>
                <c:pt idx="95">
                  <c:v>2120</c:v>
                </c:pt>
                <c:pt idx="96">
                  <c:v>2121</c:v>
                </c:pt>
                <c:pt idx="97">
                  <c:v>2122</c:v>
                </c:pt>
                <c:pt idx="98">
                  <c:v>2123</c:v>
                </c:pt>
                <c:pt idx="99">
                  <c:v>2124</c:v>
                </c:pt>
                <c:pt idx="100">
                  <c:v>2125</c:v>
                </c:pt>
                <c:pt idx="101">
                  <c:v>2126</c:v>
                </c:pt>
                <c:pt idx="102">
                  <c:v>2127</c:v>
                </c:pt>
                <c:pt idx="103">
                  <c:v>2128</c:v>
                </c:pt>
                <c:pt idx="104">
                  <c:v>2129</c:v>
                </c:pt>
                <c:pt idx="105">
                  <c:v>2130</c:v>
                </c:pt>
                <c:pt idx="106">
                  <c:v>2131</c:v>
                </c:pt>
                <c:pt idx="107">
                  <c:v>2132</c:v>
                </c:pt>
                <c:pt idx="108">
                  <c:v>2133</c:v>
                </c:pt>
                <c:pt idx="109">
                  <c:v>2134</c:v>
                </c:pt>
                <c:pt idx="110">
                  <c:v>2135</c:v>
                </c:pt>
                <c:pt idx="111">
                  <c:v>2136</c:v>
                </c:pt>
                <c:pt idx="112">
                  <c:v>2137</c:v>
                </c:pt>
                <c:pt idx="113">
                  <c:v>2138</c:v>
                </c:pt>
                <c:pt idx="114">
                  <c:v>2139</c:v>
                </c:pt>
                <c:pt idx="115">
                  <c:v>2140</c:v>
                </c:pt>
                <c:pt idx="116">
                  <c:v>2141</c:v>
                </c:pt>
                <c:pt idx="117">
                  <c:v>2142</c:v>
                </c:pt>
                <c:pt idx="118">
                  <c:v>2143</c:v>
                </c:pt>
                <c:pt idx="119">
                  <c:v>2144</c:v>
                </c:pt>
                <c:pt idx="120">
                  <c:v>2145</c:v>
                </c:pt>
                <c:pt idx="121">
                  <c:v>2146</c:v>
                </c:pt>
                <c:pt idx="122">
                  <c:v>2147</c:v>
                </c:pt>
                <c:pt idx="123">
                  <c:v>2148</c:v>
                </c:pt>
                <c:pt idx="124">
                  <c:v>2149</c:v>
                </c:pt>
                <c:pt idx="125">
                  <c:v>2150</c:v>
                </c:pt>
              </c:numCache>
            </c:numRef>
          </c:xVal>
          <c:yVal>
            <c:numRef>
              <c:f>ControlChart!$EZ$2:$EZ$127</c:f>
              <c:numCache>
                <c:formatCode>#\ ##0\ "$"</c:formatCode>
                <c:ptCount val="126"/>
                <c:pt idx="0">
                  <c:v>0</c:v>
                </c:pt>
              </c:numCache>
            </c:numRef>
          </c:yVal>
          <c:smooth val="0"/>
          <c:extLst>
            <c:ext xmlns:c16="http://schemas.microsoft.com/office/drawing/2014/chart" uri="{C3380CC4-5D6E-409C-BE32-E72D297353CC}">
              <c16:uniqueId val="{00000004-5E45-4E5D-9F5E-23C453BAB1F0}"/>
            </c:ext>
          </c:extLst>
        </c:ser>
        <c:dLbls>
          <c:showLegendKey val="0"/>
          <c:showVal val="0"/>
          <c:showCatName val="0"/>
          <c:showSerName val="0"/>
          <c:showPercent val="0"/>
          <c:showBubbleSize val="0"/>
        </c:dLbls>
        <c:axId val="284800224"/>
        <c:axId val="284786784"/>
      </c:scatterChart>
      <c:valAx>
        <c:axId val="284800224"/>
        <c:scaling>
          <c:orientation val="minMax"/>
          <c:max val="2081"/>
          <c:min val="2025"/>
        </c:scaling>
        <c:delete val="0"/>
        <c:axPos val="b"/>
        <c:numFmt formatCode="General" sourceLinked="1"/>
        <c:majorTickMark val="out"/>
        <c:minorTickMark val="none"/>
        <c:tickLblPos val="nextTo"/>
        <c:spPr>
          <a:noFill/>
          <a:ln w="9525" cap="flat" cmpd="sng" algn="ctr">
            <a:solidFill>
              <a:schemeClr val="bg2">
                <a:lumMod val="1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4786784"/>
        <c:crosses val="autoZero"/>
        <c:crossBetween val="midCat"/>
      </c:valAx>
      <c:valAx>
        <c:axId val="284786784"/>
        <c:scaling>
          <c:orientation val="minMax"/>
          <c:max val="1.2E-2"/>
          <c:min val="0"/>
        </c:scaling>
        <c:delete val="0"/>
        <c:axPos val="l"/>
        <c:majorGridlines>
          <c:spPr>
            <a:ln w="0" cap="flat" cmpd="sng" algn="ctr">
              <a:solidFill>
                <a:schemeClr val="tx1">
                  <a:lumMod val="85000"/>
                  <a:lumOff val="15000"/>
                </a:schemeClr>
              </a:solidFill>
              <a:round/>
            </a:ln>
            <a:effectLst/>
          </c:spPr>
        </c:majorGridlines>
        <c:numFmt formatCode="#\ ##0\ &quot;$&quot;" sourceLinked="0"/>
        <c:majorTickMark val="out"/>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48002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71744952123356"/>
          <c:y val="5.7624618414220237E-2"/>
          <c:w val="0.71995838020247471"/>
          <c:h val="0.90184245307211719"/>
        </c:manualLayout>
      </c:layout>
      <c:doughnutChart>
        <c:varyColors val="1"/>
        <c:ser>
          <c:idx val="0"/>
          <c:order val="0"/>
          <c:spPr>
            <a:solidFill>
              <a:srgbClr val="FFFF00"/>
            </a:solidFill>
            <a:ln>
              <a:noFill/>
            </a:ln>
          </c:spPr>
          <c:dPt>
            <c:idx val="0"/>
            <c:bubble3D val="0"/>
            <c:spPr>
              <a:gradFill flip="none" rotWithShape="1">
                <a:gsLst>
                  <a:gs pos="0">
                    <a:srgbClr val="AADCD7"/>
                  </a:gs>
                  <a:gs pos="70000">
                    <a:srgbClr val="AADCD7"/>
                  </a:gs>
                </a:gsLst>
                <a:lin ang="0" scaled="1"/>
                <a:tileRect/>
              </a:gradFill>
              <a:ln w="19050">
                <a:noFill/>
              </a:ln>
              <a:effectLst/>
            </c:spPr>
            <c:extLst>
              <c:ext xmlns:c16="http://schemas.microsoft.com/office/drawing/2014/chart" uri="{C3380CC4-5D6E-409C-BE32-E72D297353CC}">
                <c16:uniqueId val="{00000001-8AC1-447B-B947-3A6D39DDF1EE}"/>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8AC1-447B-B947-3A6D39DDF1EE}"/>
              </c:ext>
            </c:extLst>
          </c:dPt>
          <c:val>
            <c:numRef>
              <c:f>ControlChart!$FP$2:$FQ$2</c:f>
              <c:numCache>
                <c:formatCode>0.00%</c:formatCode>
                <c:ptCount val="2"/>
                <c:pt idx="0" formatCode="0%">
                  <c:v>0</c:v>
                </c:pt>
                <c:pt idx="1">
                  <c:v>1</c:v>
                </c:pt>
              </c:numCache>
            </c:numRef>
          </c:val>
          <c:extLst>
            <c:ext xmlns:c16="http://schemas.microsoft.com/office/drawing/2014/chart" uri="{C3380CC4-5D6E-409C-BE32-E72D297353CC}">
              <c16:uniqueId val="{00000004-8AC1-447B-B947-3A6D39DDF1EE}"/>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25400" cap="rnd">
              <a:noFill/>
              <a:round/>
            </a:ln>
            <a:effectLst>
              <a:glow rad="152400">
                <a:srgbClr val="AADCD7">
                  <a:alpha val="82000"/>
                </a:srgbClr>
              </a:glow>
            </a:effectLst>
          </c:spPr>
          <c:marker>
            <c:symbol val="circle"/>
            <c:size val="5"/>
            <c:spPr>
              <a:solidFill>
                <a:schemeClr val="bg1">
                  <a:alpha val="71000"/>
                </a:schemeClr>
              </a:solidFill>
              <a:ln w="9525">
                <a:noFill/>
              </a:ln>
              <a:effectLst>
                <a:glow rad="152400">
                  <a:srgbClr val="AADCD7">
                    <a:alpha val="82000"/>
                  </a:srgbClr>
                </a:glow>
              </a:effectLst>
            </c:spPr>
          </c:marker>
          <c:xVal>
            <c:numRef>
              <c:f>ControlChart!$FT$2</c:f>
              <c:numCache>
                <c:formatCode>General</c:formatCode>
                <c:ptCount val="1"/>
                <c:pt idx="0">
                  <c:v>0.49999999999999994</c:v>
                </c:pt>
              </c:numCache>
            </c:numRef>
          </c:xVal>
          <c:yVal>
            <c:numRef>
              <c:f>ControlChart!$FU$2</c:f>
              <c:numCache>
                <c:formatCode>General</c:formatCode>
                <c:ptCount val="1"/>
                <c:pt idx="0">
                  <c:v>0.86602540378443871</c:v>
                </c:pt>
              </c:numCache>
            </c:numRef>
          </c:yVal>
          <c:smooth val="0"/>
          <c:extLst>
            <c:ext xmlns:c16="http://schemas.microsoft.com/office/drawing/2014/chart" uri="{C3380CC4-5D6E-409C-BE32-E72D297353CC}">
              <c16:uniqueId val="{00000005-8AC1-447B-B947-3A6D39DDF1EE}"/>
            </c:ext>
          </c:extLst>
        </c:ser>
        <c:dLbls>
          <c:showLegendKey val="0"/>
          <c:showVal val="0"/>
          <c:showCatName val="0"/>
          <c:showSerName val="0"/>
          <c:showPercent val="0"/>
          <c:showBubbleSize val="0"/>
        </c:dLbls>
        <c:axId val="352226128"/>
        <c:axId val="352216048"/>
      </c:scatterChart>
      <c:valAx>
        <c:axId val="352216048"/>
        <c:scaling>
          <c:orientation val="minMax"/>
          <c:max val="1.05"/>
          <c:min val="-1.05"/>
        </c:scaling>
        <c:delete val="1"/>
        <c:axPos val="l"/>
        <c:numFmt formatCode="General" sourceLinked="1"/>
        <c:majorTickMark val="out"/>
        <c:minorTickMark val="none"/>
        <c:tickLblPos val="nextTo"/>
        <c:crossAx val="352226128"/>
        <c:crosses val="autoZero"/>
        <c:crossBetween val="midCat"/>
      </c:valAx>
      <c:valAx>
        <c:axId val="352226128"/>
        <c:scaling>
          <c:orientation val="minMax"/>
          <c:max val="1.05"/>
          <c:min val="-1.05"/>
        </c:scaling>
        <c:delete val="1"/>
        <c:axPos val="b"/>
        <c:numFmt formatCode="General" sourceLinked="1"/>
        <c:majorTickMark val="out"/>
        <c:minorTickMark val="none"/>
        <c:tickLblPos val="nextTo"/>
        <c:crossAx val="352216048"/>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664694297229267E-2"/>
          <c:y val="5.4899349282376414E-2"/>
          <c:w val="0.85555044594651086"/>
          <c:h val="0.87442317071645637"/>
        </c:manualLayout>
      </c:layout>
      <c:doughnutChart>
        <c:varyColors val="1"/>
        <c:ser>
          <c:idx val="0"/>
          <c:order val="0"/>
          <c:spPr>
            <a:ln>
              <a:noFill/>
            </a:ln>
          </c:spPr>
          <c:dPt>
            <c:idx val="0"/>
            <c:bubble3D val="0"/>
            <c:spPr>
              <a:gradFill>
                <a:gsLst>
                  <a:gs pos="0">
                    <a:srgbClr val="00B050">
                      <a:alpha val="30000"/>
                    </a:srgbClr>
                  </a:gs>
                  <a:gs pos="70000">
                    <a:srgbClr val="00B050"/>
                  </a:gs>
                </a:gsLst>
                <a:lin ang="5400000" scaled="1"/>
              </a:gradFill>
              <a:ln w="19050">
                <a:noFill/>
              </a:ln>
              <a:effectLst/>
            </c:spPr>
            <c:extLst>
              <c:ext xmlns:c16="http://schemas.microsoft.com/office/drawing/2014/chart" uri="{C3380CC4-5D6E-409C-BE32-E72D297353CC}">
                <c16:uniqueId val="{00000001-175D-4EA5-BC26-003B1DDC03DB}"/>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175D-4EA5-BC26-003B1DDC03DB}"/>
              </c:ext>
            </c:extLst>
          </c:dPt>
          <c:val>
            <c:numRef>
              <c:f>ControlChart!$BY$12:$BZ$12</c:f>
              <c:numCache>
                <c:formatCode>0.00%</c:formatCode>
                <c:ptCount val="2"/>
                <c:pt idx="0">
                  <c:v>-1</c:v>
                </c:pt>
                <c:pt idx="1">
                  <c:v>2</c:v>
                </c:pt>
              </c:numCache>
            </c:numRef>
          </c:val>
          <c:extLst>
            <c:ext xmlns:c16="http://schemas.microsoft.com/office/drawing/2014/chart" uri="{C3380CC4-5D6E-409C-BE32-E72D297353CC}">
              <c16:uniqueId val="{00000004-175D-4EA5-BC26-003B1DDC03DB}"/>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25400" cap="rnd">
              <a:noFill/>
              <a:round/>
            </a:ln>
            <a:effectLst>
              <a:glow rad="127000">
                <a:srgbClr val="00B050"/>
              </a:glow>
            </a:effectLst>
          </c:spPr>
          <c:marker>
            <c:symbol val="circle"/>
            <c:size val="5"/>
            <c:spPr>
              <a:solidFill>
                <a:schemeClr val="bg1">
                  <a:alpha val="63000"/>
                </a:schemeClr>
              </a:solidFill>
              <a:ln w="9525">
                <a:noFill/>
              </a:ln>
              <a:effectLst>
                <a:glow rad="127000">
                  <a:srgbClr val="00B050"/>
                </a:glow>
              </a:effectLst>
            </c:spPr>
          </c:marker>
          <c:xVal>
            <c:numRef>
              <c:f>ControlChart!$CC$12</c:f>
              <c:numCache>
                <c:formatCode>General</c:formatCode>
                <c:ptCount val="1"/>
                <c:pt idx="0">
                  <c:v>0.50000000000000044</c:v>
                </c:pt>
              </c:numCache>
            </c:numRef>
          </c:xVal>
          <c:yVal>
            <c:numRef>
              <c:f>ControlChart!$CD$12</c:f>
              <c:numCache>
                <c:formatCode>General</c:formatCode>
                <c:ptCount val="1"/>
                <c:pt idx="0">
                  <c:v>0.86602540378443837</c:v>
                </c:pt>
              </c:numCache>
            </c:numRef>
          </c:yVal>
          <c:smooth val="0"/>
          <c:extLst>
            <c:ext xmlns:c16="http://schemas.microsoft.com/office/drawing/2014/chart" uri="{C3380CC4-5D6E-409C-BE32-E72D297353CC}">
              <c16:uniqueId val="{00000005-175D-4EA5-BC26-003B1DDC03DB}"/>
            </c:ext>
          </c:extLst>
        </c:ser>
        <c:dLbls>
          <c:showLegendKey val="0"/>
          <c:showVal val="0"/>
          <c:showCatName val="0"/>
          <c:showSerName val="0"/>
          <c:showPercent val="0"/>
          <c:showBubbleSize val="0"/>
        </c:dLbls>
        <c:axId val="591015823"/>
        <c:axId val="591013423"/>
      </c:scatterChart>
      <c:valAx>
        <c:axId val="591013423"/>
        <c:scaling>
          <c:orientation val="minMax"/>
          <c:max val="1.05"/>
          <c:min val="-1.05"/>
        </c:scaling>
        <c:delete val="1"/>
        <c:axPos val="l"/>
        <c:numFmt formatCode="General" sourceLinked="1"/>
        <c:majorTickMark val="out"/>
        <c:minorTickMark val="none"/>
        <c:tickLblPos val="nextTo"/>
        <c:crossAx val="591015823"/>
        <c:crosses val="autoZero"/>
        <c:crossBetween val="midCat"/>
      </c:valAx>
      <c:valAx>
        <c:axId val="591015823"/>
        <c:scaling>
          <c:orientation val="minMax"/>
          <c:max val="1.05"/>
          <c:min val="-1.05"/>
        </c:scaling>
        <c:delete val="1"/>
        <c:axPos val="b"/>
        <c:numFmt formatCode="General" sourceLinked="1"/>
        <c:majorTickMark val="out"/>
        <c:minorTickMark val="none"/>
        <c:tickLblPos val="nextTo"/>
        <c:crossAx val="5910134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v>Full</c:v>
          </c:tx>
          <c:spPr>
            <a:solidFill>
              <a:schemeClr val="tx1">
                <a:lumMod val="75000"/>
                <a:lumOff val="25000"/>
              </a:schemeClr>
            </a:solidFill>
            <a:ln>
              <a:noFill/>
            </a:ln>
            <a:effectLst/>
          </c:spPr>
          <c:invertIfNegative val="0"/>
          <c:val>
            <c:numRef>
              <c:f>ControlChart!$BZ$13</c:f>
              <c:numCache>
                <c:formatCode>0.00%</c:formatCode>
                <c:ptCount val="1"/>
                <c:pt idx="0">
                  <c:v>1</c:v>
                </c:pt>
              </c:numCache>
            </c:numRef>
          </c:val>
          <c:extLst>
            <c:ext xmlns:c16="http://schemas.microsoft.com/office/drawing/2014/chart" uri="{C3380CC4-5D6E-409C-BE32-E72D297353CC}">
              <c16:uniqueId val="{00000000-673D-43E6-A04B-6D9A8155A11C}"/>
            </c:ext>
          </c:extLst>
        </c:ser>
        <c:ser>
          <c:idx val="1"/>
          <c:order val="1"/>
          <c:tx>
            <c:v>Epargne</c:v>
          </c:tx>
          <c:spPr>
            <a:gradFill flip="none" rotWithShape="1">
              <a:gsLst>
                <a:gs pos="0">
                  <a:srgbClr val="00B050">
                    <a:alpha val="30000"/>
                  </a:srgbClr>
                </a:gs>
                <a:gs pos="70000">
                  <a:srgbClr val="00B050"/>
                </a:gs>
              </a:gsLst>
              <a:lin ang="0" scaled="1"/>
              <a:tileRect/>
            </a:gradFill>
            <a:ln cap="rnd">
              <a:noFill/>
              <a:round/>
            </a:ln>
            <a:effectLst/>
          </c:spPr>
          <c:invertIfNegative val="0"/>
          <c:val>
            <c:numRef>
              <c:f>ControlChart!$BY$13</c:f>
              <c:numCache>
                <c:formatCode>0%</c:formatCode>
                <c:ptCount val="1"/>
                <c:pt idx="0">
                  <c:v>0</c:v>
                </c:pt>
              </c:numCache>
            </c:numRef>
          </c:val>
          <c:extLst>
            <c:ext xmlns:c16="http://schemas.microsoft.com/office/drawing/2014/chart" uri="{C3380CC4-5D6E-409C-BE32-E72D297353CC}">
              <c16:uniqueId val="{00000001-673D-43E6-A04B-6D9A8155A11C}"/>
            </c:ext>
          </c:extLst>
        </c:ser>
        <c:dLbls>
          <c:showLegendKey val="0"/>
          <c:showVal val="0"/>
          <c:showCatName val="0"/>
          <c:showSerName val="0"/>
          <c:showPercent val="0"/>
          <c:showBubbleSize val="0"/>
        </c:dLbls>
        <c:gapWidth val="0"/>
        <c:overlap val="100"/>
        <c:axId val="1428888432"/>
        <c:axId val="1428886992"/>
      </c:barChart>
      <c:catAx>
        <c:axId val="1428888432"/>
        <c:scaling>
          <c:orientation val="minMax"/>
        </c:scaling>
        <c:delete val="1"/>
        <c:axPos val="l"/>
        <c:majorTickMark val="none"/>
        <c:minorTickMark val="none"/>
        <c:tickLblPos val="nextTo"/>
        <c:crossAx val="1428886992"/>
        <c:crosses val="autoZero"/>
        <c:auto val="1"/>
        <c:lblAlgn val="ctr"/>
        <c:lblOffset val="100"/>
        <c:noMultiLvlLbl val="0"/>
      </c:catAx>
      <c:valAx>
        <c:axId val="1428886992"/>
        <c:scaling>
          <c:orientation val="minMax"/>
          <c:max val="1"/>
        </c:scaling>
        <c:delete val="1"/>
        <c:axPos val="b"/>
        <c:numFmt formatCode="0.00%" sourceLinked="1"/>
        <c:majorTickMark val="none"/>
        <c:minorTickMark val="none"/>
        <c:tickLblPos val="nextTo"/>
        <c:crossAx val="1428888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304454829767571E-2"/>
          <c:y val="0"/>
          <c:w val="0.86668162271661098"/>
          <c:h val="0.91724211696754632"/>
        </c:manualLayout>
      </c:layout>
      <c:doughnutChart>
        <c:varyColors val="1"/>
        <c:ser>
          <c:idx val="0"/>
          <c:order val="0"/>
          <c:spPr>
            <a:gradFill>
              <a:gsLst>
                <a:gs pos="0">
                  <a:srgbClr val="C54EF8">
                    <a:alpha val="30000"/>
                  </a:srgbClr>
                </a:gs>
                <a:gs pos="70000">
                  <a:srgbClr val="C54EF8"/>
                </a:gs>
              </a:gsLst>
              <a:lin ang="10800000" scaled="0"/>
            </a:gradFill>
          </c:spPr>
          <c:dPt>
            <c:idx val="0"/>
            <c:bubble3D val="0"/>
            <c:spPr>
              <a:gradFill>
                <a:gsLst>
                  <a:gs pos="0">
                    <a:srgbClr val="C54EF8">
                      <a:alpha val="30000"/>
                    </a:srgbClr>
                  </a:gs>
                  <a:gs pos="70000">
                    <a:srgbClr val="C54EF8"/>
                  </a:gs>
                </a:gsLst>
                <a:lin ang="10800000" scaled="0"/>
              </a:gradFill>
              <a:ln w="19050">
                <a:noFill/>
              </a:ln>
              <a:effectLst/>
            </c:spPr>
            <c:extLst>
              <c:ext xmlns:c16="http://schemas.microsoft.com/office/drawing/2014/chart" uri="{C3380CC4-5D6E-409C-BE32-E72D297353CC}">
                <c16:uniqueId val="{00000001-A6FD-412F-85E8-0F83872CA341}"/>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A6FD-412F-85E8-0F83872CA341}"/>
              </c:ext>
            </c:extLst>
          </c:dPt>
          <c:val>
            <c:numRef>
              <c:f>ControlChart!$BX$3:$BY$3</c:f>
              <c:numCache>
                <c:formatCode>0.00%</c:formatCode>
                <c:ptCount val="2"/>
                <c:pt idx="0">
                  <c:v>1</c:v>
                </c:pt>
                <c:pt idx="1">
                  <c:v>0</c:v>
                </c:pt>
              </c:numCache>
            </c:numRef>
          </c:val>
          <c:extLst>
            <c:ext xmlns:c16="http://schemas.microsoft.com/office/drawing/2014/chart" uri="{C3380CC4-5D6E-409C-BE32-E72D297353CC}">
              <c16:uniqueId val="{00000004-A6FD-412F-85E8-0F83872CA341}"/>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25400" cap="rnd">
              <a:noFill/>
              <a:round/>
            </a:ln>
            <a:effectLst>
              <a:glow rad="127000">
                <a:srgbClr val="C54EF8"/>
              </a:glow>
            </a:effectLst>
          </c:spPr>
          <c:marker>
            <c:symbol val="circle"/>
            <c:size val="4"/>
            <c:spPr>
              <a:solidFill>
                <a:schemeClr val="bg1"/>
              </a:solidFill>
              <a:ln w="9525">
                <a:noFill/>
              </a:ln>
              <a:effectLst>
                <a:glow rad="127000">
                  <a:srgbClr val="C54EF8"/>
                </a:glow>
              </a:effectLst>
            </c:spPr>
          </c:marker>
          <c:xVal>
            <c:numRef>
              <c:f>ControlChart!$CB$3</c:f>
              <c:numCache>
                <c:formatCode>General</c:formatCode>
                <c:ptCount val="1"/>
                <c:pt idx="0">
                  <c:v>0.49999999999999928</c:v>
                </c:pt>
              </c:numCache>
            </c:numRef>
          </c:xVal>
          <c:yVal>
            <c:numRef>
              <c:f>ControlChart!$CC$3</c:f>
              <c:numCache>
                <c:formatCode>General</c:formatCode>
                <c:ptCount val="1"/>
                <c:pt idx="0">
                  <c:v>0.86602540378443904</c:v>
                </c:pt>
              </c:numCache>
            </c:numRef>
          </c:yVal>
          <c:smooth val="0"/>
          <c:extLst>
            <c:ext xmlns:c16="http://schemas.microsoft.com/office/drawing/2014/chart" uri="{C3380CC4-5D6E-409C-BE32-E72D297353CC}">
              <c16:uniqueId val="{00000005-A6FD-412F-85E8-0F83872CA341}"/>
            </c:ext>
          </c:extLst>
        </c:ser>
        <c:dLbls>
          <c:showLegendKey val="0"/>
          <c:showVal val="0"/>
          <c:showCatName val="0"/>
          <c:showSerName val="0"/>
          <c:showPercent val="0"/>
          <c:showBubbleSize val="0"/>
        </c:dLbls>
        <c:axId val="764233920"/>
        <c:axId val="764213760"/>
      </c:scatterChart>
      <c:valAx>
        <c:axId val="764213760"/>
        <c:scaling>
          <c:orientation val="minMax"/>
          <c:max val="1.05"/>
          <c:min val="-1.05"/>
        </c:scaling>
        <c:delete val="1"/>
        <c:axPos val="l"/>
        <c:numFmt formatCode="General" sourceLinked="1"/>
        <c:majorTickMark val="out"/>
        <c:minorTickMark val="none"/>
        <c:tickLblPos val="nextTo"/>
        <c:crossAx val="764233920"/>
        <c:crosses val="autoZero"/>
        <c:crossBetween val="midCat"/>
      </c:valAx>
      <c:valAx>
        <c:axId val="764233920"/>
        <c:scaling>
          <c:orientation val="minMax"/>
          <c:max val="1.05"/>
          <c:min val="-1.05"/>
        </c:scaling>
        <c:delete val="1"/>
        <c:axPos val="b"/>
        <c:numFmt formatCode="General" sourceLinked="1"/>
        <c:majorTickMark val="out"/>
        <c:minorTickMark val="none"/>
        <c:tickLblPos val="nextTo"/>
        <c:crossAx val="764213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939461681347963E-2"/>
          <c:y val="5.3643355428756284E-2"/>
          <c:w val="0.97647999918560291"/>
          <c:h val="0.89705524198466002"/>
        </c:manualLayout>
      </c:layout>
      <c:scatterChart>
        <c:scatterStyle val="lineMarker"/>
        <c:varyColors val="0"/>
        <c:ser>
          <c:idx val="0"/>
          <c:order val="0"/>
          <c:tx>
            <c:strRef>
              <c:f>ControlChart!$CP$1</c:f>
              <c:strCache>
                <c:ptCount val="1"/>
                <c:pt idx="0">
                  <c:v>Scale</c:v>
                </c:pt>
              </c:strCache>
            </c:strRef>
          </c:tx>
          <c:spPr>
            <a:ln w="19050" cap="rnd">
              <a:noFill/>
              <a:round/>
            </a:ln>
            <a:effectLst/>
          </c:spPr>
          <c:marker>
            <c:symbol val="circle"/>
            <c:size val="5"/>
            <c:spPr>
              <a:noFill/>
              <a:ln w="9525">
                <a:noFill/>
              </a:ln>
              <a:effectLst/>
            </c:spPr>
          </c:marker>
          <c:dPt>
            <c:idx val="29"/>
            <c:marker>
              <c:symbol val="none"/>
            </c:marker>
            <c:bubble3D val="0"/>
            <c:extLst>
              <c:ext xmlns:c16="http://schemas.microsoft.com/office/drawing/2014/chart" uri="{C3380CC4-5D6E-409C-BE32-E72D297353CC}">
                <c16:uniqueId val="{00000000-B391-43A8-A9FF-136622ECB83F}"/>
              </c:ext>
            </c:extLst>
          </c:dPt>
          <c:errBars>
            <c:errDir val="y"/>
            <c:errBarType val="both"/>
            <c:errValType val="fixedVal"/>
            <c:noEndCap val="1"/>
            <c:val val="0.4"/>
            <c:spPr>
              <a:noFill/>
              <a:ln w="9525" cap="flat" cmpd="sng" algn="ctr">
                <a:solidFill>
                  <a:schemeClr val="bg2">
                    <a:lumMod val="25000"/>
                    <a:alpha val="81000"/>
                  </a:schemeClr>
                </a:solidFill>
                <a:round/>
              </a:ln>
              <a:effectLst/>
            </c:spPr>
          </c:errBars>
          <c:xVal>
            <c:numRef>
              <c:f>ControlChart!$CQ$1:$EH$1</c:f>
              <c:numCache>
                <c:formatCode>General</c:formatCode>
                <c:ptCount val="44"/>
                <c:pt idx="0">
                  <c:v>0</c:v>
                </c:pt>
              </c:numCache>
            </c:numRef>
          </c:xVal>
          <c:yVal>
            <c:numRef>
              <c:f>ControlChart!$CQ$2:$EH$2</c:f>
              <c:numCache>
                <c:formatCode>General</c:formatCode>
                <c:ptCount val="44"/>
                <c:pt idx="0">
                  <c:v>0</c:v>
                </c:pt>
              </c:numCache>
            </c:numRef>
          </c:yVal>
          <c:smooth val="0"/>
          <c:extLst>
            <c:ext xmlns:c16="http://schemas.microsoft.com/office/drawing/2014/chart" uri="{C3380CC4-5D6E-409C-BE32-E72D297353CC}">
              <c16:uniqueId val="{00000001-F241-4FC5-AA85-587322CB4393}"/>
            </c:ext>
          </c:extLst>
        </c:ser>
        <c:ser>
          <c:idx val="1"/>
          <c:order val="1"/>
          <c:tx>
            <c:v>FirstPart</c:v>
          </c:tx>
          <c:spPr>
            <a:ln w="190500" cap="rnd">
              <a:gradFill flip="none" rotWithShape="1">
                <a:gsLst>
                  <a:gs pos="0">
                    <a:srgbClr val="C00000"/>
                  </a:gs>
                  <a:gs pos="27000">
                    <a:srgbClr val="C00000"/>
                  </a:gs>
                  <a:gs pos="67000">
                    <a:schemeClr val="accent1">
                      <a:lumMod val="50000"/>
                    </a:schemeClr>
                  </a:gs>
                  <a:gs pos="100000">
                    <a:schemeClr val="accent1">
                      <a:lumMod val="50000"/>
                    </a:schemeClr>
                  </a:gs>
                </a:gsLst>
                <a:lin ang="0" scaled="1"/>
                <a:tileRect/>
              </a:gradFill>
              <a:round/>
            </a:ln>
            <a:effectLst/>
          </c:spPr>
          <c:marker>
            <c:symbol val="circle"/>
            <c:size val="5"/>
            <c:spPr>
              <a:noFill/>
              <a:ln w="9525">
                <a:noFill/>
              </a:ln>
              <a:effectLst/>
            </c:spPr>
          </c:marker>
          <c:xVal>
            <c:numRef>
              <c:f>ControlChart!$CQ$3:$CR$3</c:f>
              <c:numCache>
                <c:formatCode>General</c:formatCode>
                <c:ptCount val="2"/>
                <c:pt idx="0">
                  <c:v>0</c:v>
                </c:pt>
                <c:pt idx="1">
                  <c:v>0.33333333333333331</c:v>
                </c:pt>
              </c:numCache>
            </c:numRef>
          </c:xVal>
          <c:yVal>
            <c:numRef>
              <c:f>ControlChart!$CQ$4:$CR$4</c:f>
              <c:numCache>
                <c:formatCode>General</c:formatCode>
                <c:ptCount val="2"/>
                <c:pt idx="0">
                  <c:v>1</c:v>
                </c:pt>
                <c:pt idx="1">
                  <c:v>1</c:v>
                </c:pt>
              </c:numCache>
            </c:numRef>
          </c:yVal>
          <c:smooth val="0"/>
          <c:extLst>
            <c:ext xmlns:c16="http://schemas.microsoft.com/office/drawing/2014/chart" uri="{C3380CC4-5D6E-409C-BE32-E72D297353CC}">
              <c16:uniqueId val="{00000002-F241-4FC5-AA85-587322CB4393}"/>
            </c:ext>
          </c:extLst>
        </c:ser>
        <c:ser>
          <c:idx val="2"/>
          <c:order val="2"/>
          <c:tx>
            <c:v>2parts</c:v>
          </c:tx>
          <c:spPr>
            <a:ln w="190500" cap="rnd">
              <a:gradFill>
                <a:gsLst>
                  <a:gs pos="19000">
                    <a:schemeClr val="accent1">
                      <a:lumMod val="50000"/>
                    </a:schemeClr>
                  </a:gs>
                  <a:gs pos="64000">
                    <a:schemeClr val="accent1">
                      <a:lumMod val="50000"/>
                    </a:schemeClr>
                  </a:gs>
                </a:gsLst>
                <a:lin ang="5400000" scaled="1"/>
              </a:gradFill>
              <a:round/>
            </a:ln>
            <a:effectLst/>
          </c:spPr>
          <c:marker>
            <c:symbol val="circle"/>
            <c:size val="5"/>
            <c:spPr>
              <a:noFill/>
              <a:ln w="9525">
                <a:noFill/>
              </a:ln>
              <a:effectLst/>
            </c:spPr>
          </c:marker>
          <c:errBars>
            <c:errDir val="y"/>
            <c:errBarType val="both"/>
            <c:errValType val="fixedVal"/>
            <c:noEndCap val="1"/>
            <c:val val="0.70000000000000007"/>
            <c:spPr>
              <a:noFill/>
              <a:ln w="9525" cap="flat" cmpd="sng" algn="ctr">
                <a:solidFill>
                  <a:srgbClr val="FF0000">
                    <a:alpha val="56000"/>
                  </a:srgbClr>
                </a:solidFill>
                <a:prstDash val="lgDash"/>
                <a:round/>
              </a:ln>
              <a:effectLst/>
            </c:spPr>
          </c:errBars>
          <c:xVal>
            <c:numRef>
              <c:f>ControlChart!$CR$3:$CS$3</c:f>
              <c:numCache>
                <c:formatCode>General</c:formatCode>
                <c:ptCount val="2"/>
                <c:pt idx="0">
                  <c:v>0.33333333333333331</c:v>
                </c:pt>
                <c:pt idx="1">
                  <c:v>0.66666666666666663</c:v>
                </c:pt>
              </c:numCache>
            </c:numRef>
          </c:xVal>
          <c:yVal>
            <c:numRef>
              <c:f>ControlChart!$CR$4:$CS$4</c:f>
              <c:numCache>
                <c:formatCode>General</c:formatCode>
                <c:ptCount val="2"/>
                <c:pt idx="0">
                  <c:v>1</c:v>
                </c:pt>
                <c:pt idx="1">
                  <c:v>1</c:v>
                </c:pt>
              </c:numCache>
            </c:numRef>
          </c:yVal>
          <c:smooth val="0"/>
          <c:extLst>
            <c:ext xmlns:c16="http://schemas.microsoft.com/office/drawing/2014/chart" uri="{C3380CC4-5D6E-409C-BE32-E72D297353CC}">
              <c16:uniqueId val="{00000003-F241-4FC5-AA85-587322CB4393}"/>
            </c:ext>
          </c:extLst>
        </c:ser>
        <c:ser>
          <c:idx val="3"/>
          <c:order val="3"/>
          <c:tx>
            <c:v>3Parts</c:v>
          </c:tx>
          <c:spPr>
            <a:ln w="190500" cap="rnd">
              <a:gradFill flip="none" rotWithShape="1">
                <a:gsLst>
                  <a:gs pos="14000">
                    <a:schemeClr val="accent1">
                      <a:lumMod val="51000"/>
                    </a:schemeClr>
                  </a:gs>
                  <a:gs pos="100000">
                    <a:schemeClr val="accent1">
                      <a:lumMod val="33000"/>
                      <a:lumOff val="67000"/>
                    </a:schemeClr>
                  </a:gs>
                </a:gsLst>
                <a:lin ang="0" scaled="1"/>
                <a:tileRect/>
              </a:gradFill>
              <a:round/>
            </a:ln>
            <a:effectLst/>
          </c:spPr>
          <c:marker>
            <c:symbol val="circle"/>
            <c:size val="5"/>
            <c:spPr>
              <a:noFill/>
              <a:ln w="9525">
                <a:noFill/>
              </a:ln>
              <a:effectLst/>
            </c:spPr>
          </c:marker>
          <c:errBars>
            <c:errDir val="y"/>
            <c:errBarType val="both"/>
            <c:errValType val="fixedVal"/>
            <c:noEndCap val="1"/>
            <c:val val="0.70000000000000007"/>
            <c:spPr>
              <a:noFill/>
              <a:ln w="9525" cap="flat" cmpd="sng" algn="ctr">
                <a:solidFill>
                  <a:schemeClr val="tx1">
                    <a:lumMod val="65000"/>
                    <a:lumOff val="35000"/>
                  </a:schemeClr>
                </a:solidFill>
                <a:round/>
              </a:ln>
              <a:effectLst/>
            </c:spPr>
          </c:errBars>
          <c:xVal>
            <c:numRef>
              <c:f>ControlChart!$CS$3:$CT$3</c:f>
              <c:numCache>
                <c:formatCode>General</c:formatCode>
                <c:ptCount val="2"/>
                <c:pt idx="0">
                  <c:v>0.66666666666666663</c:v>
                </c:pt>
                <c:pt idx="1">
                  <c:v>1</c:v>
                </c:pt>
              </c:numCache>
            </c:numRef>
          </c:xVal>
          <c:yVal>
            <c:numRef>
              <c:f>ControlChart!$CS$4:$CT$4</c:f>
              <c:numCache>
                <c:formatCode>General</c:formatCode>
                <c:ptCount val="2"/>
                <c:pt idx="0">
                  <c:v>1</c:v>
                </c:pt>
                <c:pt idx="1">
                  <c:v>1</c:v>
                </c:pt>
              </c:numCache>
            </c:numRef>
          </c:yVal>
          <c:smooth val="0"/>
          <c:extLst>
            <c:ext xmlns:c16="http://schemas.microsoft.com/office/drawing/2014/chart" uri="{C3380CC4-5D6E-409C-BE32-E72D297353CC}">
              <c16:uniqueId val="{00000004-F241-4FC5-AA85-587322CB4393}"/>
            </c:ext>
          </c:extLst>
        </c:ser>
        <c:dLbls>
          <c:showLegendKey val="0"/>
          <c:showVal val="0"/>
          <c:showCatName val="0"/>
          <c:showSerName val="0"/>
          <c:showPercent val="0"/>
          <c:showBubbleSize val="0"/>
        </c:dLbls>
        <c:axId val="1128630591"/>
        <c:axId val="1128628671"/>
      </c:scatterChart>
      <c:scatterChart>
        <c:scatterStyle val="smoothMarker"/>
        <c:varyColors val="0"/>
        <c:ser>
          <c:idx val="4"/>
          <c:order val="4"/>
          <c:tx>
            <c:strRef>
              <c:f>ControlChart!$CP$6</c:f>
              <c:strCache>
                <c:ptCount val="1"/>
                <c:pt idx="0">
                  <c:v>Cursor</c:v>
                </c:pt>
              </c:strCache>
            </c:strRef>
          </c:tx>
          <c:spPr>
            <a:ln w="47625" cap="rnd">
              <a:solidFill>
                <a:schemeClr val="tx1">
                  <a:lumMod val="95000"/>
                  <a:lumOff val="5000"/>
                </a:schemeClr>
              </a:solidFill>
              <a:round/>
            </a:ln>
            <a:effectLst>
              <a:outerShdw blurRad="50800" dist="76200" dir="2700000" sx="130000" sy="130000" algn="tl" rotWithShape="0">
                <a:prstClr val="black">
                  <a:alpha val="59000"/>
                </a:prstClr>
              </a:outerShdw>
            </a:effectLst>
          </c:spPr>
          <c:marker>
            <c:symbol val="circle"/>
            <c:size val="5"/>
            <c:spPr>
              <a:noFill/>
              <a:ln w="9525">
                <a:noFill/>
              </a:ln>
              <a:effectLst>
                <a:outerShdw blurRad="50800" dist="76200" dir="2700000" sx="130000" sy="130000" algn="tl" rotWithShape="0">
                  <a:prstClr val="black">
                    <a:alpha val="59000"/>
                  </a:prstClr>
                </a:outerShdw>
              </a:effectLst>
            </c:spPr>
          </c:marker>
          <c:dPt>
            <c:idx val="0"/>
            <c:marker>
              <c:symbol val="none"/>
            </c:marker>
            <c:bubble3D val="0"/>
            <c:extLst>
              <c:ext xmlns:c16="http://schemas.microsoft.com/office/drawing/2014/chart" uri="{C3380CC4-5D6E-409C-BE32-E72D297353CC}">
                <c16:uniqueId val="{00000005-F241-4FC5-AA85-587322CB4393}"/>
              </c:ext>
            </c:extLst>
          </c:dPt>
          <c:dPt>
            <c:idx val="1"/>
            <c:marker>
              <c:symbol val="none"/>
            </c:marker>
            <c:bubble3D val="0"/>
            <c:spPr>
              <a:ln w="47625" cap="rnd">
                <a:solidFill>
                  <a:schemeClr val="bg1"/>
                </a:solidFill>
                <a:round/>
              </a:ln>
              <a:effectLst>
                <a:outerShdw blurRad="50800" dist="76200" dir="2700000" sx="130000" sy="130000" algn="tl" rotWithShape="0">
                  <a:prstClr val="black">
                    <a:alpha val="59000"/>
                  </a:prstClr>
                </a:outerShdw>
              </a:effectLst>
            </c:spPr>
            <c:extLst>
              <c:ext xmlns:c16="http://schemas.microsoft.com/office/drawing/2014/chart" uri="{C3380CC4-5D6E-409C-BE32-E72D297353CC}">
                <c16:uniqueId val="{00000006-F241-4FC5-AA85-587322CB4393}"/>
              </c:ext>
            </c:extLst>
          </c:dPt>
          <c:dLbls>
            <c:dLbl>
              <c:idx val="0"/>
              <c:layout>
                <c:manualLayout>
                  <c:x val="-4.6121999346302435E-2"/>
                  <c:y val="0.21591513740179513"/>
                </c:manualLayout>
              </c:layout>
              <c:tx>
                <c:rich>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Aptos Narrow" panose="020B0004020202020204" pitchFamily="34" charset="0"/>
                        <a:ea typeface="+mn-ea"/>
                        <a:cs typeface="+mn-cs"/>
                      </a:defRPr>
                    </a:pPr>
                    <a:fld id="{53CFA5A1-83C5-4A3D-838A-87478A73D76A}" type="CELLRANGE">
                      <a:rPr lang="en-US" sz="1200">
                        <a:solidFill>
                          <a:schemeClr val="bg1"/>
                        </a:solidFill>
                        <a:latin typeface="Aptos Narrow" panose="020B0004020202020204" pitchFamily="34" charset="0"/>
                      </a:rPr>
                      <a:pPr>
                        <a:defRPr sz="1200">
                          <a:solidFill>
                            <a:schemeClr val="bg1"/>
                          </a:solidFill>
                          <a:latin typeface="Aptos Narrow" panose="020B0004020202020204" pitchFamily="34" charset="0"/>
                        </a:defRPr>
                      </a:pPr>
                      <a:t>[CELLRANGE]</a:t>
                    </a:fld>
                    <a:endParaRPr lang="en-CA"/>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Aptos Narrow" panose="020B0004020202020204" pitchFamily="34" charset="0"/>
                      <a:ea typeface="+mn-ea"/>
                      <a:cs typeface="+mn-cs"/>
                    </a:defRPr>
                  </a:pPr>
                  <a:endParaRPr lang="en-CA"/>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241-4FC5-AA85-587322CB4393}"/>
                </c:ext>
              </c:extLst>
            </c:dLbl>
            <c:dLbl>
              <c:idx val="1"/>
              <c:delete val="1"/>
              <c:extLst>
                <c:ext xmlns:c15="http://schemas.microsoft.com/office/drawing/2012/chart" uri="{CE6537A1-D6FC-4f65-9D91-7224C49458BB}"/>
                <c:ext xmlns:c16="http://schemas.microsoft.com/office/drawing/2014/chart" uri="{C3380CC4-5D6E-409C-BE32-E72D297353CC}">
                  <c16:uniqueId val="{00000006-F241-4FC5-AA85-587322CB439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ControlChart!$CQ$6:$CR$6</c:f>
              <c:numCache>
                <c:formatCode>General</c:formatCode>
                <c:ptCount val="2"/>
                <c:pt idx="0">
                  <c:v>0</c:v>
                </c:pt>
                <c:pt idx="1">
                  <c:v>0</c:v>
                </c:pt>
              </c:numCache>
            </c:numRef>
          </c:xVal>
          <c:yVal>
            <c:numRef>
              <c:f>ControlChart!$CQ$5:$CR$5</c:f>
              <c:numCache>
                <c:formatCode>General</c:formatCode>
                <c:ptCount val="2"/>
                <c:pt idx="0">
                  <c:v>0.85</c:v>
                </c:pt>
                <c:pt idx="1">
                  <c:v>1.1499999999999999</c:v>
                </c:pt>
              </c:numCache>
            </c:numRef>
          </c:yVal>
          <c:smooth val="1"/>
          <c:extLst>
            <c:ext xmlns:c15="http://schemas.microsoft.com/office/drawing/2012/chart" uri="{02D57815-91ED-43cb-92C2-25804820EDAC}">
              <c15:datalabelsRange>
                <c15:f>ControlChart!$CO$4</c15:f>
                <c15:dlblRangeCache>
                  <c:ptCount val="1"/>
                  <c:pt idx="0">
                    <c:v> 0.00 $</c:v>
                  </c:pt>
                </c15:dlblRangeCache>
              </c15:datalabelsRange>
            </c:ext>
            <c:ext xmlns:c16="http://schemas.microsoft.com/office/drawing/2014/chart" uri="{C3380CC4-5D6E-409C-BE32-E72D297353CC}">
              <c16:uniqueId val="{00000007-F241-4FC5-AA85-587322CB4393}"/>
            </c:ext>
          </c:extLst>
        </c:ser>
        <c:ser>
          <c:idx val="5"/>
          <c:order val="5"/>
          <c:tx>
            <c:v>zero</c:v>
          </c:tx>
          <c:spPr>
            <a:ln w="19050" cap="rnd">
              <a:solidFill>
                <a:schemeClr val="accent6"/>
              </a:solidFill>
              <a:round/>
            </a:ln>
            <a:effectLst/>
          </c:spPr>
          <c:marker>
            <c:symbol val="circle"/>
            <c:size val="5"/>
            <c:spPr>
              <a:noFill/>
              <a:ln w="9525">
                <a:noFill/>
              </a:ln>
              <a:effectLst/>
            </c:spPr>
          </c:marker>
          <c:errBars>
            <c:errDir val="y"/>
            <c:errBarType val="both"/>
            <c:errValType val="fixedVal"/>
            <c:noEndCap val="1"/>
            <c:val val="0.8"/>
            <c:spPr>
              <a:noFill/>
              <a:ln w="9525" cap="flat" cmpd="sng" algn="ctr">
                <a:solidFill>
                  <a:srgbClr val="FF0000">
                    <a:alpha val="44000"/>
                  </a:srgbClr>
                </a:solidFill>
                <a:round/>
              </a:ln>
              <a:effectLst/>
            </c:spPr>
          </c:errBars>
          <c:errBars>
            <c:errDir val="x"/>
            <c:errBarType val="plus"/>
            <c:errValType val="fixedVal"/>
            <c:noEndCap val="1"/>
            <c:val val="1"/>
            <c:spPr>
              <a:noFill/>
              <a:ln w="9525" cap="flat" cmpd="sng" algn="ctr">
                <a:solidFill>
                  <a:schemeClr val="tx1">
                    <a:lumMod val="85000"/>
                    <a:lumOff val="15000"/>
                    <a:alpha val="30000"/>
                  </a:schemeClr>
                </a:solidFill>
                <a:round/>
              </a:ln>
              <a:effectLst/>
            </c:spPr>
          </c:errBars>
          <c:xVal>
            <c:numRef>
              <c:f>ControlChart!$CS$6</c:f>
              <c:numCache>
                <c:formatCode>General</c:formatCode>
                <c:ptCount val="1"/>
                <c:pt idx="0">
                  <c:v>0</c:v>
                </c:pt>
              </c:numCache>
            </c:numRef>
          </c:xVal>
          <c:yVal>
            <c:numRef>
              <c:f>ControlChart!$CS$5</c:f>
              <c:numCache>
                <c:formatCode>General</c:formatCode>
                <c:ptCount val="1"/>
                <c:pt idx="0">
                  <c:v>1</c:v>
                </c:pt>
              </c:numCache>
            </c:numRef>
          </c:yVal>
          <c:smooth val="1"/>
          <c:extLst>
            <c:ext xmlns:c16="http://schemas.microsoft.com/office/drawing/2014/chart" uri="{C3380CC4-5D6E-409C-BE32-E72D297353CC}">
              <c16:uniqueId val="{00000008-F241-4FC5-AA85-587322CB4393}"/>
            </c:ext>
          </c:extLst>
        </c:ser>
        <c:ser>
          <c:idx val="6"/>
          <c:order val="6"/>
          <c:tx>
            <c:v>Excedent</c:v>
          </c:tx>
          <c:spPr>
            <a:ln w="19050" cap="rnd">
              <a:solidFill>
                <a:schemeClr val="accent1">
                  <a:lumMod val="60000"/>
                </a:schemeClr>
              </a:solidFill>
              <a:round/>
            </a:ln>
            <a:effectLst/>
          </c:spPr>
          <c:marker>
            <c:symbol val="diamond"/>
            <c:size val="5"/>
            <c:spPr>
              <a:gradFill>
                <a:gsLst>
                  <a:gs pos="31000">
                    <a:srgbClr val="701C32"/>
                  </a:gs>
                  <a:gs pos="98000">
                    <a:schemeClr val="accent1">
                      <a:lumMod val="50000"/>
                    </a:schemeClr>
                  </a:gs>
                </a:gsLst>
                <a:lin ang="0" scaled="1"/>
              </a:gradFill>
              <a:ln w="111125" cap="rnd">
                <a:gradFill flip="none" rotWithShape="1">
                  <a:gsLst>
                    <a:gs pos="0">
                      <a:schemeClr val="accent1">
                        <a:lumMod val="75000"/>
                        <a:lumOff val="25000"/>
                      </a:schemeClr>
                    </a:gs>
                    <a:gs pos="81000">
                      <a:schemeClr val="accent1">
                        <a:lumMod val="75000"/>
                      </a:schemeClr>
                    </a:gs>
                  </a:gsLst>
                  <a:lin ang="0" scaled="1"/>
                  <a:tileRect/>
                </a:gradFill>
                <a:headEnd type="triangle"/>
                <a:tailEnd type="triangle" w="lg" len="med"/>
              </a:ln>
              <a:effectLst/>
            </c:spPr>
          </c:marker>
          <c:dLbls>
            <c:dLbl>
              <c:idx val="0"/>
              <c:layout>
                <c:manualLayout>
                  <c:x val="3.2456221762212779E-2"/>
                  <c:y val="-2.3342177016410341E-2"/>
                </c:manualLayout>
              </c:layout>
              <c:tx>
                <c:rich>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Aptos Narrow" panose="020B0004020202020204" pitchFamily="34" charset="0"/>
                        <a:ea typeface="+mn-ea"/>
                        <a:cs typeface="+mn-cs"/>
                      </a:defRPr>
                    </a:pPr>
                    <a:fld id="{3B1F78ED-D035-4797-B0E8-D8513C5687CB}" type="CELLRANGE">
                      <a:rPr lang="en-US" sz="1200">
                        <a:solidFill>
                          <a:schemeClr val="bg1"/>
                        </a:solidFill>
                        <a:latin typeface="Aptos Narrow" panose="020B0004020202020204" pitchFamily="34" charset="0"/>
                      </a:rPr>
                      <a:pPr>
                        <a:defRPr sz="1200">
                          <a:solidFill>
                            <a:schemeClr val="bg1"/>
                          </a:solidFill>
                          <a:latin typeface="Aptos Narrow" panose="020B0004020202020204" pitchFamily="34" charset="0"/>
                        </a:defRPr>
                      </a:pPr>
                      <a:t>[CELLRANGE]</a:t>
                    </a:fld>
                    <a:endParaRPr lang="en-CA"/>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Aptos Narrow" panose="020B0004020202020204" pitchFamily="34" charset="0"/>
                      <a:ea typeface="+mn-ea"/>
                      <a:cs typeface="+mn-cs"/>
                    </a:defRPr>
                  </a:pPr>
                  <a:endParaRPr lang="en-CA"/>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96E9-4C6F-8EB0-FB8FE8F8F91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ptos Narrow" panose="020B0004020202020204" pitchFamily="34" charset="0"/>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ControlChart!$CT$5</c:f>
              <c:numCache>
                <c:formatCode>General</c:formatCode>
                <c:ptCount val="1"/>
                <c:pt idx="0">
                  <c:v>#N/A</c:v>
                </c:pt>
              </c:numCache>
            </c:numRef>
          </c:xVal>
          <c:yVal>
            <c:numRef>
              <c:f>ControlChart!$CT$6</c:f>
              <c:numCache>
                <c:formatCode>General</c:formatCode>
                <c:ptCount val="1"/>
                <c:pt idx="0">
                  <c:v>0</c:v>
                </c:pt>
              </c:numCache>
            </c:numRef>
          </c:yVal>
          <c:smooth val="1"/>
          <c:extLst>
            <c:ext xmlns:c15="http://schemas.microsoft.com/office/drawing/2012/chart" uri="{02D57815-91ED-43cb-92C2-25804820EDAC}">
              <c15:datalabelsRange>
                <c15:f>ControlChart!$CO$4</c15:f>
                <c15:dlblRangeCache>
                  <c:ptCount val="1"/>
                  <c:pt idx="0">
                    <c:v> 0.00 $</c:v>
                  </c:pt>
                </c15:dlblRangeCache>
              </c15:datalabelsRange>
            </c:ext>
            <c:ext xmlns:c16="http://schemas.microsoft.com/office/drawing/2014/chart" uri="{C3380CC4-5D6E-409C-BE32-E72D297353CC}">
              <c16:uniqueId val="{00000009-F241-4FC5-AA85-587322CB4393}"/>
            </c:ext>
          </c:extLst>
        </c:ser>
        <c:dLbls>
          <c:showLegendKey val="0"/>
          <c:showVal val="0"/>
          <c:showCatName val="0"/>
          <c:showSerName val="0"/>
          <c:showPercent val="0"/>
          <c:showBubbleSize val="0"/>
        </c:dLbls>
        <c:axId val="1128630591"/>
        <c:axId val="1128628671"/>
      </c:scatterChart>
      <c:valAx>
        <c:axId val="1128630591"/>
        <c:scaling>
          <c:orientation val="minMax"/>
          <c:min val="-0.2"/>
        </c:scaling>
        <c:delete val="1"/>
        <c:axPos val="b"/>
        <c:numFmt formatCode="General" sourceLinked="1"/>
        <c:majorTickMark val="out"/>
        <c:minorTickMark val="none"/>
        <c:tickLblPos val="nextTo"/>
        <c:crossAx val="1128628671"/>
        <c:crosses val="autoZero"/>
        <c:crossBetween val="midCat"/>
      </c:valAx>
      <c:valAx>
        <c:axId val="1128628671"/>
        <c:scaling>
          <c:orientation val="minMax"/>
          <c:max val="2"/>
          <c:min val="0"/>
        </c:scaling>
        <c:delete val="1"/>
        <c:axPos val="l"/>
        <c:numFmt formatCode="General" sourceLinked="1"/>
        <c:majorTickMark val="out"/>
        <c:minorTickMark val="none"/>
        <c:tickLblPos val="nextTo"/>
        <c:crossAx val="11286305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624777073703278E-2"/>
          <c:y val="2.1829132886138115E-2"/>
          <c:w val="0.78248909553325374"/>
          <c:h val="0.97817086711386192"/>
        </c:manualLayout>
      </c:layout>
      <c:doughnutChart>
        <c:varyColors val="1"/>
        <c:ser>
          <c:idx val="0"/>
          <c:order val="0"/>
          <c:spPr>
            <a:gradFill>
              <a:gsLst>
                <a:gs pos="0">
                  <a:srgbClr val="02E8D2"/>
                </a:gs>
                <a:gs pos="100000">
                  <a:srgbClr val="000000"/>
                </a:gs>
                <a:gs pos="100000">
                  <a:srgbClr val="02E8D2"/>
                </a:gs>
              </a:gsLst>
              <a:lin ang="2700000" scaled="0"/>
            </a:gradFill>
            <a:ln>
              <a:noFill/>
            </a:ln>
          </c:spPr>
          <c:dPt>
            <c:idx val="0"/>
            <c:bubble3D val="0"/>
            <c:spPr>
              <a:gradFill>
                <a:gsLst>
                  <a:gs pos="0">
                    <a:srgbClr val="02E8D2">
                      <a:alpha val="30000"/>
                    </a:srgbClr>
                  </a:gs>
                  <a:gs pos="70000">
                    <a:srgbClr val="02E8D2"/>
                  </a:gs>
                </a:gsLst>
                <a:lin ang="2700000" scaled="0"/>
              </a:gradFill>
              <a:ln w="19050">
                <a:noFill/>
              </a:ln>
              <a:effectLst/>
            </c:spPr>
            <c:extLst>
              <c:ext xmlns:c16="http://schemas.microsoft.com/office/drawing/2014/chart" uri="{C3380CC4-5D6E-409C-BE32-E72D297353CC}">
                <c16:uniqueId val="{00000001-AF62-4D1B-9A69-7E4D630BD8CA}"/>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AF62-4D1B-9A69-7E4D630BD8CA}"/>
              </c:ext>
            </c:extLst>
          </c:dPt>
          <c:val>
            <c:numRef>
              <c:f>ControlChart!$BX$2:$BY$2</c:f>
              <c:numCache>
                <c:formatCode>0.00%</c:formatCode>
                <c:ptCount val="2"/>
                <c:pt idx="0">
                  <c:v>1</c:v>
                </c:pt>
                <c:pt idx="1">
                  <c:v>0</c:v>
                </c:pt>
              </c:numCache>
            </c:numRef>
          </c:val>
          <c:extLst>
            <c:ext xmlns:c16="http://schemas.microsoft.com/office/drawing/2014/chart" uri="{C3380CC4-5D6E-409C-BE32-E72D297353CC}">
              <c16:uniqueId val="{00000004-AF62-4D1B-9A69-7E4D630BD8CA}"/>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19050" cap="rnd">
              <a:noFill/>
              <a:round/>
            </a:ln>
            <a:effectLst>
              <a:glow rad="165100">
                <a:srgbClr val="02E8D2">
                  <a:alpha val="51000"/>
                </a:srgbClr>
              </a:glow>
            </a:effectLst>
          </c:spPr>
          <c:marker>
            <c:symbol val="circle"/>
            <c:size val="4"/>
            <c:spPr>
              <a:solidFill>
                <a:schemeClr val="bg1"/>
              </a:solidFill>
              <a:ln w="9525">
                <a:noFill/>
              </a:ln>
              <a:effectLst>
                <a:glow rad="165100">
                  <a:srgbClr val="02E8D2">
                    <a:alpha val="51000"/>
                  </a:srgbClr>
                </a:glow>
              </a:effectLst>
            </c:spPr>
          </c:marker>
          <c:xVal>
            <c:numRef>
              <c:f>ControlChart!$CB$2</c:f>
              <c:numCache>
                <c:formatCode>General</c:formatCode>
                <c:ptCount val="1"/>
                <c:pt idx="0">
                  <c:v>0.49999999999999928</c:v>
                </c:pt>
              </c:numCache>
            </c:numRef>
          </c:xVal>
          <c:yVal>
            <c:numRef>
              <c:f>ControlChart!$CC$2</c:f>
              <c:numCache>
                <c:formatCode>General</c:formatCode>
                <c:ptCount val="1"/>
                <c:pt idx="0">
                  <c:v>0.86602540378443904</c:v>
                </c:pt>
              </c:numCache>
            </c:numRef>
          </c:yVal>
          <c:smooth val="0"/>
          <c:extLst>
            <c:ext xmlns:c16="http://schemas.microsoft.com/office/drawing/2014/chart" uri="{C3380CC4-5D6E-409C-BE32-E72D297353CC}">
              <c16:uniqueId val="{00000005-AF62-4D1B-9A69-7E4D630BD8CA}"/>
            </c:ext>
          </c:extLst>
        </c:ser>
        <c:dLbls>
          <c:showLegendKey val="0"/>
          <c:showVal val="0"/>
          <c:showCatName val="0"/>
          <c:showSerName val="0"/>
          <c:showPercent val="0"/>
          <c:showBubbleSize val="0"/>
        </c:dLbls>
        <c:axId val="764233920"/>
        <c:axId val="764213760"/>
      </c:scatterChart>
      <c:valAx>
        <c:axId val="764213760"/>
        <c:scaling>
          <c:orientation val="minMax"/>
          <c:max val="1.05"/>
          <c:min val="-1.05"/>
        </c:scaling>
        <c:delete val="1"/>
        <c:axPos val="l"/>
        <c:numFmt formatCode="General" sourceLinked="1"/>
        <c:majorTickMark val="out"/>
        <c:minorTickMark val="none"/>
        <c:tickLblPos val="nextTo"/>
        <c:crossAx val="764233920"/>
        <c:crosses val="autoZero"/>
        <c:crossBetween val="midCat"/>
      </c:valAx>
      <c:valAx>
        <c:axId val="764233920"/>
        <c:scaling>
          <c:orientation val="minMax"/>
          <c:max val="1.05"/>
          <c:min val="-1.05"/>
        </c:scaling>
        <c:delete val="1"/>
        <c:axPos val="b"/>
        <c:numFmt formatCode="General" sourceLinked="1"/>
        <c:majorTickMark val="out"/>
        <c:minorTickMark val="none"/>
        <c:tickLblPos val="nextTo"/>
        <c:crossAx val="764213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22504622980455"/>
          <c:y val="9.4860968485283997E-2"/>
          <c:w val="0.65185095113329938"/>
          <c:h val="0.72398058986361435"/>
        </c:manualLayout>
      </c:layout>
      <c:doughnutChart>
        <c:varyColors val="1"/>
        <c:ser>
          <c:idx val="0"/>
          <c:order val="0"/>
          <c:dPt>
            <c:idx val="0"/>
            <c:bubble3D val="0"/>
            <c:spPr>
              <a:gradFill>
                <a:gsLst>
                  <a:gs pos="0">
                    <a:srgbClr val="FA6148">
                      <a:alpha val="30000"/>
                    </a:srgbClr>
                  </a:gs>
                  <a:gs pos="70000">
                    <a:srgbClr val="FA6148"/>
                  </a:gs>
                </a:gsLst>
                <a:lin ang="2700000" scaled="0"/>
              </a:gradFill>
              <a:ln w="19050">
                <a:noFill/>
              </a:ln>
              <a:effectLst/>
            </c:spPr>
            <c:extLst>
              <c:ext xmlns:c16="http://schemas.microsoft.com/office/drawing/2014/chart" uri="{C3380CC4-5D6E-409C-BE32-E72D297353CC}">
                <c16:uniqueId val="{00000001-9CE5-4AD1-8EFA-112B382720FF}"/>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9CE5-4AD1-8EFA-112B382720FF}"/>
              </c:ext>
            </c:extLst>
          </c:dPt>
          <c:val>
            <c:numRef>
              <c:f>ControlChart!$BX$4:$BY$4</c:f>
              <c:numCache>
                <c:formatCode>0.00%</c:formatCode>
                <c:ptCount val="2"/>
                <c:pt idx="0">
                  <c:v>1</c:v>
                </c:pt>
                <c:pt idx="1">
                  <c:v>0</c:v>
                </c:pt>
              </c:numCache>
            </c:numRef>
          </c:val>
          <c:extLst>
            <c:ext xmlns:c16="http://schemas.microsoft.com/office/drawing/2014/chart" uri="{C3380CC4-5D6E-409C-BE32-E72D297353CC}">
              <c16:uniqueId val="{00000004-9CE5-4AD1-8EFA-112B382720FF}"/>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25400" cap="rnd">
              <a:noFill/>
              <a:round/>
            </a:ln>
            <a:effectLst>
              <a:glow rad="127000">
                <a:srgbClr val="FA6148"/>
              </a:glow>
            </a:effectLst>
          </c:spPr>
          <c:marker>
            <c:symbol val="circle"/>
            <c:size val="4"/>
            <c:spPr>
              <a:solidFill>
                <a:schemeClr val="bg1"/>
              </a:solidFill>
              <a:ln w="9525">
                <a:noFill/>
              </a:ln>
              <a:effectLst>
                <a:glow rad="127000">
                  <a:srgbClr val="FA6148"/>
                </a:glow>
              </a:effectLst>
            </c:spPr>
          </c:marker>
          <c:xVal>
            <c:numRef>
              <c:f>ControlChart!$CB$4</c:f>
              <c:numCache>
                <c:formatCode>General</c:formatCode>
                <c:ptCount val="1"/>
                <c:pt idx="0">
                  <c:v>0.49999999999999928</c:v>
                </c:pt>
              </c:numCache>
            </c:numRef>
          </c:xVal>
          <c:yVal>
            <c:numRef>
              <c:f>ControlChart!$CC$4</c:f>
              <c:numCache>
                <c:formatCode>General</c:formatCode>
                <c:ptCount val="1"/>
                <c:pt idx="0">
                  <c:v>0.86602540378443904</c:v>
                </c:pt>
              </c:numCache>
            </c:numRef>
          </c:yVal>
          <c:smooth val="0"/>
          <c:extLst>
            <c:ext xmlns:c16="http://schemas.microsoft.com/office/drawing/2014/chart" uri="{C3380CC4-5D6E-409C-BE32-E72D297353CC}">
              <c16:uniqueId val="{00000005-9CE5-4AD1-8EFA-112B382720FF}"/>
            </c:ext>
          </c:extLst>
        </c:ser>
        <c:dLbls>
          <c:showLegendKey val="0"/>
          <c:showVal val="0"/>
          <c:showCatName val="0"/>
          <c:showSerName val="0"/>
          <c:showPercent val="0"/>
          <c:showBubbleSize val="0"/>
        </c:dLbls>
        <c:axId val="764233920"/>
        <c:axId val="764213760"/>
      </c:scatterChart>
      <c:valAx>
        <c:axId val="764213760"/>
        <c:scaling>
          <c:orientation val="minMax"/>
          <c:max val="1.05"/>
          <c:min val="-1.05"/>
        </c:scaling>
        <c:delete val="1"/>
        <c:axPos val="l"/>
        <c:numFmt formatCode="General" sourceLinked="1"/>
        <c:majorTickMark val="out"/>
        <c:minorTickMark val="none"/>
        <c:tickLblPos val="nextTo"/>
        <c:crossAx val="764233920"/>
        <c:crosses val="autoZero"/>
        <c:crossBetween val="midCat"/>
      </c:valAx>
      <c:valAx>
        <c:axId val="764233920"/>
        <c:scaling>
          <c:orientation val="minMax"/>
          <c:max val="1.05"/>
          <c:min val="-1.05"/>
        </c:scaling>
        <c:delete val="1"/>
        <c:axPos val="b"/>
        <c:numFmt formatCode="General" sourceLinked="1"/>
        <c:majorTickMark val="out"/>
        <c:minorTickMark val="none"/>
        <c:tickLblPos val="nextTo"/>
        <c:crossAx val="764213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a:gsLst>
                  <a:gs pos="0">
                    <a:srgbClr val="00B0F0">
                      <a:alpha val="50000"/>
                    </a:srgbClr>
                  </a:gs>
                  <a:gs pos="70000">
                    <a:srgbClr val="00B0F0"/>
                  </a:gs>
                </a:gsLst>
                <a:lin ang="2700000" scaled="0"/>
              </a:gradFill>
              <a:ln w="19050">
                <a:noFill/>
              </a:ln>
              <a:effectLst/>
            </c:spPr>
            <c:extLst>
              <c:ext xmlns:c16="http://schemas.microsoft.com/office/drawing/2014/chart" uri="{C3380CC4-5D6E-409C-BE32-E72D297353CC}">
                <c16:uniqueId val="{00000001-0D98-4D25-A552-208FCE1AD845}"/>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0D98-4D25-A552-208FCE1AD845}"/>
              </c:ext>
            </c:extLst>
          </c:dPt>
          <c:val>
            <c:numRef>
              <c:f>ControlChart!$BX$7:$BY$7</c:f>
              <c:numCache>
                <c:formatCode>0.00%</c:formatCode>
                <c:ptCount val="2"/>
                <c:pt idx="0">
                  <c:v>1</c:v>
                </c:pt>
                <c:pt idx="1">
                  <c:v>0</c:v>
                </c:pt>
              </c:numCache>
            </c:numRef>
          </c:val>
          <c:extLst>
            <c:ext xmlns:c16="http://schemas.microsoft.com/office/drawing/2014/chart" uri="{C3380CC4-5D6E-409C-BE32-E72D297353CC}">
              <c16:uniqueId val="{00000004-0D98-4D25-A552-208FCE1AD845}"/>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25400" cap="rnd">
              <a:noFill/>
              <a:round/>
            </a:ln>
            <a:effectLst>
              <a:glow rad="127000">
                <a:srgbClr val="00B0F0"/>
              </a:glow>
            </a:effectLst>
          </c:spPr>
          <c:marker>
            <c:symbol val="circle"/>
            <c:size val="4"/>
            <c:spPr>
              <a:solidFill>
                <a:schemeClr val="bg1"/>
              </a:solidFill>
              <a:ln w="9525">
                <a:noFill/>
              </a:ln>
              <a:effectLst>
                <a:glow rad="127000">
                  <a:srgbClr val="00B0F0"/>
                </a:glow>
              </a:effectLst>
            </c:spPr>
          </c:marker>
          <c:xVal>
            <c:numRef>
              <c:f>ControlChart!$CB$7</c:f>
              <c:numCache>
                <c:formatCode>General</c:formatCode>
                <c:ptCount val="1"/>
                <c:pt idx="0">
                  <c:v>0.49999999999999928</c:v>
                </c:pt>
              </c:numCache>
            </c:numRef>
          </c:xVal>
          <c:yVal>
            <c:numRef>
              <c:f>ControlChart!$CC$7</c:f>
              <c:numCache>
                <c:formatCode>General</c:formatCode>
                <c:ptCount val="1"/>
                <c:pt idx="0">
                  <c:v>0.86602540378443904</c:v>
                </c:pt>
              </c:numCache>
            </c:numRef>
          </c:yVal>
          <c:smooth val="0"/>
          <c:extLst>
            <c:ext xmlns:c16="http://schemas.microsoft.com/office/drawing/2014/chart" uri="{C3380CC4-5D6E-409C-BE32-E72D297353CC}">
              <c16:uniqueId val="{00000005-0D98-4D25-A552-208FCE1AD845}"/>
            </c:ext>
          </c:extLst>
        </c:ser>
        <c:dLbls>
          <c:showLegendKey val="0"/>
          <c:showVal val="0"/>
          <c:showCatName val="0"/>
          <c:showSerName val="0"/>
          <c:showPercent val="0"/>
          <c:showBubbleSize val="0"/>
        </c:dLbls>
        <c:axId val="764233920"/>
        <c:axId val="764213760"/>
      </c:scatterChart>
      <c:valAx>
        <c:axId val="764213760"/>
        <c:scaling>
          <c:orientation val="minMax"/>
          <c:max val="1.05"/>
          <c:min val="-1.05"/>
        </c:scaling>
        <c:delete val="1"/>
        <c:axPos val="l"/>
        <c:numFmt formatCode="General" sourceLinked="1"/>
        <c:majorTickMark val="out"/>
        <c:minorTickMark val="none"/>
        <c:tickLblPos val="nextTo"/>
        <c:crossAx val="764233920"/>
        <c:crosses val="autoZero"/>
        <c:crossBetween val="midCat"/>
      </c:valAx>
      <c:valAx>
        <c:axId val="764233920"/>
        <c:scaling>
          <c:orientation val="minMax"/>
          <c:max val="1.05"/>
          <c:min val="-1.05"/>
        </c:scaling>
        <c:delete val="1"/>
        <c:axPos val="b"/>
        <c:numFmt formatCode="General" sourceLinked="1"/>
        <c:majorTickMark val="out"/>
        <c:minorTickMark val="none"/>
        <c:tickLblPos val="nextTo"/>
        <c:crossAx val="764213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691541878573768E-2"/>
          <c:y val="0"/>
          <c:w val="0.87011997985298939"/>
          <c:h val="1"/>
        </c:manualLayout>
      </c:layout>
      <c:doughnutChart>
        <c:varyColors val="1"/>
        <c:ser>
          <c:idx val="0"/>
          <c:order val="0"/>
          <c:spPr>
            <a:gradFill>
              <a:gsLst>
                <a:gs pos="0">
                  <a:srgbClr val="FFFF00">
                    <a:alpha val="30000"/>
                  </a:srgbClr>
                </a:gs>
                <a:gs pos="70000">
                  <a:srgbClr val="FFFF00"/>
                </a:gs>
              </a:gsLst>
              <a:lin ang="2700000" scaled="0"/>
            </a:gradFill>
            <a:ln>
              <a:noFill/>
            </a:ln>
          </c:spPr>
          <c:dPt>
            <c:idx val="0"/>
            <c:bubble3D val="0"/>
            <c:spPr>
              <a:gradFill>
                <a:gsLst>
                  <a:gs pos="0">
                    <a:srgbClr val="FFFF00">
                      <a:alpha val="30000"/>
                    </a:srgbClr>
                  </a:gs>
                  <a:gs pos="70000">
                    <a:srgbClr val="FFFF00"/>
                  </a:gs>
                </a:gsLst>
                <a:lin ang="2700000" scaled="0"/>
              </a:gradFill>
              <a:ln w="19050">
                <a:noFill/>
              </a:ln>
              <a:effectLst/>
            </c:spPr>
            <c:extLst>
              <c:ext xmlns:c16="http://schemas.microsoft.com/office/drawing/2014/chart" uri="{C3380CC4-5D6E-409C-BE32-E72D297353CC}">
                <c16:uniqueId val="{00000001-CAB4-4802-9C49-E76C280ED259}"/>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CAB4-4802-9C49-E76C280ED259}"/>
              </c:ext>
            </c:extLst>
          </c:dPt>
          <c:val>
            <c:numRef>
              <c:f>ControlChart!$BX$5:$BY$5</c:f>
              <c:numCache>
                <c:formatCode>0.00%</c:formatCode>
                <c:ptCount val="2"/>
                <c:pt idx="0">
                  <c:v>1</c:v>
                </c:pt>
                <c:pt idx="1">
                  <c:v>0</c:v>
                </c:pt>
              </c:numCache>
            </c:numRef>
          </c:val>
          <c:extLst>
            <c:ext xmlns:c16="http://schemas.microsoft.com/office/drawing/2014/chart" uri="{C3380CC4-5D6E-409C-BE32-E72D297353CC}">
              <c16:uniqueId val="{00000004-CAB4-4802-9C49-E76C280ED259}"/>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25400" cap="rnd">
              <a:noFill/>
              <a:round/>
            </a:ln>
            <a:effectLst>
              <a:glow rad="127000">
                <a:srgbClr val="FFFF00"/>
              </a:glow>
            </a:effectLst>
          </c:spPr>
          <c:marker>
            <c:symbol val="circle"/>
            <c:size val="5"/>
            <c:spPr>
              <a:solidFill>
                <a:schemeClr val="bg1"/>
              </a:solidFill>
              <a:ln w="9525">
                <a:noFill/>
              </a:ln>
              <a:effectLst>
                <a:glow rad="127000">
                  <a:srgbClr val="FFFF00"/>
                </a:glow>
              </a:effectLst>
            </c:spPr>
          </c:marker>
          <c:xVal>
            <c:numRef>
              <c:f>ControlChart!$CB$5</c:f>
              <c:numCache>
                <c:formatCode>General</c:formatCode>
                <c:ptCount val="1"/>
                <c:pt idx="0">
                  <c:v>0.49999999999999928</c:v>
                </c:pt>
              </c:numCache>
            </c:numRef>
          </c:xVal>
          <c:yVal>
            <c:numRef>
              <c:f>ControlChart!$CC$5</c:f>
              <c:numCache>
                <c:formatCode>General</c:formatCode>
                <c:ptCount val="1"/>
                <c:pt idx="0">
                  <c:v>0.86602540378443904</c:v>
                </c:pt>
              </c:numCache>
            </c:numRef>
          </c:yVal>
          <c:smooth val="0"/>
          <c:extLst>
            <c:ext xmlns:c16="http://schemas.microsoft.com/office/drawing/2014/chart" uri="{C3380CC4-5D6E-409C-BE32-E72D297353CC}">
              <c16:uniqueId val="{00000005-CAB4-4802-9C49-E76C280ED259}"/>
            </c:ext>
          </c:extLst>
        </c:ser>
        <c:dLbls>
          <c:showLegendKey val="0"/>
          <c:showVal val="0"/>
          <c:showCatName val="0"/>
          <c:showSerName val="0"/>
          <c:showPercent val="0"/>
          <c:showBubbleSize val="0"/>
        </c:dLbls>
        <c:axId val="764233920"/>
        <c:axId val="764213760"/>
      </c:scatterChart>
      <c:valAx>
        <c:axId val="764213760"/>
        <c:scaling>
          <c:orientation val="minMax"/>
          <c:max val="1.05"/>
          <c:min val="-1.05"/>
        </c:scaling>
        <c:delete val="1"/>
        <c:axPos val="l"/>
        <c:numFmt formatCode="General" sourceLinked="1"/>
        <c:majorTickMark val="out"/>
        <c:minorTickMark val="none"/>
        <c:tickLblPos val="nextTo"/>
        <c:crossAx val="764233920"/>
        <c:crosses val="autoZero"/>
        <c:crossBetween val="midCat"/>
      </c:valAx>
      <c:valAx>
        <c:axId val="764233920"/>
        <c:scaling>
          <c:orientation val="minMax"/>
          <c:max val="1.05"/>
          <c:min val="-1.05"/>
        </c:scaling>
        <c:delete val="1"/>
        <c:axPos val="b"/>
        <c:numFmt formatCode="General" sourceLinked="1"/>
        <c:majorTickMark val="out"/>
        <c:minorTickMark val="none"/>
        <c:tickLblPos val="nextTo"/>
        <c:crossAx val="764213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a:gsLst>
                <a:gs pos="0">
                  <a:srgbClr val="9EF193">
                    <a:alpha val="30000"/>
                  </a:srgbClr>
                </a:gs>
                <a:gs pos="70000">
                  <a:srgbClr val="9EF193"/>
                </a:gs>
              </a:gsLst>
              <a:lin ang="2700000" scaled="0"/>
            </a:gradFill>
            <a:ln>
              <a:noFill/>
            </a:ln>
          </c:spPr>
          <c:dPt>
            <c:idx val="0"/>
            <c:bubble3D val="0"/>
            <c:spPr>
              <a:gradFill>
                <a:gsLst>
                  <a:gs pos="0">
                    <a:srgbClr val="9EF193">
                      <a:alpha val="30000"/>
                    </a:srgbClr>
                  </a:gs>
                  <a:gs pos="70000">
                    <a:srgbClr val="9EF193"/>
                  </a:gs>
                </a:gsLst>
                <a:lin ang="2700000" scaled="0"/>
              </a:gradFill>
              <a:ln w="19050">
                <a:noFill/>
              </a:ln>
              <a:effectLst/>
            </c:spPr>
            <c:extLst>
              <c:ext xmlns:c16="http://schemas.microsoft.com/office/drawing/2014/chart" uri="{C3380CC4-5D6E-409C-BE32-E72D297353CC}">
                <c16:uniqueId val="{00000001-D69C-498B-A544-E45FB8E5CD70}"/>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D69C-498B-A544-E45FB8E5CD70}"/>
              </c:ext>
            </c:extLst>
          </c:dPt>
          <c:val>
            <c:numRef>
              <c:f>ControlChart!$BX$6:$BY$6</c:f>
              <c:numCache>
                <c:formatCode>0.00%</c:formatCode>
                <c:ptCount val="2"/>
                <c:pt idx="0">
                  <c:v>1</c:v>
                </c:pt>
                <c:pt idx="1">
                  <c:v>0</c:v>
                </c:pt>
              </c:numCache>
            </c:numRef>
          </c:val>
          <c:extLst>
            <c:ext xmlns:c16="http://schemas.microsoft.com/office/drawing/2014/chart" uri="{C3380CC4-5D6E-409C-BE32-E72D297353CC}">
              <c16:uniqueId val="{00000004-D69C-498B-A544-E45FB8E5CD70}"/>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25400" cap="rnd">
              <a:noFill/>
              <a:round/>
            </a:ln>
            <a:effectLst>
              <a:glow rad="127000">
                <a:srgbClr val="9EF193"/>
              </a:glow>
            </a:effectLst>
          </c:spPr>
          <c:marker>
            <c:symbol val="circle"/>
            <c:size val="4"/>
            <c:spPr>
              <a:solidFill>
                <a:schemeClr val="bg1"/>
              </a:solidFill>
              <a:ln w="9525">
                <a:noFill/>
              </a:ln>
              <a:effectLst>
                <a:glow rad="127000">
                  <a:srgbClr val="9EF193"/>
                </a:glow>
              </a:effectLst>
            </c:spPr>
          </c:marker>
          <c:xVal>
            <c:numRef>
              <c:f>ControlChart!$CB$6</c:f>
              <c:numCache>
                <c:formatCode>General</c:formatCode>
                <c:ptCount val="1"/>
                <c:pt idx="0">
                  <c:v>0.49999999999999928</c:v>
                </c:pt>
              </c:numCache>
            </c:numRef>
          </c:xVal>
          <c:yVal>
            <c:numRef>
              <c:f>ControlChart!$CC$6</c:f>
              <c:numCache>
                <c:formatCode>General</c:formatCode>
                <c:ptCount val="1"/>
                <c:pt idx="0">
                  <c:v>0.86602540378443904</c:v>
                </c:pt>
              </c:numCache>
            </c:numRef>
          </c:yVal>
          <c:smooth val="0"/>
          <c:extLst>
            <c:ext xmlns:c16="http://schemas.microsoft.com/office/drawing/2014/chart" uri="{C3380CC4-5D6E-409C-BE32-E72D297353CC}">
              <c16:uniqueId val="{00000005-D69C-498B-A544-E45FB8E5CD70}"/>
            </c:ext>
          </c:extLst>
        </c:ser>
        <c:dLbls>
          <c:showLegendKey val="0"/>
          <c:showVal val="0"/>
          <c:showCatName val="0"/>
          <c:showSerName val="0"/>
          <c:showPercent val="0"/>
          <c:showBubbleSize val="0"/>
        </c:dLbls>
        <c:axId val="764233920"/>
        <c:axId val="764213760"/>
      </c:scatterChart>
      <c:valAx>
        <c:axId val="764213760"/>
        <c:scaling>
          <c:orientation val="minMax"/>
          <c:max val="1.05"/>
          <c:min val="-1.05"/>
        </c:scaling>
        <c:delete val="1"/>
        <c:axPos val="l"/>
        <c:numFmt formatCode="General" sourceLinked="1"/>
        <c:majorTickMark val="out"/>
        <c:minorTickMark val="none"/>
        <c:tickLblPos val="nextTo"/>
        <c:crossAx val="764233920"/>
        <c:crosses val="autoZero"/>
        <c:crossBetween val="midCat"/>
      </c:valAx>
      <c:valAx>
        <c:axId val="764233920"/>
        <c:scaling>
          <c:orientation val="minMax"/>
          <c:max val="1.05"/>
          <c:min val="-1.05"/>
        </c:scaling>
        <c:delete val="1"/>
        <c:axPos val="b"/>
        <c:numFmt formatCode="General" sourceLinked="1"/>
        <c:majorTickMark val="out"/>
        <c:minorTickMark val="none"/>
        <c:tickLblPos val="nextTo"/>
        <c:crossAx val="764213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503596734797"/>
          <c:y val="0.14620008781924065"/>
          <c:w val="0.64075742590101814"/>
          <c:h val="0.67621227212101587"/>
        </c:manualLayout>
      </c:layout>
      <c:doughnutChart>
        <c:varyColors val="1"/>
        <c:ser>
          <c:idx val="0"/>
          <c:order val="0"/>
          <c:dPt>
            <c:idx val="0"/>
            <c:bubble3D val="0"/>
            <c:spPr>
              <a:gradFill>
                <a:gsLst>
                  <a:gs pos="0">
                    <a:srgbClr val="F9ADF5">
                      <a:alpha val="30000"/>
                    </a:srgbClr>
                  </a:gs>
                  <a:gs pos="70000">
                    <a:srgbClr val="F9ADF5"/>
                  </a:gs>
                </a:gsLst>
                <a:lin ang="2700000" scaled="0"/>
              </a:gradFill>
              <a:ln w="19050">
                <a:noFill/>
              </a:ln>
              <a:effectLst/>
            </c:spPr>
            <c:extLst>
              <c:ext xmlns:c16="http://schemas.microsoft.com/office/drawing/2014/chart" uri="{C3380CC4-5D6E-409C-BE32-E72D297353CC}">
                <c16:uniqueId val="{00000001-EF20-463A-B1D4-2356883366D9}"/>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EF20-463A-B1D4-2356883366D9}"/>
              </c:ext>
            </c:extLst>
          </c:dPt>
          <c:val>
            <c:numRef>
              <c:f>ControlChart!$BX$1:$BY$1</c:f>
              <c:numCache>
                <c:formatCode>0.00%</c:formatCode>
                <c:ptCount val="2"/>
                <c:pt idx="0">
                  <c:v>1</c:v>
                </c:pt>
                <c:pt idx="1">
                  <c:v>0</c:v>
                </c:pt>
              </c:numCache>
            </c:numRef>
          </c:val>
          <c:extLst>
            <c:ext xmlns:c16="http://schemas.microsoft.com/office/drawing/2014/chart" uri="{C3380CC4-5D6E-409C-BE32-E72D297353CC}">
              <c16:uniqueId val="{00000004-EF20-463A-B1D4-2356883366D9}"/>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c:v>
          </c:tx>
          <c:spPr>
            <a:ln w="25400" cap="rnd">
              <a:noFill/>
              <a:round/>
            </a:ln>
            <a:effectLst>
              <a:glow rad="127000">
                <a:srgbClr val="F9ADF5"/>
              </a:glow>
            </a:effectLst>
          </c:spPr>
          <c:marker>
            <c:symbol val="circle"/>
            <c:size val="4"/>
            <c:spPr>
              <a:solidFill>
                <a:schemeClr val="bg1"/>
              </a:solidFill>
              <a:ln w="9525">
                <a:noFill/>
              </a:ln>
              <a:effectLst>
                <a:glow rad="127000">
                  <a:srgbClr val="F9ADF5"/>
                </a:glow>
              </a:effectLst>
            </c:spPr>
          </c:marker>
          <c:xVal>
            <c:numRef>
              <c:f>ControlChart!$CB$1</c:f>
              <c:numCache>
                <c:formatCode>General</c:formatCode>
                <c:ptCount val="1"/>
                <c:pt idx="0">
                  <c:v>0.49999999999999928</c:v>
                </c:pt>
              </c:numCache>
            </c:numRef>
          </c:xVal>
          <c:yVal>
            <c:numRef>
              <c:f>ControlChart!$CC$1</c:f>
              <c:numCache>
                <c:formatCode>General</c:formatCode>
                <c:ptCount val="1"/>
                <c:pt idx="0">
                  <c:v>0.86602540378443904</c:v>
                </c:pt>
              </c:numCache>
            </c:numRef>
          </c:yVal>
          <c:smooth val="0"/>
          <c:extLst>
            <c:ext xmlns:c16="http://schemas.microsoft.com/office/drawing/2014/chart" uri="{C3380CC4-5D6E-409C-BE32-E72D297353CC}">
              <c16:uniqueId val="{00000005-EF20-463A-B1D4-2356883366D9}"/>
            </c:ext>
          </c:extLst>
        </c:ser>
        <c:dLbls>
          <c:showLegendKey val="0"/>
          <c:showVal val="0"/>
          <c:showCatName val="0"/>
          <c:showSerName val="0"/>
          <c:showPercent val="0"/>
          <c:showBubbleSize val="0"/>
        </c:dLbls>
        <c:axId val="764233920"/>
        <c:axId val="764213760"/>
      </c:scatterChart>
      <c:valAx>
        <c:axId val="764213760"/>
        <c:scaling>
          <c:orientation val="minMax"/>
          <c:max val="1.05"/>
          <c:min val="-1.05"/>
        </c:scaling>
        <c:delete val="1"/>
        <c:axPos val="l"/>
        <c:numFmt formatCode="General" sourceLinked="1"/>
        <c:majorTickMark val="out"/>
        <c:minorTickMark val="none"/>
        <c:tickLblPos val="nextTo"/>
        <c:crossAx val="764233920"/>
        <c:crosses val="autoZero"/>
        <c:crossBetween val="midCat"/>
      </c:valAx>
      <c:valAx>
        <c:axId val="764233920"/>
        <c:scaling>
          <c:orientation val="minMax"/>
          <c:max val="1.05"/>
          <c:min val="-1.05"/>
        </c:scaling>
        <c:delete val="1"/>
        <c:axPos val="b"/>
        <c:numFmt formatCode="General" sourceLinked="1"/>
        <c:majorTickMark val="out"/>
        <c:minorTickMark val="none"/>
        <c:tickLblPos val="nextTo"/>
        <c:crossAx val="764213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ControlChart!$CG$1</c:f>
          <c:strCache>
            <c:ptCount val="1"/>
            <c:pt idx="0">
              <c:v> 0.00 $</c:v>
            </c:pt>
          </c:strCache>
        </c:strRef>
      </c:tx>
      <c:overlay val="0"/>
      <c:spPr>
        <a:noFill/>
        <a:ln>
          <a:noFill/>
        </a:ln>
        <a:effectLst/>
      </c:spPr>
      <c:txPr>
        <a:bodyPr rot="0" spcFirstLastPara="1" vertOverflow="ellipsis" vert="horz" wrap="square" anchor="ctr" anchorCtr="1"/>
        <a:lstStyle/>
        <a:p>
          <a:pPr>
            <a:defRPr sz="1600" b="0" i="0" u="none" strike="noStrike" kern="1200" spc="0" baseline="0">
              <a:solidFill>
                <a:srgbClr val="FA6148"/>
              </a:solidFill>
              <a:latin typeface="Aptos Narrow" panose="020B0004020202020204" pitchFamily="34" charset="0"/>
              <a:ea typeface="+mn-ea"/>
              <a:cs typeface="Arial" panose="020B0604020202020204" pitchFamily="34" charset="0"/>
            </a:defRPr>
          </a:pPr>
          <a:endParaRPr lang="fr-FR"/>
        </a:p>
      </c:txPr>
    </c:title>
    <c:autoTitleDeleted val="0"/>
    <c:plotArea>
      <c:layout>
        <c:manualLayout>
          <c:layoutTarget val="inner"/>
          <c:xMode val="edge"/>
          <c:yMode val="edge"/>
          <c:x val="0.22162206856944677"/>
          <c:y val="6.8216709721621124E-2"/>
          <c:w val="0.75934804169902448"/>
          <c:h val="0.85783616344449987"/>
        </c:manualLayout>
      </c:layout>
      <c:barChart>
        <c:barDir val="bar"/>
        <c:grouping val="clustered"/>
        <c:varyColors val="0"/>
        <c:ser>
          <c:idx val="1"/>
          <c:order val="0"/>
          <c:tx>
            <c:strRef>
              <c:f>ControlChart!$CF$2</c:f>
              <c:strCache>
                <c:ptCount val="1"/>
                <c:pt idx="0">
                  <c:v>i1_Income1</c:v>
                </c:pt>
              </c:strCache>
            </c:strRef>
          </c:tx>
          <c:spPr>
            <a:gradFill>
              <a:gsLst>
                <a:gs pos="45000">
                  <a:srgbClr val="AADCD7">
                    <a:lumMod val="59000"/>
                  </a:srgbClr>
                </a:gs>
                <a:gs pos="100000">
                  <a:srgbClr val="AADCD7">
                    <a:lumMod val="100000"/>
                  </a:srgbClr>
                </a:gs>
              </a:gsLst>
              <a:lin ang="2700000" scaled="0"/>
            </a:gradFill>
            <a:ln>
              <a:noFill/>
            </a:ln>
            <a:effectLst/>
          </c:spPr>
          <c:invertIfNegative val="0"/>
          <c:errBars>
            <c:errBarType val="both"/>
            <c:errValType val="cust"/>
            <c:noEndCap val="0"/>
            <c:plus>
              <c:numLit>
                <c:formatCode>General</c:formatCode>
                <c:ptCount val="1"/>
                <c:pt idx="0">
                  <c:v>1</c:v>
                </c:pt>
              </c:numLit>
            </c:plus>
            <c:minus>
              <c:numRef>
                <c:f>ControlChart!$CH$2</c:f>
                <c:numCache>
                  <c:formatCode>General</c:formatCode>
                  <c:ptCount val="1"/>
                  <c:pt idx="0">
                    <c:v>1.2000000000000002E-4</c:v>
                  </c:pt>
                </c:numCache>
              </c:numRef>
            </c:minus>
            <c:spPr>
              <a:noFill/>
              <a:ln w="9525" cap="flat" cmpd="sng" algn="ctr">
                <a:solidFill>
                  <a:schemeClr val="tx1">
                    <a:lumMod val="65000"/>
                    <a:lumOff val="35000"/>
                  </a:schemeClr>
                </a:solidFill>
                <a:round/>
              </a:ln>
              <a:effectLst/>
            </c:spPr>
          </c:errBars>
          <c:val>
            <c:numRef>
              <c:f>ControlChart!$CG$2</c:f>
              <c:numCache>
                <c:formatCode>General</c:formatCode>
                <c:ptCount val="1"/>
                <c:pt idx="0">
                  <c:v>1.2000000000000002E-4</c:v>
                </c:pt>
              </c:numCache>
            </c:numRef>
          </c:val>
          <c:extLst>
            <c:ext xmlns:c16="http://schemas.microsoft.com/office/drawing/2014/chart" uri="{C3380CC4-5D6E-409C-BE32-E72D297353CC}">
              <c16:uniqueId val="{00000000-68C8-4BD5-9A75-03D46BCFF07C}"/>
            </c:ext>
          </c:extLst>
        </c:ser>
        <c:ser>
          <c:idx val="0"/>
          <c:order val="1"/>
          <c:tx>
            <c:strRef>
              <c:f>ControlChart!$CF$1</c:f>
              <c:strCache>
                <c:ptCount val="1"/>
                <c:pt idx="0">
                  <c:v>Dépense</c:v>
                </c:pt>
              </c:strCache>
            </c:strRef>
          </c:tx>
          <c:spPr>
            <a:gradFill>
              <a:gsLst>
                <a:gs pos="45000">
                  <a:srgbClr val="FA6148"/>
                </a:gs>
                <a:gs pos="100000">
                  <a:srgbClr val="FA6148">
                    <a:lumMod val="46000"/>
                  </a:srgbClr>
                </a:gs>
              </a:gsLst>
              <a:lin ang="2700000" scaled="0"/>
            </a:gradFill>
            <a:ln>
              <a:noFill/>
            </a:ln>
            <a:effectLst/>
            <a:scene3d>
              <a:camera prst="orthographicFront"/>
              <a:lightRig rig="threePt" dir="t"/>
            </a:scene3d>
            <a:sp3d prstMaterial="matte"/>
          </c:spPr>
          <c:invertIfNegative val="0"/>
          <c:dPt>
            <c:idx val="0"/>
            <c:invertIfNegative val="0"/>
            <c:bubble3D val="0"/>
            <c:spPr>
              <a:gradFill>
                <a:gsLst>
                  <a:gs pos="45000">
                    <a:srgbClr val="FA6148">
                      <a:lumMod val="79000"/>
                    </a:srgbClr>
                  </a:gs>
                  <a:gs pos="100000">
                    <a:srgbClr val="FA6148">
                      <a:lumMod val="100000"/>
                    </a:srgbClr>
                  </a:gs>
                </a:gsLst>
                <a:lin ang="2700000" scaled="0"/>
              </a:gradFill>
              <a:ln>
                <a:noFill/>
              </a:ln>
              <a:effectLst/>
              <a:scene3d>
                <a:camera prst="orthographicFront"/>
                <a:lightRig rig="threePt" dir="t"/>
              </a:scene3d>
              <a:sp3d prstMaterial="matte"/>
            </c:spPr>
            <c:extLst>
              <c:ext xmlns:c16="http://schemas.microsoft.com/office/drawing/2014/chart" uri="{C3380CC4-5D6E-409C-BE32-E72D297353CC}">
                <c16:uniqueId val="{00000000-4932-4700-90A3-A65DCA0C3CF8}"/>
              </c:ext>
            </c:extLst>
          </c:dPt>
          <c:dLbls>
            <c:dLbl>
              <c:idx val="0"/>
              <c:layout>
                <c:manualLayout>
                  <c:x val="2.4902047831362083E-2"/>
                  <c:y val="-0.15578874023985265"/>
                </c:manualLayout>
              </c:layout>
              <c:tx>
                <c:rich>
                  <a:bodyPr/>
                  <a:lstStyle/>
                  <a:p>
                    <a:fld id="{2E7FF0B6-5FA1-454A-8DD7-F499A411FA0C}"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932-4700-90A3-A65DCA0C3CF8}"/>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A6148"/>
                    </a:solidFill>
                    <a:latin typeface="Aptos Narrow" panose="020B0004020202020204" pitchFamily="34" charset="0"/>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0"/>
            <c:plus>
              <c:numLit>
                <c:formatCode>General</c:formatCode>
                <c:ptCount val="1"/>
                <c:pt idx="0">
                  <c:v>1</c:v>
                </c:pt>
              </c:numLit>
            </c:plus>
            <c:minus>
              <c:numRef>
                <c:f>ControlChart!$CH$1</c:f>
                <c:numCache>
                  <c:formatCode>General</c:formatCode>
                  <c:ptCount val="1"/>
                  <c:pt idx="0">
                    <c:v>8.4000000000000003E-4</c:v>
                  </c:pt>
                </c:numCache>
              </c:numRef>
            </c:minus>
            <c:spPr>
              <a:noFill/>
              <a:ln w="9525" cap="flat" cmpd="sng" algn="ctr">
                <a:solidFill>
                  <a:schemeClr val="tx1">
                    <a:lumMod val="65000"/>
                    <a:lumOff val="35000"/>
                  </a:schemeClr>
                </a:solidFill>
                <a:round/>
              </a:ln>
              <a:effectLst/>
            </c:spPr>
          </c:errBars>
          <c:val>
            <c:numRef>
              <c:f>ControlChart!$CG$1</c:f>
              <c:numCache>
                <c:formatCode>#\ ##0.00\ "$"</c:formatCode>
                <c:ptCount val="1"/>
                <c:pt idx="0">
                  <c:v>8.4000000000000003E-4</c:v>
                </c:pt>
              </c:numCache>
            </c:numRef>
          </c:val>
          <c:extLst>
            <c:ext xmlns:c15="http://schemas.microsoft.com/office/drawing/2012/chart" uri="{02D57815-91ED-43cb-92C2-25804820EDAC}">
              <c15:datalabelsRange>
                <c15:f>ControlChart!$CI$1</c15:f>
                <c15:dlblRangeCache>
                  <c:ptCount val="1"/>
                  <c:pt idx="0">
                    <c:v>700%</c:v>
                  </c:pt>
                </c15:dlblRangeCache>
              </c15:datalabelsRange>
            </c:ext>
            <c:ext xmlns:c16="http://schemas.microsoft.com/office/drawing/2014/chart" uri="{C3380CC4-5D6E-409C-BE32-E72D297353CC}">
              <c16:uniqueId val="{00000001-68C8-4BD5-9A75-03D46BCFF07C}"/>
            </c:ext>
          </c:extLst>
        </c:ser>
        <c:dLbls>
          <c:showLegendKey val="0"/>
          <c:showVal val="0"/>
          <c:showCatName val="0"/>
          <c:showSerName val="0"/>
          <c:showPercent val="0"/>
          <c:showBubbleSize val="0"/>
        </c:dLbls>
        <c:gapWidth val="500"/>
        <c:axId val="771965248"/>
        <c:axId val="771955168"/>
      </c:barChart>
      <c:catAx>
        <c:axId val="771965248"/>
        <c:scaling>
          <c:orientation val="minMax"/>
        </c:scaling>
        <c:delete val="1"/>
        <c:axPos val="l"/>
        <c:majorTickMark val="none"/>
        <c:minorTickMark val="none"/>
        <c:tickLblPos val="nextTo"/>
        <c:crossAx val="771955168"/>
        <c:crosses val="autoZero"/>
        <c:auto val="1"/>
        <c:lblAlgn val="ctr"/>
        <c:lblOffset val="100"/>
        <c:noMultiLvlLbl val="0"/>
      </c:catAx>
      <c:valAx>
        <c:axId val="771955168"/>
        <c:scaling>
          <c:orientation val="minMax"/>
        </c:scaling>
        <c:delete val="1"/>
        <c:axPos val="b"/>
        <c:numFmt formatCode="General" sourceLinked="1"/>
        <c:majorTickMark val="none"/>
        <c:minorTickMark val="none"/>
        <c:tickLblPos val="nextTo"/>
        <c:crossAx val="77196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ControlChart_Budget1!$ES$17</c:f>
              <c:strCache>
                <c:ptCount val="1"/>
                <c:pt idx="0">
                  <c:v>ABSB1M</c:v>
                </c:pt>
              </c:strCache>
            </c:strRef>
          </c:tx>
          <c:spPr>
            <a:gradFill>
              <a:gsLst>
                <a:gs pos="0">
                  <a:srgbClr val="AADCD7">
                    <a:alpha val="70000"/>
                  </a:srgbClr>
                </a:gs>
                <a:gs pos="70000">
                  <a:srgbClr val="AADCD7"/>
                </a:gs>
              </a:gsLst>
              <a:lin ang="5400000" scaled="1"/>
            </a:gradFill>
            <a:ln>
              <a:noFill/>
            </a:ln>
            <a:effectLst/>
            <a:scene3d>
              <a:camera prst="orthographicFront"/>
              <a:lightRig rig="chilly" dir="t"/>
            </a:scene3d>
            <a:sp3d prstMaterial="softEdge"/>
          </c:spPr>
          <c:invertIfNegative val="0"/>
          <c:cat>
            <c:strRef>
              <c:f>ControlChart_Budget1!$ER$18:$ER$29</c:f>
              <c:strCache>
                <c:ptCount val="2"/>
                <c:pt idx="0">
                  <c:v>janv</c:v>
                </c:pt>
                <c:pt idx="1">
                  <c:v>févr</c:v>
                </c:pt>
              </c:strCache>
            </c:strRef>
          </c:cat>
          <c:val>
            <c:numRef>
              <c:f>ControlChart_Budget1!$ES$18:$ES$29</c:f>
              <c:numCache>
                <c:formatCode>#\ ##0\ "$"</c:formatCode>
                <c:ptCount val="12"/>
                <c:pt idx="0">
                  <c:v>2.0000000000000001E-4</c:v>
                </c:pt>
                <c:pt idx="1">
                  <c:v>2.0000000000000001E-4</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8D7-492C-964B-9CB0E10F1342}"/>
            </c:ext>
          </c:extLst>
        </c:ser>
        <c:ser>
          <c:idx val="1"/>
          <c:order val="1"/>
          <c:tx>
            <c:strRef>
              <c:f>ControlChart_Budget1!$ET$17</c:f>
              <c:strCache>
                <c:ptCount val="1"/>
                <c:pt idx="0">
                  <c:v>ABSMontantE</c:v>
                </c:pt>
              </c:strCache>
            </c:strRef>
          </c:tx>
          <c:spPr>
            <a:gradFill>
              <a:gsLst>
                <a:gs pos="0">
                  <a:srgbClr val="FA6148">
                    <a:alpha val="30000"/>
                  </a:srgbClr>
                </a:gs>
                <a:gs pos="70000">
                  <a:srgbClr val="FA6148"/>
                </a:gs>
              </a:gsLst>
              <a:lin ang="5400000" scaled="1"/>
            </a:gradFill>
            <a:ln>
              <a:noFill/>
            </a:ln>
            <a:effectLst/>
            <a:scene3d>
              <a:camera prst="orthographicFront"/>
              <a:lightRig rig="contrasting" dir="t"/>
            </a:scene3d>
            <a:sp3d prstMaterial="softEdge"/>
          </c:spPr>
          <c:invertIfNegative val="0"/>
          <c:cat>
            <c:strRef>
              <c:f>ControlChart_Budget1!$ER$18:$ER$29</c:f>
              <c:strCache>
                <c:ptCount val="2"/>
                <c:pt idx="0">
                  <c:v>janv</c:v>
                </c:pt>
                <c:pt idx="1">
                  <c:v>févr</c:v>
                </c:pt>
              </c:strCache>
            </c:strRef>
          </c:cat>
          <c:val>
            <c:numRef>
              <c:f>ControlChart_Budget1!$ET$18:$ET$29</c:f>
              <c:numCache>
                <c:formatCode>#\ ##0\ "$"</c:formatCode>
                <c:ptCount val="12"/>
                <c:pt idx="0">
                  <c:v>2E-3</c:v>
                </c:pt>
                <c:pt idx="1">
                  <c:v>2E-3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8D7-492C-964B-9CB0E10F1342}"/>
            </c:ext>
          </c:extLst>
        </c:ser>
        <c:dLbls>
          <c:showLegendKey val="0"/>
          <c:showVal val="0"/>
          <c:showCatName val="0"/>
          <c:showSerName val="0"/>
          <c:showPercent val="0"/>
          <c:showBubbleSize val="0"/>
        </c:dLbls>
        <c:gapWidth val="219"/>
        <c:overlap val="-27"/>
        <c:axId val="280986943"/>
        <c:axId val="280986463"/>
      </c:barChart>
      <c:lineChart>
        <c:grouping val="standard"/>
        <c:varyColors val="0"/>
        <c:ser>
          <c:idx val="2"/>
          <c:order val="2"/>
          <c:tx>
            <c:strRef>
              <c:f>ControlChart_Budget1!$EU$17</c:f>
              <c:strCache>
                <c:ptCount val="1"/>
                <c:pt idx="0">
                  <c:v>ABS_LastM</c:v>
                </c:pt>
              </c:strCache>
            </c:strRef>
          </c:tx>
          <c:spPr>
            <a:ln w="12700" cap="rnd">
              <a:solidFill>
                <a:schemeClr val="tx1">
                  <a:lumMod val="75000"/>
                  <a:lumOff val="25000"/>
                </a:schemeClr>
              </a:solidFill>
              <a:round/>
            </a:ln>
            <a:effectLst/>
          </c:spPr>
          <c:marker>
            <c:symbol val="none"/>
          </c:marker>
          <c:cat>
            <c:strRef>
              <c:f>ControlChart_Budget1!$ER$18:$ER$29</c:f>
              <c:strCache>
                <c:ptCount val="2"/>
                <c:pt idx="0">
                  <c:v>janv</c:v>
                </c:pt>
                <c:pt idx="1">
                  <c:v>févr</c:v>
                </c:pt>
              </c:strCache>
            </c:strRef>
          </c:cat>
          <c:val>
            <c:numRef>
              <c:f>ControlChart_Budget1!$EU$18:$EU$29</c:f>
              <c:numCache>
                <c:formatCode>#\ ##0\ "$"</c:formatCode>
                <c:ptCount val="12"/>
                <c:pt idx="0">
                  <c:v>2E-3</c:v>
                </c:pt>
                <c:pt idx="1">
                  <c:v>2E-3</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8D7-492C-964B-9CB0E10F1342}"/>
            </c:ext>
          </c:extLst>
        </c:ser>
        <c:dLbls>
          <c:showLegendKey val="0"/>
          <c:showVal val="0"/>
          <c:showCatName val="0"/>
          <c:showSerName val="0"/>
          <c:showPercent val="0"/>
          <c:showBubbleSize val="0"/>
        </c:dLbls>
        <c:marker val="1"/>
        <c:smooth val="0"/>
        <c:axId val="280986943"/>
        <c:axId val="280986463"/>
      </c:lineChart>
      <c:catAx>
        <c:axId val="280986943"/>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0986463"/>
        <c:crosses val="autoZero"/>
        <c:auto val="1"/>
        <c:lblAlgn val="ctr"/>
        <c:lblOffset val="100"/>
        <c:noMultiLvlLbl val="0"/>
      </c:catAx>
      <c:valAx>
        <c:axId val="280986463"/>
        <c:scaling>
          <c:orientation val="minMax"/>
        </c:scaling>
        <c:delete val="0"/>
        <c:axPos val="l"/>
        <c:majorGridlines>
          <c:spPr>
            <a:ln w="9525" cap="flat" cmpd="sng" algn="ctr">
              <a:solidFill>
                <a:schemeClr val="tx1">
                  <a:lumMod val="85000"/>
                  <a:lumOff val="1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0986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657194798080563E-2"/>
          <c:y val="2.4601075163839286E-2"/>
          <c:w val="0.98934280520191942"/>
          <c:h val="0.82536607174680809"/>
        </c:manualLayout>
      </c:layout>
      <c:barChart>
        <c:barDir val="bar"/>
        <c:grouping val="stacked"/>
        <c:varyColors val="0"/>
        <c:ser>
          <c:idx val="0"/>
          <c:order val="0"/>
          <c:spPr>
            <a:solidFill>
              <a:schemeClr val="tx1">
                <a:lumMod val="85000"/>
                <a:lumOff val="15000"/>
              </a:schemeClr>
            </a:solidFill>
            <a:ln>
              <a:noFill/>
            </a:ln>
            <a:effectLst/>
          </c:spPr>
          <c:invertIfNegative val="0"/>
          <c:dLbls>
            <c:dLbl>
              <c:idx val="0"/>
              <c:tx>
                <c:rich>
                  <a:bodyPr/>
                  <a:lstStyle/>
                  <a:p>
                    <a:fld id="{09CF77A6-E6C0-443E-9DF3-739F2C4FF604}"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A14-4F68-B3D5-CFEAAF285A58}"/>
                </c:ext>
              </c:extLst>
            </c:dLbl>
            <c:dLbl>
              <c:idx val="1"/>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1A14-4F68-B3D5-CFEAAF285A58}"/>
                </c:ext>
              </c:extLst>
            </c:dLbl>
            <c:dLbl>
              <c:idx val="2"/>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1A14-4F68-B3D5-CFEAAF285A58}"/>
                </c:ext>
              </c:extLst>
            </c:dLbl>
            <c:dLbl>
              <c:idx val="3"/>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1A14-4F68-B3D5-CFEAAF285A58}"/>
                </c:ext>
              </c:extLst>
            </c:dLbl>
            <c:dLbl>
              <c:idx val="4"/>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1A14-4F68-B3D5-CFEAAF285A58}"/>
                </c:ext>
              </c:extLst>
            </c:dLbl>
            <c:dLbl>
              <c:idx val="5"/>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1A14-4F68-B3D5-CFEAAF285A58}"/>
                </c:ext>
              </c:extLst>
            </c:dLbl>
            <c:dLbl>
              <c:idx val="6"/>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1A14-4F68-B3D5-CFEAAF285A58}"/>
                </c:ext>
              </c:extLst>
            </c:dLbl>
            <c:dLbl>
              <c:idx val="7"/>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1A14-4F68-B3D5-CFEAAF285A58}"/>
                </c:ext>
              </c:extLst>
            </c:dLbl>
            <c:dLbl>
              <c:idx val="8"/>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1A14-4F68-B3D5-CFEAAF285A58}"/>
                </c:ext>
              </c:extLst>
            </c:dLbl>
            <c:dLbl>
              <c:idx val="9"/>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1A14-4F68-B3D5-CFEAAF285A58}"/>
                </c:ext>
              </c:extLst>
            </c:dLbl>
            <c:dLbl>
              <c:idx val="10"/>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A-1A14-4F68-B3D5-CFEAAF285A58}"/>
                </c:ext>
              </c:extLst>
            </c:dLbl>
            <c:dLbl>
              <c:idx val="11"/>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B-1A14-4F68-B3D5-CFEAAF285A58}"/>
                </c:ext>
              </c:extLst>
            </c:dLbl>
            <c:dLbl>
              <c:idx val="12"/>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C-1A14-4F68-B3D5-CFEAAF285A58}"/>
                </c:ext>
              </c:extLst>
            </c:dLbl>
            <c:dLbl>
              <c:idx val="13"/>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D-1A14-4F68-B3D5-CFEAAF285A58}"/>
                </c:ext>
              </c:extLst>
            </c:dLbl>
            <c:dLbl>
              <c:idx val="14"/>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E-1A14-4F68-B3D5-CFEAAF285A58}"/>
                </c:ext>
              </c:extLst>
            </c:dLbl>
            <c:dLbl>
              <c:idx val="15"/>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F-1A14-4F68-B3D5-CFEAAF285A5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A6148"/>
                    </a:solidFill>
                    <a:latin typeface="+mn-lt"/>
                    <a:ea typeface="+mn-ea"/>
                    <a:cs typeface="+mn-cs"/>
                  </a:defRPr>
                </a:pPr>
                <a:endParaRPr lang="fr-FR"/>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ControlChart_Budget1!$DR$22:$DR$37</c:f>
              <c:numCache>
                <c:formatCode>General</c:formatCode>
                <c:ptCount val="16"/>
                <c:pt idx="0">
                  <c:v>1.5999999999999999E-3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5="http://schemas.microsoft.com/office/drawing/2012/chart" uri="{02D57815-91ED-43cb-92C2-25804820EDAC}">
              <c15:datalabelsRange>
                <c15:f>ControlChart_Budget1!$DW$22:$DW$37</c15:f>
                <c15:dlblRangeCache>
                  <c:ptCount val="16"/>
                  <c:pt idx="0">
                    <c:v>0.00$</c:v>
                  </c:pt>
                </c15:dlblRangeCache>
              </c15:datalabelsRange>
            </c:ext>
            <c:ext xmlns:c16="http://schemas.microsoft.com/office/drawing/2014/chart" uri="{C3380CC4-5D6E-409C-BE32-E72D297353CC}">
              <c16:uniqueId val="{00000010-1A14-4F68-B3D5-CFEAAF285A58}"/>
            </c:ext>
          </c:extLst>
        </c:ser>
        <c:ser>
          <c:idx val="1"/>
          <c:order val="1"/>
          <c:spPr>
            <a:gradFill>
              <a:gsLst>
                <a:gs pos="0">
                  <a:srgbClr val="FA6148">
                    <a:alpha val="26000"/>
                  </a:srgbClr>
                </a:gs>
                <a:gs pos="70000">
                  <a:srgbClr val="FA6148"/>
                </a:gs>
              </a:gsLst>
              <a:lin ang="5400000" scaled="1"/>
            </a:gradFill>
            <a:ln>
              <a:noFill/>
            </a:ln>
            <a:effectLst/>
          </c:spPr>
          <c:invertIfNegative val="0"/>
          <c:val>
            <c:numRef>
              <c:f>ControlChart_Budget1!$DS$22:$DS$37</c:f>
              <c:numCache>
                <c:formatCode>0.0000000</c:formatCode>
                <c:ptCount val="16"/>
                <c:pt idx="0">
                  <c:v>4.0000000000000001E-3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11-1A14-4F68-B3D5-CFEAAF285A58}"/>
            </c:ext>
          </c:extLst>
        </c:ser>
        <c:ser>
          <c:idx val="2"/>
          <c:order val="2"/>
          <c:spPr>
            <a:noFill/>
            <a:ln>
              <a:noFill/>
            </a:ln>
            <a:effectLst/>
          </c:spPr>
          <c:invertIfNegative val="0"/>
          <c:dLbls>
            <c:dLbl>
              <c:idx val="0"/>
              <c:tx>
                <c:rich>
                  <a:bodyPr/>
                  <a:lstStyle/>
                  <a:p>
                    <a:fld id="{73FBA840-A22F-402B-8C16-4EFE9B5DE1D1}"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1A14-4F68-B3D5-CFEAAF285A58}"/>
                </c:ext>
              </c:extLst>
            </c:dLbl>
            <c:dLbl>
              <c:idx val="1"/>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3-1A14-4F68-B3D5-CFEAAF285A58}"/>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4-1A14-4F68-B3D5-CFEAAF285A58}"/>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5-1A14-4F68-B3D5-CFEAAF285A58}"/>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6-1A14-4F68-B3D5-CFEAAF285A58}"/>
                </c:ext>
              </c:extLst>
            </c:dLbl>
            <c:dLbl>
              <c:idx val="5"/>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7-1A14-4F68-B3D5-CFEAAF285A58}"/>
                </c:ext>
              </c:extLst>
            </c:dLbl>
            <c:dLbl>
              <c:idx val="6"/>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8-1A14-4F68-B3D5-CFEAAF285A58}"/>
                </c:ext>
              </c:extLst>
            </c:dLbl>
            <c:dLbl>
              <c:idx val="7"/>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9-1A14-4F68-B3D5-CFEAAF285A58}"/>
                </c:ext>
              </c:extLst>
            </c:dLbl>
            <c:dLbl>
              <c:idx val="8"/>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A-1A14-4F68-B3D5-CFEAAF285A58}"/>
                </c:ext>
              </c:extLst>
            </c:dLbl>
            <c:dLbl>
              <c:idx val="9"/>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B-1A14-4F68-B3D5-CFEAAF285A58}"/>
                </c:ext>
              </c:extLst>
            </c:dLbl>
            <c:dLbl>
              <c:idx val="10"/>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C-1A14-4F68-B3D5-CFEAAF285A58}"/>
                </c:ext>
              </c:extLst>
            </c:dLbl>
            <c:dLbl>
              <c:idx val="11"/>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D-1A14-4F68-B3D5-CFEAAF285A58}"/>
                </c:ext>
              </c:extLst>
            </c:dLbl>
            <c:dLbl>
              <c:idx val="1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E-1A14-4F68-B3D5-CFEAAF285A58}"/>
                </c:ext>
              </c:extLst>
            </c:dLbl>
            <c:dLbl>
              <c:idx val="1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F-1A14-4F68-B3D5-CFEAAF285A58}"/>
                </c:ext>
              </c:extLst>
            </c:dLbl>
            <c:dLbl>
              <c:idx val="1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0-1A14-4F68-B3D5-CFEAAF285A58}"/>
                </c:ext>
              </c:extLst>
            </c:dLbl>
            <c:dLbl>
              <c:idx val="15"/>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1-1A14-4F68-B3D5-CFEAAF285A5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ControlChart_Budget1!$DT$22:$DT$37</c:f>
              <c:numCache>
                <c:formatCode>0.000000</c:formatCode>
                <c:ptCount val="16"/>
                <c:pt idx="0">
                  <c:v>3.2000000000000002E-3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5="http://schemas.microsoft.com/office/drawing/2012/chart" uri="{02D57815-91ED-43cb-92C2-25804820EDAC}">
              <c15:datalabelsRange>
                <c15:f>ControlChart_Budget1!$DO$22:$DO$37</c15:f>
                <c15:dlblRangeCache>
                  <c:ptCount val="16"/>
                  <c:pt idx="0">
                    <c:v>Sub-Category3</c:v>
                  </c:pt>
                </c15:dlblRangeCache>
              </c15:datalabelsRange>
            </c:ext>
            <c:ext xmlns:c16="http://schemas.microsoft.com/office/drawing/2014/chart" uri="{C3380CC4-5D6E-409C-BE32-E72D297353CC}">
              <c16:uniqueId val="{00000022-1A14-4F68-B3D5-CFEAAF285A58}"/>
            </c:ext>
          </c:extLst>
        </c:ser>
        <c:ser>
          <c:idx val="3"/>
          <c:order val="3"/>
          <c:spPr>
            <a:gradFill>
              <a:gsLst>
                <a:gs pos="0">
                  <a:schemeClr val="bg2">
                    <a:lumMod val="75000"/>
                    <a:alpha val="50000"/>
                  </a:schemeClr>
                </a:gs>
                <a:gs pos="70000">
                  <a:schemeClr val="bg2">
                    <a:lumMod val="75000"/>
                  </a:schemeClr>
                </a:gs>
              </a:gsLst>
              <a:lin ang="5400000" scaled="1"/>
            </a:gradFill>
            <a:ln>
              <a:noFill/>
            </a:ln>
            <a:effectLst/>
          </c:spPr>
          <c:invertIfNegative val="0"/>
          <c:val>
            <c:numRef>
              <c:f>ControlChart_Budget1!$DU$22:$DU$37</c:f>
              <c:numCache>
                <c:formatCode>General</c:formatCode>
                <c:ptCount val="16"/>
                <c:pt idx="0">
                  <c:v>4.0000000000000001E-3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23-1A14-4F68-B3D5-CFEAAF285A58}"/>
            </c:ext>
          </c:extLst>
        </c:ser>
        <c:ser>
          <c:idx val="4"/>
          <c:order val="4"/>
          <c:spPr>
            <a:solidFill>
              <a:schemeClr val="tx1">
                <a:lumMod val="85000"/>
                <a:lumOff val="15000"/>
              </a:schemeClr>
            </a:solidFill>
            <a:ln>
              <a:noFill/>
            </a:ln>
            <a:effectLst/>
          </c:spPr>
          <c:invertIfNegative val="0"/>
          <c:dLbls>
            <c:dLbl>
              <c:idx val="0"/>
              <c:tx>
                <c:rich>
                  <a:bodyPr/>
                  <a:lstStyle/>
                  <a:p>
                    <a:fld id="{45AB9D49-EF20-4547-86F2-707BE06A3358}" type="CELLRANGE">
                      <a:rPr lang="en-US"/>
                      <a:pPr/>
                      <a:t>[CELLRANGE]</a:t>
                    </a:fld>
                    <a:endParaRPr lang="en-CA"/>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1A14-4F68-B3D5-CFEAAF285A58}"/>
                </c:ext>
              </c:extLst>
            </c:dLbl>
            <c:dLbl>
              <c:idx val="1"/>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5-1A14-4F68-B3D5-CFEAAF285A58}"/>
                </c:ext>
              </c:extLst>
            </c:dLbl>
            <c:dLbl>
              <c:idx val="2"/>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6-1A14-4F68-B3D5-CFEAAF285A58}"/>
                </c:ext>
              </c:extLst>
            </c:dLbl>
            <c:dLbl>
              <c:idx val="3"/>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7-1A14-4F68-B3D5-CFEAAF285A58}"/>
                </c:ext>
              </c:extLst>
            </c:dLbl>
            <c:dLbl>
              <c:idx val="4"/>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8-1A14-4F68-B3D5-CFEAAF285A58}"/>
                </c:ext>
              </c:extLst>
            </c:dLbl>
            <c:dLbl>
              <c:idx val="5"/>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9-1A14-4F68-B3D5-CFEAAF285A58}"/>
                </c:ext>
              </c:extLst>
            </c:dLbl>
            <c:dLbl>
              <c:idx val="6"/>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A-1A14-4F68-B3D5-CFEAAF285A58}"/>
                </c:ext>
              </c:extLst>
            </c:dLbl>
            <c:dLbl>
              <c:idx val="7"/>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B-1A14-4F68-B3D5-CFEAAF285A58}"/>
                </c:ext>
              </c:extLst>
            </c:dLbl>
            <c:dLbl>
              <c:idx val="8"/>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C-1A14-4F68-B3D5-CFEAAF285A58}"/>
                </c:ext>
              </c:extLst>
            </c:dLbl>
            <c:dLbl>
              <c:idx val="9"/>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D-1A14-4F68-B3D5-CFEAAF285A58}"/>
                </c:ext>
              </c:extLst>
            </c:dLbl>
            <c:dLbl>
              <c:idx val="10"/>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E-1A14-4F68-B3D5-CFEAAF285A58}"/>
                </c:ext>
              </c:extLst>
            </c:dLbl>
            <c:dLbl>
              <c:idx val="11"/>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F-1A14-4F68-B3D5-CFEAAF285A58}"/>
                </c:ext>
              </c:extLst>
            </c:dLbl>
            <c:dLbl>
              <c:idx val="12"/>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0-1A14-4F68-B3D5-CFEAAF285A58}"/>
                </c:ext>
              </c:extLst>
            </c:dLbl>
            <c:dLbl>
              <c:idx val="13"/>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1-1A14-4F68-B3D5-CFEAAF285A58}"/>
                </c:ext>
              </c:extLst>
            </c:dLbl>
            <c:dLbl>
              <c:idx val="14"/>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2-1A14-4F68-B3D5-CFEAAF285A58}"/>
                </c:ext>
              </c:extLst>
            </c:dLbl>
            <c:dLbl>
              <c:idx val="15"/>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3-1A14-4F68-B3D5-CFEAAF285A5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75000"/>
                      </a:schemeClr>
                    </a:solidFill>
                    <a:latin typeface="+mn-lt"/>
                    <a:ea typeface="+mn-ea"/>
                    <a:cs typeface="+mn-cs"/>
                  </a:defRPr>
                </a:pPr>
                <a:endParaRPr lang="fr-F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ControlChart_Budget1!$DV$22:$DV$37</c:f>
              <c:numCache>
                <c:formatCode>General</c:formatCode>
                <c:ptCount val="16"/>
                <c:pt idx="0">
                  <c:v>1.5999999999999999E-3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5="http://schemas.microsoft.com/office/drawing/2012/chart" uri="{02D57815-91ED-43cb-92C2-25804820EDAC}">
              <c15:datalabelsRange>
                <c15:f>ControlChart_Budget1!$DX$22:$DX$37</c15:f>
                <c15:dlblRangeCache>
                  <c:ptCount val="16"/>
                  <c:pt idx="0">
                    <c:v>0.00$</c:v>
                  </c:pt>
                </c15:dlblRangeCache>
              </c15:datalabelsRange>
            </c:ext>
            <c:ext xmlns:c16="http://schemas.microsoft.com/office/drawing/2014/chart" uri="{C3380CC4-5D6E-409C-BE32-E72D297353CC}">
              <c16:uniqueId val="{00000034-1A14-4F68-B3D5-CFEAAF285A58}"/>
            </c:ext>
          </c:extLst>
        </c:ser>
        <c:dLbls>
          <c:showLegendKey val="0"/>
          <c:showVal val="0"/>
          <c:showCatName val="0"/>
          <c:showSerName val="0"/>
          <c:showPercent val="0"/>
          <c:showBubbleSize val="0"/>
        </c:dLbls>
        <c:gapWidth val="40"/>
        <c:overlap val="100"/>
        <c:axId val="37463200"/>
        <c:axId val="37459360"/>
      </c:barChart>
      <c:catAx>
        <c:axId val="37463200"/>
        <c:scaling>
          <c:orientation val="maxMin"/>
        </c:scaling>
        <c:delete val="1"/>
        <c:axPos val="l"/>
        <c:majorTickMark val="none"/>
        <c:minorTickMark val="none"/>
        <c:tickLblPos val="nextTo"/>
        <c:crossAx val="37459360"/>
        <c:crosses val="autoZero"/>
        <c:auto val="1"/>
        <c:lblAlgn val="ctr"/>
        <c:lblOffset val="100"/>
        <c:noMultiLvlLbl val="0"/>
      </c:catAx>
      <c:valAx>
        <c:axId val="37459360"/>
        <c:scaling>
          <c:orientation val="minMax"/>
        </c:scaling>
        <c:delete val="1"/>
        <c:axPos val="t"/>
        <c:numFmt formatCode="General" sourceLinked="1"/>
        <c:majorTickMark val="none"/>
        <c:minorTickMark val="none"/>
        <c:tickLblPos val="nextTo"/>
        <c:crossAx val="3746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ControlChart_Budget1!$ES$1</c:f>
              <c:strCache>
                <c:ptCount val="1"/>
                <c:pt idx="0">
                  <c:v>ABSB1M</c:v>
                </c:pt>
              </c:strCache>
            </c:strRef>
          </c:tx>
          <c:spPr>
            <a:gradFill>
              <a:gsLst>
                <a:gs pos="0">
                  <a:srgbClr val="AADCD7">
                    <a:alpha val="70000"/>
                  </a:srgbClr>
                </a:gs>
                <a:gs pos="70000">
                  <a:srgbClr val="AADCD7"/>
                </a:gs>
              </a:gsLst>
              <a:lin ang="5400000" scaled="1"/>
            </a:gradFill>
            <a:ln>
              <a:noFill/>
            </a:ln>
            <a:effectLst/>
            <a:scene3d>
              <a:camera prst="orthographicFront"/>
              <a:lightRig rig="chilly" dir="t"/>
            </a:scene3d>
            <a:sp3d prstMaterial="powder"/>
          </c:spPr>
          <c:invertIfNegative val="0"/>
          <c:cat>
            <c:strRef>
              <c:f>ControlChart_Budget1!$ER$2:$ER$13</c:f>
              <c:strCache>
                <c:ptCount val="2"/>
                <c:pt idx="0">
                  <c:v>janv</c:v>
                </c:pt>
                <c:pt idx="1">
                  <c:v>févr</c:v>
                </c:pt>
              </c:strCache>
            </c:strRef>
          </c:cat>
          <c:val>
            <c:numRef>
              <c:f>ControlChart_Budget1!$ES$2:$ES$13</c:f>
              <c:numCache>
                <c:formatCode>#\ ##0\ "$"</c:formatCode>
                <c:ptCount val="12"/>
                <c:pt idx="0">
                  <c:v>2.0000000000000001E-4</c:v>
                </c:pt>
                <c:pt idx="1">
                  <c:v>2.0000000000000001E-4</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F4D-4651-8514-B0BDED4EC43F}"/>
            </c:ext>
          </c:extLst>
        </c:ser>
        <c:ser>
          <c:idx val="1"/>
          <c:order val="1"/>
          <c:tx>
            <c:strRef>
              <c:f>ControlChart_Budget1!$ET$1</c:f>
              <c:strCache>
                <c:ptCount val="1"/>
                <c:pt idx="0">
                  <c:v>ABSMontantE</c:v>
                </c:pt>
              </c:strCache>
            </c:strRef>
          </c:tx>
          <c:spPr>
            <a:gradFill>
              <a:gsLst>
                <a:gs pos="0">
                  <a:srgbClr val="FA6148">
                    <a:alpha val="30000"/>
                  </a:srgbClr>
                </a:gs>
                <a:gs pos="70000">
                  <a:srgbClr val="FA6148"/>
                </a:gs>
              </a:gsLst>
              <a:lin ang="5400000" scaled="1"/>
            </a:gradFill>
            <a:ln>
              <a:noFill/>
            </a:ln>
            <a:effectLst/>
            <a:scene3d>
              <a:camera prst="orthographicFront"/>
              <a:lightRig rig="threePt" dir="t"/>
            </a:scene3d>
            <a:sp3d prstMaterial="dkEdge"/>
          </c:spPr>
          <c:invertIfNegative val="0"/>
          <c:cat>
            <c:strRef>
              <c:f>ControlChart_Budget1!$ER$2:$ER$13</c:f>
              <c:strCache>
                <c:ptCount val="2"/>
                <c:pt idx="0">
                  <c:v>janv</c:v>
                </c:pt>
                <c:pt idx="1">
                  <c:v>févr</c:v>
                </c:pt>
              </c:strCache>
            </c:strRef>
          </c:cat>
          <c:val>
            <c:numRef>
              <c:f>ControlChart_Budget1!$ET$2:$ET$13</c:f>
              <c:numCache>
                <c:formatCode>#\ ##0\ "$"</c:formatCode>
                <c:ptCount val="12"/>
                <c:pt idx="0">
                  <c:v>2E-3</c:v>
                </c:pt>
                <c:pt idx="1">
                  <c:v>2E-3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F4D-4651-8514-B0BDED4EC43F}"/>
            </c:ext>
          </c:extLst>
        </c:ser>
        <c:dLbls>
          <c:showLegendKey val="0"/>
          <c:showVal val="0"/>
          <c:showCatName val="0"/>
          <c:showSerName val="0"/>
          <c:showPercent val="0"/>
          <c:showBubbleSize val="0"/>
        </c:dLbls>
        <c:gapWidth val="219"/>
        <c:overlap val="-27"/>
        <c:axId val="1550347648"/>
        <c:axId val="1550339488"/>
      </c:barChart>
      <c:lineChart>
        <c:grouping val="standard"/>
        <c:varyColors val="0"/>
        <c:ser>
          <c:idx val="2"/>
          <c:order val="2"/>
          <c:tx>
            <c:strRef>
              <c:f>ControlChart_Budget1!$EU$1</c:f>
              <c:strCache>
                <c:ptCount val="1"/>
                <c:pt idx="0">
                  <c:v>ABS_LastM</c:v>
                </c:pt>
              </c:strCache>
            </c:strRef>
          </c:tx>
          <c:spPr>
            <a:ln w="12700" cap="rnd">
              <a:solidFill>
                <a:schemeClr val="tx1">
                  <a:lumMod val="75000"/>
                  <a:lumOff val="25000"/>
                </a:schemeClr>
              </a:solidFill>
              <a:round/>
            </a:ln>
            <a:effectLst/>
          </c:spPr>
          <c:marker>
            <c:symbol val="none"/>
          </c:marker>
          <c:cat>
            <c:strRef>
              <c:f>ControlChart_Budget1!$ER$2:$ER$13</c:f>
              <c:strCache>
                <c:ptCount val="2"/>
                <c:pt idx="0">
                  <c:v>janv</c:v>
                </c:pt>
                <c:pt idx="1">
                  <c:v>févr</c:v>
                </c:pt>
              </c:strCache>
            </c:strRef>
          </c:cat>
          <c:val>
            <c:numRef>
              <c:f>ControlChart_Budget1!$EU$2:$EU$13</c:f>
              <c:numCache>
                <c:formatCode>#\ ##0\ "$"</c:formatCode>
                <c:ptCount val="12"/>
                <c:pt idx="0">
                  <c:v>2E-3</c:v>
                </c:pt>
                <c:pt idx="1">
                  <c:v>2E-3</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3F4D-4651-8514-B0BDED4EC43F}"/>
            </c:ext>
          </c:extLst>
        </c:ser>
        <c:dLbls>
          <c:showLegendKey val="0"/>
          <c:showVal val="0"/>
          <c:showCatName val="0"/>
          <c:showSerName val="0"/>
          <c:showPercent val="0"/>
          <c:showBubbleSize val="0"/>
        </c:dLbls>
        <c:marker val="1"/>
        <c:smooth val="0"/>
        <c:axId val="1550347648"/>
        <c:axId val="1550339488"/>
      </c:lineChart>
      <c:catAx>
        <c:axId val="1550347648"/>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0339488"/>
        <c:crosses val="autoZero"/>
        <c:auto val="1"/>
        <c:lblAlgn val="ctr"/>
        <c:lblOffset val="100"/>
        <c:noMultiLvlLbl val="0"/>
      </c:catAx>
      <c:valAx>
        <c:axId val="1550339488"/>
        <c:scaling>
          <c:orientation val="minMax"/>
        </c:scaling>
        <c:delete val="0"/>
        <c:axPos val="l"/>
        <c:majorGridlines>
          <c:spPr>
            <a:ln w="9525" cap="flat" cmpd="sng" algn="ctr">
              <a:solidFill>
                <a:schemeClr val="tx1">
                  <a:lumMod val="85000"/>
                  <a:lumOff val="1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034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3949877204023"/>
          <c:y val="0.14725776282533676"/>
          <c:w val="0.84997298276618327"/>
          <c:h val="0.85149939805627195"/>
        </c:manualLayout>
      </c:layout>
      <c:barChart>
        <c:barDir val="bar"/>
        <c:grouping val="clustered"/>
        <c:varyColors val="0"/>
        <c:ser>
          <c:idx val="0"/>
          <c:order val="0"/>
          <c:tx>
            <c:strRef>
              <c:f>ControlChart_Budget1!$FI$19</c:f>
              <c:strCache>
                <c:ptCount val="1"/>
                <c:pt idx="0">
                  <c:v>ABSMontantE</c:v>
                </c:pt>
              </c:strCache>
            </c:strRef>
          </c:tx>
          <c:spPr>
            <a:gradFill>
              <a:gsLst>
                <a:gs pos="0">
                  <a:srgbClr val="FA6148">
                    <a:alpha val="30000"/>
                  </a:srgbClr>
                </a:gs>
                <a:gs pos="70000">
                  <a:srgbClr val="FA6148"/>
                </a:gs>
              </a:gsLst>
              <a:lin ang="5400000" scaled="1"/>
            </a:gradFill>
            <a:ln>
              <a:noFill/>
            </a:ln>
            <a:effectLst/>
            <a:scene3d>
              <a:camera prst="orthographicFront"/>
              <a:lightRig rig="contrasting" dir="t"/>
            </a:scene3d>
            <a:sp3d prstMaterial="softEdge"/>
          </c:spPr>
          <c:invertIfNegative val="0"/>
          <c:dLbls>
            <c:dLbl>
              <c:idx val="0"/>
              <c:tx>
                <c:rich>
                  <a:bodyPr/>
                  <a:lstStyle/>
                  <a:p>
                    <a:fld id="{CCD397BD-3BFC-48F3-A933-44FE7A994EA2}" type="CELLRANGE">
                      <a:rPr lang="en-US"/>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C9D-4F9A-A43F-C13A4CFE1B11}"/>
                </c:ext>
              </c:extLst>
            </c:dLbl>
            <c:dLbl>
              <c:idx val="1"/>
              <c:tx>
                <c:rich>
                  <a:bodyPr/>
                  <a:lstStyle/>
                  <a:p>
                    <a:fld id="{55CF86F1-84A7-41B3-B6C3-DC7A11496373}"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C9D-4F9A-A43F-C13A4CFE1B11}"/>
                </c:ext>
              </c:extLst>
            </c:dLbl>
            <c:dLbl>
              <c:idx val="2"/>
              <c:tx>
                <c:rich>
                  <a:bodyPr/>
                  <a:lstStyle/>
                  <a:p>
                    <a:fld id="{BFF1BA18-C511-4C0E-90E0-2B92F0CF0F43}"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C9D-4F9A-A43F-C13A4CFE1B11}"/>
                </c:ext>
              </c:extLst>
            </c:dLbl>
            <c:dLbl>
              <c:idx val="3"/>
              <c:tx>
                <c:rich>
                  <a:bodyPr/>
                  <a:lstStyle/>
                  <a:p>
                    <a:fld id="{CEAB5F05-095F-4AC7-BBA9-6638B2763EB9}"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C9D-4F9A-A43F-C13A4CFE1B11}"/>
                </c:ext>
              </c:extLst>
            </c:dLbl>
            <c:dLbl>
              <c:idx val="4"/>
              <c:tx>
                <c:rich>
                  <a:bodyPr/>
                  <a:lstStyle/>
                  <a:p>
                    <a:fld id="{BBE5A463-1233-40B7-96CA-59E8AF5FA893}"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C9D-4F9A-A43F-C13A4CFE1B11}"/>
                </c:ext>
              </c:extLst>
            </c:dLbl>
            <c:dLbl>
              <c:idx val="5"/>
              <c:tx>
                <c:rich>
                  <a:bodyPr/>
                  <a:lstStyle/>
                  <a:p>
                    <a:fld id="{5F015654-AE57-4968-A843-641BAB031940}"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C9D-4F9A-A43F-C13A4CFE1B11}"/>
                </c:ext>
              </c:extLst>
            </c:dLbl>
            <c:dLbl>
              <c:idx val="6"/>
              <c:tx>
                <c:rich>
                  <a:bodyPr/>
                  <a:lstStyle/>
                  <a:p>
                    <a:fld id="{25A28658-225B-42C8-B860-1F5A28D39DE9}"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C9D-4F9A-A43F-C13A4CFE1B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A6148"/>
                    </a:solidFill>
                    <a:latin typeface="+mn-lt"/>
                    <a:ea typeface="+mn-ea"/>
                    <a:cs typeface="+mn-cs"/>
                  </a:defRPr>
                </a:pPr>
                <a:endParaRPr lang="fr-FR"/>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ControlChart_Budget1!$FL$1:$FL$7</c:f>
              <c:numCache>
                <c:formatCode>0.00%</c:formatCode>
                <c:ptCount val="7"/>
                <c:pt idx="0">
                  <c:v>1</c:v>
                </c:pt>
                <c:pt idx="1">
                  <c:v>1</c:v>
                </c:pt>
                <c:pt idx="2">
                  <c:v>1</c:v>
                </c:pt>
                <c:pt idx="3">
                  <c:v>1</c:v>
                </c:pt>
                <c:pt idx="4">
                  <c:v>1</c:v>
                </c:pt>
                <c:pt idx="5">
                  <c:v>1</c:v>
                </c:pt>
                <c:pt idx="6">
                  <c:v>1</c:v>
                </c:pt>
              </c:numCache>
            </c:numRef>
          </c:val>
          <c:extLst>
            <c:ext xmlns:c15="http://schemas.microsoft.com/office/drawing/2012/chart" uri="{02D57815-91ED-43cb-92C2-25804820EDAC}">
              <c15:datalabelsRange>
                <c15:f>ControlChart_Budget1!$FP$1:$FP$18</c15:f>
                <c15:dlblRangeCache>
                  <c:ptCount val="18"/>
                  <c:pt idx="0">
                    <c:v>100.0%</c:v>
                  </c:pt>
                  <c:pt idx="1">
                    <c:v>100.0%</c:v>
                  </c:pt>
                  <c:pt idx="2">
                    <c:v>100.0%</c:v>
                  </c:pt>
                  <c:pt idx="3">
                    <c:v>100.0%</c:v>
                  </c:pt>
                  <c:pt idx="4">
                    <c:v>100.0%</c:v>
                  </c:pt>
                  <c:pt idx="5">
                    <c:v>100.0%</c:v>
                  </c:pt>
                  <c:pt idx="6">
                    <c:v>100.0%</c:v>
                  </c:pt>
                </c15:dlblRangeCache>
              </c15:datalabelsRange>
            </c:ext>
            <c:ext xmlns:c16="http://schemas.microsoft.com/office/drawing/2014/chart" uri="{C3380CC4-5D6E-409C-BE32-E72D297353CC}">
              <c16:uniqueId val="{00000007-DC9D-4F9A-A43F-C13A4CFE1B11}"/>
            </c:ext>
          </c:extLst>
        </c:ser>
        <c:ser>
          <c:idx val="1"/>
          <c:order val="1"/>
          <c:tx>
            <c:strRef>
              <c:f>ControlChart_Budget1!$FJ$19</c:f>
              <c:strCache>
                <c:ptCount val="1"/>
                <c:pt idx="0">
                  <c:v>ABS_LastM</c:v>
                </c:pt>
              </c:strCache>
            </c:strRef>
          </c:tx>
          <c:spPr>
            <a:gradFill>
              <a:gsLst>
                <a:gs pos="0">
                  <a:schemeClr val="bg2">
                    <a:lumMod val="50000"/>
                    <a:alpha val="70000"/>
                  </a:schemeClr>
                </a:gs>
                <a:gs pos="70000">
                  <a:schemeClr val="bg2">
                    <a:lumMod val="50000"/>
                  </a:schemeClr>
                </a:gs>
              </a:gsLst>
              <a:lin ang="5400000" scaled="1"/>
            </a:gradFill>
            <a:ln>
              <a:noFill/>
            </a:ln>
            <a:effectLst/>
            <a:scene3d>
              <a:camera prst="orthographicFront"/>
              <a:lightRig rig="freezing" dir="t"/>
            </a:scene3d>
            <a:sp3d prstMaterial="dkEdge"/>
          </c:spPr>
          <c:invertIfNegative val="0"/>
          <c:dLbls>
            <c:dLbl>
              <c:idx val="0"/>
              <c:tx>
                <c:rich>
                  <a:bodyPr/>
                  <a:lstStyle/>
                  <a:p>
                    <a:fld id="{CB4F8E37-8696-425F-B24B-2D40ED12A323}"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DC9D-4F9A-A43F-C13A4CFE1B11}"/>
                </c:ext>
              </c:extLst>
            </c:dLbl>
            <c:dLbl>
              <c:idx val="1"/>
              <c:tx>
                <c:rich>
                  <a:bodyPr/>
                  <a:lstStyle/>
                  <a:p>
                    <a:fld id="{CA94127A-FB09-4BEC-8E53-D9971D828618}"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C9D-4F9A-A43F-C13A4CFE1B11}"/>
                </c:ext>
              </c:extLst>
            </c:dLbl>
            <c:dLbl>
              <c:idx val="2"/>
              <c:tx>
                <c:rich>
                  <a:bodyPr/>
                  <a:lstStyle/>
                  <a:p>
                    <a:fld id="{03F86BC5-169C-4827-B84D-79D0322B431B}"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C9D-4F9A-A43F-C13A4CFE1B11}"/>
                </c:ext>
              </c:extLst>
            </c:dLbl>
            <c:dLbl>
              <c:idx val="3"/>
              <c:tx>
                <c:rich>
                  <a:bodyPr/>
                  <a:lstStyle/>
                  <a:p>
                    <a:fld id="{92CCB8F2-52E7-469F-B953-7735AF8C30DB}"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C9D-4F9A-A43F-C13A4CFE1B11}"/>
                </c:ext>
              </c:extLst>
            </c:dLbl>
            <c:dLbl>
              <c:idx val="4"/>
              <c:tx>
                <c:rich>
                  <a:bodyPr/>
                  <a:lstStyle/>
                  <a:p>
                    <a:fld id="{51EC39AB-114A-4E4A-AEE6-BB01E319888B}"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C9D-4F9A-A43F-C13A4CFE1B11}"/>
                </c:ext>
              </c:extLst>
            </c:dLbl>
            <c:dLbl>
              <c:idx val="5"/>
              <c:tx>
                <c:rich>
                  <a:bodyPr/>
                  <a:lstStyle/>
                  <a:p>
                    <a:fld id="{D1ECBF41-8559-44FE-A64B-C0898269D863}"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C9D-4F9A-A43F-C13A4CFE1B11}"/>
                </c:ext>
              </c:extLst>
            </c:dLbl>
            <c:dLbl>
              <c:idx val="6"/>
              <c:tx>
                <c:rich>
                  <a:bodyPr/>
                  <a:lstStyle/>
                  <a:p>
                    <a:fld id="{D8BD600D-5C12-4E13-AE9C-4C2A2EAF3889}"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C9D-4F9A-A43F-C13A4CFE1B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ControlChart_Budget1!$FM$1:$FM$7</c:f>
              <c:numCache>
                <c:formatCode>0.00%</c:formatCode>
                <c:ptCount val="7"/>
                <c:pt idx="0">
                  <c:v>1</c:v>
                </c:pt>
                <c:pt idx="1">
                  <c:v>1</c:v>
                </c:pt>
                <c:pt idx="2">
                  <c:v>1</c:v>
                </c:pt>
                <c:pt idx="3">
                  <c:v>1</c:v>
                </c:pt>
                <c:pt idx="4">
                  <c:v>1</c:v>
                </c:pt>
                <c:pt idx="5">
                  <c:v>1</c:v>
                </c:pt>
                <c:pt idx="6">
                  <c:v>1</c:v>
                </c:pt>
              </c:numCache>
            </c:numRef>
          </c:val>
          <c:extLst>
            <c:ext xmlns:c15="http://schemas.microsoft.com/office/drawing/2012/chart" uri="{02D57815-91ED-43cb-92C2-25804820EDAC}">
              <c15:datalabelsRange>
                <c15:f>ControlChart_Budget1!$FQ$1:$FQ$18</c15:f>
                <c15:dlblRangeCache>
                  <c:ptCount val="18"/>
                  <c:pt idx="0">
                    <c:v>100.0%</c:v>
                  </c:pt>
                  <c:pt idx="1">
                    <c:v>100.0%</c:v>
                  </c:pt>
                  <c:pt idx="2">
                    <c:v>100.0%</c:v>
                  </c:pt>
                  <c:pt idx="3">
                    <c:v>100.0%</c:v>
                  </c:pt>
                  <c:pt idx="4">
                    <c:v>100.0%</c:v>
                  </c:pt>
                  <c:pt idx="5">
                    <c:v>100.0%</c:v>
                  </c:pt>
                  <c:pt idx="6">
                    <c:v>100.0%</c:v>
                  </c:pt>
                </c15:dlblRangeCache>
              </c15:datalabelsRange>
            </c:ext>
            <c:ext xmlns:c16="http://schemas.microsoft.com/office/drawing/2014/chart" uri="{C3380CC4-5D6E-409C-BE32-E72D297353CC}">
              <c16:uniqueId val="{0000000F-DC9D-4F9A-A43F-C13A4CFE1B11}"/>
            </c:ext>
          </c:extLst>
        </c:ser>
        <c:dLbls>
          <c:showLegendKey val="0"/>
          <c:showVal val="0"/>
          <c:showCatName val="0"/>
          <c:showSerName val="0"/>
          <c:showPercent val="0"/>
          <c:showBubbleSize val="0"/>
        </c:dLbls>
        <c:gapWidth val="210"/>
        <c:overlap val="-65"/>
        <c:axId val="415353887"/>
        <c:axId val="415358207"/>
      </c:barChart>
      <c:barChart>
        <c:barDir val="bar"/>
        <c:grouping val="clustered"/>
        <c:varyColors val="0"/>
        <c:ser>
          <c:idx val="2"/>
          <c:order val="2"/>
          <c:tx>
            <c:v>Etiquette</c:v>
          </c:tx>
          <c:spPr>
            <a:noFill/>
            <a:ln>
              <a:noFill/>
            </a:ln>
            <a:effectLst/>
          </c:spPr>
          <c:invertIfNegative val="0"/>
          <c:dLbls>
            <c:dLbl>
              <c:idx val="0"/>
              <c:tx>
                <c:rich>
                  <a:bodyPr/>
                  <a:lstStyle/>
                  <a:p>
                    <a:fld id="{061179DD-0CDE-449A-AE78-37941BE33B33}" type="CELLRANGE">
                      <a:rPr lang="en-US"/>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DC9D-4F9A-A43F-C13A4CFE1B11}"/>
                </c:ext>
              </c:extLst>
            </c:dLbl>
            <c:dLbl>
              <c:idx val="1"/>
              <c:tx>
                <c:rich>
                  <a:bodyPr/>
                  <a:lstStyle/>
                  <a:p>
                    <a:fld id="{4BE3B29C-4705-40B6-8CA7-0A610D8BC3EB}"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C9D-4F9A-A43F-C13A4CFE1B11}"/>
                </c:ext>
              </c:extLst>
            </c:dLbl>
            <c:dLbl>
              <c:idx val="2"/>
              <c:tx>
                <c:rich>
                  <a:bodyPr/>
                  <a:lstStyle/>
                  <a:p>
                    <a:fld id="{0CB002A0-7ED8-471B-99B2-4DE678BC53F1}"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C9D-4F9A-A43F-C13A4CFE1B11}"/>
                </c:ext>
              </c:extLst>
            </c:dLbl>
            <c:dLbl>
              <c:idx val="3"/>
              <c:tx>
                <c:rich>
                  <a:bodyPr/>
                  <a:lstStyle/>
                  <a:p>
                    <a:fld id="{4A2FA10C-68C2-4CB4-9609-FF6897D7E0CE}"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C9D-4F9A-A43F-C13A4CFE1B11}"/>
                </c:ext>
              </c:extLst>
            </c:dLbl>
            <c:dLbl>
              <c:idx val="4"/>
              <c:tx>
                <c:rich>
                  <a:bodyPr/>
                  <a:lstStyle/>
                  <a:p>
                    <a:fld id="{281F4B48-72D2-4328-8F3E-1AF17741A6A8}"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DC9D-4F9A-A43F-C13A4CFE1B11}"/>
                </c:ext>
              </c:extLst>
            </c:dLbl>
            <c:dLbl>
              <c:idx val="5"/>
              <c:tx>
                <c:rich>
                  <a:bodyPr/>
                  <a:lstStyle/>
                  <a:p>
                    <a:fld id="{CE405098-12FB-46DE-B0D8-DCFB9E032EC9}"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DC9D-4F9A-A43F-C13A4CFE1B11}"/>
                </c:ext>
              </c:extLst>
            </c:dLbl>
            <c:dLbl>
              <c:idx val="6"/>
              <c:tx>
                <c:rich>
                  <a:bodyPr/>
                  <a:lstStyle/>
                  <a:p>
                    <a:fld id="{39D6E8E7-859C-410C-9EED-3A108152D115}"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DC9D-4F9A-A43F-C13A4CFE1B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A6148"/>
                    </a:solidFill>
                    <a:latin typeface="+mn-lt"/>
                    <a:ea typeface="+mn-ea"/>
                    <a:cs typeface="+mn-cs"/>
                  </a:defRPr>
                </a:pPr>
                <a:endParaRPr lang="fr-FR"/>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ControlChart_Budget1!$FO$1:$FO$7</c:f>
              <c:numCache>
                <c:formatCode>General</c:formatCode>
                <c:ptCount val="7"/>
                <c:pt idx="0">
                  <c:v>-0.05</c:v>
                </c:pt>
                <c:pt idx="1">
                  <c:v>-0.05</c:v>
                </c:pt>
                <c:pt idx="2">
                  <c:v>-0.05</c:v>
                </c:pt>
                <c:pt idx="3">
                  <c:v>-0.05</c:v>
                </c:pt>
                <c:pt idx="4">
                  <c:v>-0.05</c:v>
                </c:pt>
                <c:pt idx="5">
                  <c:v>-0.05</c:v>
                </c:pt>
                <c:pt idx="6">
                  <c:v>-0.05</c:v>
                </c:pt>
              </c:numCache>
            </c:numRef>
          </c:val>
          <c:extLst>
            <c:ext xmlns:c15="http://schemas.microsoft.com/office/drawing/2012/chart" uri="{02D57815-91ED-43cb-92C2-25804820EDAC}">
              <c15:datalabelsRange>
                <c15:f>ControlChart_Budget1!$FN$1:$FN$18</c15:f>
                <c15:dlblRangeCache>
                  <c:ptCount val="18"/>
                  <c:pt idx="0">
                    <c:v>Category1</c:v>
                  </c:pt>
                  <c:pt idx="1">
                    <c:v>Category2</c:v>
                  </c:pt>
                  <c:pt idx="2">
                    <c:v>Category3</c:v>
                  </c:pt>
                  <c:pt idx="3">
                    <c:v>Category4</c:v>
                  </c:pt>
                  <c:pt idx="4">
                    <c:v>Category5</c:v>
                  </c:pt>
                  <c:pt idx="5">
                    <c:v>Category6</c:v>
                  </c:pt>
                  <c:pt idx="6">
                    <c:v>Category7</c:v>
                  </c:pt>
                </c15:dlblRangeCache>
              </c15:datalabelsRange>
            </c:ext>
            <c:ext xmlns:c16="http://schemas.microsoft.com/office/drawing/2014/chart" uri="{C3380CC4-5D6E-409C-BE32-E72D297353CC}">
              <c16:uniqueId val="{00000017-DC9D-4F9A-A43F-C13A4CFE1B11}"/>
            </c:ext>
          </c:extLst>
        </c:ser>
        <c:dLbls>
          <c:showLegendKey val="0"/>
          <c:showVal val="0"/>
          <c:showCatName val="0"/>
          <c:showSerName val="0"/>
          <c:showPercent val="0"/>
          <c:showBubbleSize val="0"/>
        </c:dLbls>
        <c:gapWidth val="136"/>
        <c:axId val="351716463"/>
        <c:axId val="351727503"/>
      </c:barChart>
      <c:catAx>
        <c:axId val="415353887"/>
        <c:scaling>
          <c:orientation val="maxMin"/>
        </c:scaling>
        <c:delete val="1"/>
        <c:axPos val="l"/>
        <c:majorTickMark val="out"/>
        <c:minorTickMark val="none"/>
        <c:tickLblPos val="nextTo"/>
        <c:crossAx val="415358207"/>
        <c:crosses val="autoZero"/>
        <c:auto val="1"/>
        <c:lblAlgn val="ctr"/>
        <c:lblOffset val="100"/>
        <c:noMultiLvlLbl val="0"/>
      </c:catAx>
      <c:valAx>
        <c:axId val="415358207"/>
        <c:scaling>
          <c:orientation val="minMax"/>
          <c:min val="-5.000000000000001E-2"/>
        </c:scaling>
        <c:delete val="1"/>
        <c:axPos val="t"/>
        <c:majorGridlines>
          <c:spPr>
            <a:ln w="9525" cap="flat" cmpd="sng" algn="ctr">
              <a:noFill/>
              <a:round/>
            </a:ln>
            <a:effectLst/>
          </c:spPr>
        </c:majorGridlines>
        <c:numFmt formatCode="0%" sourceLinked="0"/>
        <c:majorTickMark val="out"/>
        <c:minorTickMark val="none"/>
        <c:tickLblPos val="nextTo"/>
        <c:crossAx val="415353887"/>
        <c:crosses val="autoZero"/>
        <c:crossBetween val="between"/>
      </c:valAx>
      <c:valAx>
        <c:axId val="351727503"/>
        <c:scaling>
          <c:orientation val="minMax"/>
          <c:max val="0.5"/>
          <c:min val="-5.000000000000001E-2"/>
        </c:scaling>
        <c:delete val="1"/>
        <c:axPos val="b"/>
        <c:numFmt formatCode="General" sourceLinked="1"/>
        <c:majorTickMark val="out"/>
        <c:minorTickMark val="none"/>
        <c:tickLblPos val="nextTo"/>
        <c:crossAx val="351716463"/>
        <c:crosses val="max"/>
        <c:crossBetween val="between"/>
      </c:valAx>
      <c:catAx>
        <c:axId val="351716463"/>
        <c:scaling>
          <c:orientation val="maxMin"/>
        </c:scaling>
        <c:delete val="1"/>
        <c:axPos val="r"/>
        <c:majorTickMark val="out"/>
        <c:minorTickMark val="none"/>
        <c:tickLblPos val="nextTo"/>
        <c:crossAx val="351727503"/>
        <c:crosses val="max"/>
        <c:auto val="1"/>
        <c:lblAlgn val="ctr"/>
        <c:lblOffset val="100"/>
        <c:noMultiLvlLbl val="0"/>
      </c:catAx>
      <c:spPr>
        <a:noFill/>
        <a:ln>
          <a:noFill/>
        </a:ln>
        <a:effectLst>
          <a:outerShdw blurRad="50800" dist="50800" dir="5400000" algn="ctr" rotWithShape="0">
            <a:srgbClr val="000000">
              <a:alpha val="43137"/>
            </a:srgb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[WealthFinPilot_v3.0.xlsm]A_Budget1!Budget1_CashFlow</c:name>
    <c:fmtId val="16"/>
  </c:pivotSource>
  <c:chart>
    <c:autoTitleDeleted val="0"/>
    <c:pivotFmts>
      <c:pivotFmt>
        <c:idx val="0"/>
        <c:spPr>
          <a:solidFill>
            <a:schemeClr val="accent1"/>
          </a:solidFill>
          <a:ln w="12700" cap="rnd">
            <a:solidFill>
              <a:schemeClr val="tx1">
                <a:lumMod val="85000"/>
                <a:lumOff val="1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2700" cap="rnd">
            <a:solidFill>
              <a:srgbClr val="FA614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2700" cap="rnd">
            <a:solidFill>
              <a:srgbClr val="AADCD7"/>
            </a:solidFill>
            <a:round/>
          </a:ln>
          <a:effectLst/>
        </c:spPr>
        <c:marker>
          <c:symbol val="circle"/>
          <c:size val="5"/>
          <c:spPr>
            <a:solidFill>
              <a:srgbClr val="AADCD7"/>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chemeClr val="tx1">
                <a:lumMod val="85000"/>
                <a:lumOff val="1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2700" cap="rnd">
            <a:solidFill>
              <a:srgbClr val="FA614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2700" cap="rnd">
            <a:solidFill>
              <a:srgbClr val="AADCD7"/>
            </a:solidFill>
            <a:round/>
          </a:ln>
          <a:effectLst/>
        </c:spPr>
        <c:marker>
          <c:symbol val="circle"/>
          <c:size val="5"/>
          <c:spPr>
            <a:solidFill>
              <a:srgbClr val="AADCD7"/>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lumMod val="75000"/>
              <a:lumOff val="25000"/>
            </a:schemeClr>
          </a:soli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a:gsLst>
              <a:gs pos="0">
                <a:srgbClr val="FA6148">
                  <a:alpha val="30000"/>
                </a:srgbClr>
              </a:gs>
              <a:gs pos="70000">
                <a:srgbClr val="FA6148"/>
              </a:gs>
            </a:gsLst>
            <a:lin ang="5400000" scaled="1"/>
          </a:gra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2700" cap="rnd">
            <a:solidFill>
              <a:srgbClr val="AADCD7"/>
            </a:solidFill>
            <a:round/>
          </a:ln>
          <a:effectLst/>
        </c:spPr>
        <c:marker>
          <c:symbol val="circle"/>
          <c:size val="5"/>
          <c:spPr>
            <a:solidFill>
              <a:srgbClr val="AADCD7"/>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a:gsLst>
              <a:gs pos="0">
                <a:srgbClr val="AADCD7">
                  <a:alpha val="70000"/>
                </a:srgbClr>
              </a:gs>
              <a:gs pos="70000">
                <a:srgbClr val="AADCD7"/>
              </a:gs>
            </a:gsLst>
            <a:lin ang="5400000" scaled="1"/>
          </a:gra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A_Budget1!$AB$8</c:f>
              <c:strCache>
                <c:ptCount val="1"/>
                <c:pt idx="0">
                  <c:v>Sum of Last_Montant</c:v>
                </c:pt>
              </c:strCache>
            </c:strRef>
          </c:tx>
          <c:spPr>
            <a:solidFill>
              <a:schemeClr val="tx1">
                <a:lumMod val="75000"/>
                <a:lumOff val="25000"/>
              </a:schemeClr>
            </a:solidFill>
            <a:ln w="12700">
              <a:noFill/>
            </a:ln>
            <a:effectLst/>
          </c:spPr>
          <c:invertIfNegative val="0"/>
          <c:cat>
            <c:multiLvlStrRef>
              <c:f>A_Budget1!$Z$9:$AA$12</c:f>
              <c:multiLvlStrCache>
                <c:ptCount val="4"/>
                <c:lvl>
                  <c:pt idx="0">
                    <c:v>janv</c:v>
                  </c:pt>
                  <c:pt idx="1">
                    <c:v>févr</c:v>
                  </c:pt>
                  <c:pt idx="2">
                    <c:v>janv</c:v>
                  </c:pt>
                  <c:pt idx="3">
                    <c:v>févr</c:v>
                  </c:pt>
                </c:lvl>
                <c:lvl>
                  <c:pt idx="0">
                    <c:v>2025</c:v>
                  </c:pt>
                  <c:pt idx="2">
                    <c:v>2026</c:v>
                  </c:pt>
                </c:lvl>
              </c:multiLvlStrCache>
            </c:multiLvlStrRef>
          </c:cat>
          <c:val>
            <c:numRef>
              <c:f>A_Budget1!$AB$9:$AB$12</c:f>
              <c:numCache>
                <c:formatCode>0</c:formatCode>
                <c:ptCount val="4"/>
                <c:pt idx="0">
                  <c:v>1.0000000000000002E-2</c:v>
                </c:pt>
                <c:pt idx="1">
                  <c:v>1.0000000000000002E-2</c:v>
                </c:pt>
                <c:pt idx="2">
                  <c:v>1.0000000000000002E-2</c:v>
                </c:pt>
                <c:pt idx="3">
                  <c:v>1.0000000000000002E-2</c:v>
                </c:pt>
              </c:numCache>
            </c:numRef>
          </c:val>
          <c:extLst>
            <c:ext xmlns:c16="http://schemas.microsoft.com/office/drawing/2014/chart" uri="{C3380CC4-5D6E-409C-BE32-E72D297353CC}">
              <c16:uniqueId val="{00000000-66A2-4B4F-A768-BDD2FA31339E}"/>
            </c:ext>
          </c:extLst>
        </c:ser>
        <c:ser>
          <c:idx val="1"/>
          <c:order val="1"/>
          <c:tx>
            <c:strRef>
              <c:f>A_Budget1!$AC$8</c:f>
              <c:strCache>
                <c:ptCount val="1"/>
                <c:pt idx="0">
                  <c:v>Sum of Montant_Extrap</c:v>
                </c:pt>
              </c:strCache>
            </c:strRef>
          </c:tx>
          <c:spPr>
            <a:gradFill>
              <a:gsLst>
                <a:gs pos="0">
                  <a:srgbClr val="FA6148">
                    <a:alpha val="30000"/>
                  </a:srgbClr>
                </a:gs>
                <a:gs pos="70000">
                  <a:srgbClr val="FA6148"/>
                </a:gs>
              </a:gsLst>
              <a:lin ang="5400000" scaled="1"/>
            </a:gradFill>
            <a:ln w="12700">
              <a:noFill/>
            </a:ln>
            <a:effectLst/>
          </c:spPr>
          <c:invertIfNegative val="0"/>
          <c:cat>
            <c:multiLvlStrRef>
              <c:f>A_Budget1!$Z$9:$AA$12</c:f>
              <c:multiLvlStrCache>
                <c:ptCount val="4"/>
                <c:lvl>
                  <c:pt idx="0">
                    <c:v>janv</c:v>
                  </c:pt>
                  <c:pt idx="1">
                    <c:v>févr</c:v>
                  </c:pt>
                  <c:pt idx="2">
                    <c:v>janv</c:v>
                  </c:pt>
                  <c:pt idx="3">
                    <c:v>févr</c:v>
                  </c:pt>
                </c:lvl>
                <c:lvl>
                  <c:pt idx="0">
                    <c:v>2025</c:v>
                  </c:pt>
                  <c:pt idx="2">
                    <c:v>2026</c:v>
                  </c:pt>
                </c:lvl>
              </c:multiLvlStrCache>
            </c:multiLvlStrRef>
          </c:cat>
          <c:val>
            <c:numRef>
              <c:f>A_Budget1!$AC$9:$AC$12</c:f>
              <c:numCache>
                <c:formatCode>0</c:formatCode>
                <c:ptCount val="4"/>
                <c:pt idx="0">
                  <c:v>1.0000000000000002E-2</c:v>
                </c:pt>
                <c:pt idx="1">
                  <c:v>1.0000000000000002E-2</c:v>
                </c:pt>
                <c:pt idx="2">
                  <c:v>1.0000000000000002E-2</c:v>
                </c:pt>
                <c:pt idx="3">
                  <c:v>1.0000000000000002E-2</c:v>
                </c:pt>
              </c:numCache>
            </c:numRef>
          </c:val>
          <c:extLst>
            <c:ext xmlns:c16="http://schemas.microsoft.com/office/drawing/2014/chart" uri="{C3380CC4-5D6E-409C-BE32-E72D297353CC}">
              <c16:uniqueId val="{00000001-66A2-4B4F-A768-BDD2FA31339E}"/>
            </c:ext>
          </c:extLst>
        </c:ser>
        <c:ser>
          <c:idx val="2"/>
          <c:order val="2"/>
          <c:tx>
            <c:strRef>
              <c:f>A_Budget1!$AD$8</c:f>
              <c:strCache>
                <c:ptCount val="1"/>
                <c:pt idx="0">
                  <c:v>Sum of Montant</c:v>
                </c:pt>
              </c:strCache>
            </c:strRef>
          </c:tx>
          <c:spPr>
            <a:gradFill>
              <a:gsLst>
                <a:gs pos="0">
                  <a:srgbClr val="AADCD7">
                    <a:alpha val="70000"/>
                  </a:srgbClr>
                </a:gs>
                <a:gs pos="70000">
                  <a:srgbClr val="AADCD7"/>
                </a:gs>
              </a:gsLst>
              <a:lin ang="5400000" scaled="1"/>
            </a:gradFill>
            <a:ln w="12700">
              <a:noFill/>
            </a:ln>
            <a:effectLst/>
          </c:spPr>
          <c:invertIfNegative val="0"/>
          <c:cat>
            <c:multiLvlStrRef>
              <c:f>A_Budget1!$Z$9:$AA$12</c:f>
              <c:multiLvlStrCache>
                <c:ptCount val="4"/>
                <c:lvl>
                  <c:pt idx="0">
                    <c:v>janv</c:v>
                  </c:pt>
                  <c:pt idx="1">
                    <c:v>févr</c:v>
                  </c:pt>
                  <c:pt idx="2">
                    <c:v>janv</c:v>
                  </c:pt>
                  <c:pt idx="3">
                    <c:v>févr</c:v>
                  </c:pt>
                </c:lvl>
                <c:lvl>
                  <c:pt idx="0">
                    <c:v>2025</c:v>
                  </c:pt>
                  <c:pt idx="2">
                    <c:v>2026</c:v>
                  </c:pt>
                </c:lvl>
              </c:multiLvlStrCache>
            </c:multiLvlStrRef>
          </c:cat>
          <c:val>
            <c:numRef>
              <c:f>A_Budget1!$AD$9:$AD$12</c:f>
              <c:numCache>
                <c:formatCode>0</c:formatCode>
                <c:ptCount val="4"/>
                <c:pt idx="0">
                  <c:v>1.0000000000000002E-3</c:v>
                </c:pt>
                <c:pt idx="1">
                  <c:v>1.0000000000000002E-3</c:v>
                </c:pt>
                <c:pt idx="2">
                  <c:v>1.0000000000000002E-3</c:v>
                </c:pt>
                <c:pt idx="3">
                  <c:v>1.0000000000000002E-3</c:v>
                </c:pt>
              </c:numCache>
            </c:numRef>
          </c:val>
          <c:extLst>
            <c:ext xmlns:c16="http://schemas.microsoft.com/office/drawing/2014/chart" uri="{C3380CC4-5D6E-409C-BE32-E72D297353CC}">
              <c16:uniqueId val="{00000001-6A53-4879-88D1-68EA07553FF6}"/>
            </c:ext>
          </c:extLst>
        </c:ser>
        <c:dLbls>
          <c:showLegendKey val="0"/>
          <c:showVal val="0"/>
          <c:showCatName val="0"/>
          <c:showSerName val="0"/>
          <c:showPercent val="0"/>
          <c:showBubbleSize val="0"/>
        </c:dLbls>
        <c:gapWidth val="400"/>
        <c:axId val="1993703103"/>
        <c:axId val="1993692543"/>
      </c:barChart>
      <c:catAx>
        <c:axId val="1993703103"/>
        <c:scaling>
          <c:orientation val="minMax"/>
        </c:scaling>
        <c:delete val="0"/>
        <c:axPos val="b"/>
        <c:numFmt formatCode="General" sourceLinked="1"/>
        <c:majorTickMark val="none"/>
        <c:minorTickMark val="none"/>
        <c:tickLblPos val="low"/>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93692543"/>
        <c:crosses val="autoZero"/>
        <c:auto val="1"/>
        <c:lblAlgn val="ctr"/>
        <c:lblOffset val="100"/>
        <c:noMultiLvlLbl val="0"/>
      </c:catAx>
      <c:valAx>
        <c:axId val="1993692543"/>
        <c:scaling>
          <c:orientation val="minMax"/>
        </c:scaling>
        <c:delete val="0"/>
        <c:axPos val="l"/>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93703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396370465596407E-4"/>
          <c:y val="4.0206678569004728E-3"/>
          <c:w val="0.99981604123693091"/>
          <c:h val="0.9726248609107615"/>
        </c:manualLayout>
      </c:layout>
      <c:barChart>
        <c:barDir val="bar"/>
        <c:grouping val="stacked"/>
        <c:varyColors val="0"/>
        <c:ser>
          <c:idx val="0"/>
          <c:order val="0"/>
          <c:spPr>
            <a:solidFill>
              <a:schemeClr val="tx1">
                <a:lumMod val="85000"/>
                <a:lumOff val="15000"/>
              </a:schemeClr>
            </a:solidFill>
            <a:ln>
              <a:noFill/>
            </a:ln>
            <a:effectLst/>
          </c:spPr>
          <c:invertIfNegative val="0"/>
          <c:dLbls>
            <c:dLbl>
              <c:idx val="0"/>
              <c:tx>
                <c:rich>
                  <a:bodyPr/>
                  <a:lstStyle/>
                  <a:p>
                    <a:fld id="{81CB17C0-9E3A-4190-A4AB-6519083C72F6}"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D11-4454-90B4-B803701C4239}"/>
                </c:ext>
              </c:extLst>
            </c:dLbl>
            <c:dLbl>
              <c:idx val="1"/>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4D11-4454-90B4-B803701C4239}"/>
                </c:ext>
              </c:extLst>
            </c:dLbl>
            <c:dLbl>
              <c:idx val="2"/>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4D11-4454-90B4-B803701C4239}"/>
                </c:ext>
              </c:extLst>
            </c:dLbl>
            <c:dLbl>
              <c:idx val="3"/>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4D11-4454-90B4-B803701C4239}"/>
                </c:ext>
              </c:extLst>
            </c:dLbl>
            <c:dLbl>
              <c:idx val="4"/>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4D11-4454-90B4-B803701C4239}"/>
                </c:ext>
              </c:extLst>
            </c:dLbl>
            <c:dLbl>
              <c:idx val="5"/>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4D11-4454-90B4-B803701C4239}"/>
                </c:ext>
              </c:extLst>
            </c:dLbl>
            <c:dLbl>
              <c:idx val="6"/>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4D11-4454-90B4-B803701C4239}"/>
                </c:ext>
              </c:extLst>
            </c:dLbl>
            <c:dLbl>
              <c:idx val="7"/>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4D11-4454-90B4-B803701C4239}"/>
                </c:ext>
              </c:extLst>
            </c:dLbl>
            <c:dLbl>
              <c:idx val="8"/>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4D11-4454-90B4-B803701C4239}"/>
                </c:ext>
              </c:extLst>
            </c:dLbl>
            <c:dLbl>
              <c:idx val="9"/>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4D11-4454-90B4-B803701C4239}"/>
                </c:ext>
              </c:extLst>
            </c:dLbl>
            <c:dLbl>
              <c:idx val="10"/>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A-4D11-4454-90B4-B803701C4239}"/>
                </c:ext>
              </c:extLst>
            </c:dLbl>
            <c:dLbl>
              <c:idx val="11"/>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B-4D11-4454-90B4-B803701C4239}"/>
                </c:ext>
              </c:extLst>
            </c:dLbl>
            <c:dLbl>
              <c:idx val="12"/>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C-4D11-4454-90B4-B803701C4239}"/>
                </c:ext>
              </c:extLst>
            </c:dLbl>
            <c:dLbl>
              <c:idx val="13"/>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D-4D11-4454-90B4-B803701C4239}"/>
                </c:ext>
              </c:extLst>
            </c:dLbl>
            <c:dLbl>
              <c:idx val="14"/>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E-4D11-4454-90B4-B803701C4239}"/>
                </c:ext>
              </c:extLst>
            </c:dLbl>
            <c:dLbl>
              <c:idx val="15"/>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F-4D11-4454-90B4-B803701C42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54EF8"/>
                    </a:solidFill>
                    <a:latin typeface="+mn-lt"/>
                    <a:ea typeface="+mn-ea"/>
                    <a:cs typeface="+mn-cs"/>
                  </a:defRPr>
                </a:pPr>
                <a:endParaRPr lang="fr-FR"/>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ControlChart_Budget2!$DR$22:$DR$37</c:f>
              <c:numCache>
                <c:formatCode>General</c:formatCode>
                <c:ptCount val="16"/>
                <c:pt idx="0">
                  <c:v>1.5999999999999999E-3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5="http://schemas.microsoft.com/office/drawing/2012/chart" uri="{02D57815-91ED-43cb-92C2-25804820EDAC}">
              <c15:datalabelsRange>
                <c15:f>ControlChart_Budget2!$DW$22:$DW$37</c15:f>
                <c15:dlblRangeCache>
                  <c:ptCount val="16"/>
                  <c:pt idx="0">
                    <c:v>0.00$</c:v>
                  </c:pt>
                </c15:dlblRangeCache>
              </c15:datalabelsRange>
            </c:ext>
            <c:ext xmlns:c16="http://schemas.microsoft.com/office/drawing/2014/chart" uri="{C3380CC4-5D6E-409C-BE32-E72D297353CC}">
              <c16:uniqueId val="{00000010-4D11-4454-90B4-B803701C4239}"/>
            </c:ext>
          </c:extLst>
        </c:ser>
        <c:ser>
          <c:idx val="1"/>
          <c:order val="1"/>
          <c:spPr>
            <a:gradFill>
              <a:gsLst>
                <a:gs pos="0">
                  <a:srgbClr val="C54EF8"/>
                </a:gs>
                <a:gs pos="70000">
                  <a:srgbClr val="7030A0"/>
                </a:gs>
              </a:gsLst>
              <a:lin ang="5400000" scaled="1"/>
            </a:gradFill>
            <a:ln>
              <a:noFill/>
            </a:ln>
            <a:effectLst/>
          </c:spPr>
          <c:invertIfNegative val="0"/>
          <c:val>
            <c:numRef>
              <c:f>ControlChart_Budget2!$DS$22:$DS$37</c:f>
              <c:numCache>
                <c:formatCode>0.0000000</c:formatCode>
                <c:ptCount val="16"/>
                <c:pt idx="0">
                  <c:v>4.0000000000000001E-3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11-4D11-4454-90B4-B803701C4239}"/>
            </c:ext>
          </c:extLst>
        </c:ser>
        <c:ser>
          <c:idx val="2"/>
          <c:order val="2"/>
          <c:spPr>
            <a:noFill/>
            <a:ln>
              <a:noFill/>
            </a:ln>
            <a:effectLst/>
          </c:spPr>
          <c:invertIfNegative val="0"/>
          <c:dLbls>
            <c:dLbl>
              <c:idx val="0"/>
              <c:tx>
                <c:rich>
                  <a:bodyPr/>
                  <a:lstStyle/>
                  <a:p>
                    <a:fld id="{A3597D66-47A6-4F75-AC5A-9A2B89126D6C}"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4D11-4454-90B4-B803701C4239}"/>
                </c:ext>
              </c:extLst>
            </c:dLbl>
            <c:dLbl>
              <c:idx val="1"/>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3-4D11-4454-90B4-B803701C4239}"/>
                </c:ext>
              </c:extLst>
            </c:dLbl>
            <c:dLbl>
              <c:idx val="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4-4D11-4454-90B4-B803701C4239}"/>
                </c:ext>
              </c:extLst>
            </c:dLbl>
            <c:dLbl>
              <c:idx val="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5-4D11-4454-90B4-B803701C4239}"/>
                </c:ext>
              </c:extLst>
            </c:dLbl>
            <c:dLbl>
              <c:idx val="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6-4D11-4454-90B4-B803701C4239}"/>
                </c:ext>
              </c:extLst>
            </c:dLbl>
            <c:dLbl>
              <c:idx val="5"/>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7-4D11-4454-90B4-B803701C4239}"/>
                </c:ext>
              </c:extLst>
            </c:dLbl>
            <c:dLbl>
              <c:idx val="6"/>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8-4D11-4454-90B4-B803701C4239}"/>
                </c:ext>
              </c:extLst>
            </c:dLbl>
            <c:dLbl>
              <c:idx val="7"/>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9-4D11-4454-90B4-B803701C4239}"/>
                </c:ext>
              </c:extLst>
            </c:dLbl>
            <c:dLbl>
              <c:idx val="8"/>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A-4D11-4454-90B4-B803701C4239}"/>
                </c:ext>
              </c:extLst>
            </c:dLbl>
            <c:dLbl>
              <c:idx val="9"/>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B-4D11-4454-90B4-B803701C4239}"/>
                </c:ext>
              </c:extLst>
            </c:dLbl>
            <c:dLbl>
              <c:idx val="10"/>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C-4D11-4454-90B4-B803701C4239}"/>
                </c:ext>
              </c:extLst>
            </c:dLbl>
            <c:dLbl>
              <c:idx val="11"/>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D-4D11-4454-90B4-B803701C4239}"/>
                </c:ext>
              </c:extLst>
            </c:dLbl>
            <c:dLbl>
              <c:idx val="12"/>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E-4D11-4454-90B4-B803701C4239}"/>
                </c:ext>
              </c:extLst>
            </c:dLbl>
            <c:dLbl>
              <c:idx val="13"/>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F-4D11-4454-90B4-B803701C4239}"/>
                </c:ext>
              </c:extLst>
            </c:dLbl>
            <c:dLbl>
              <c:idx val="14"/>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0-4D11-4454-90B4-B803701C4239}"/>
                </c:ext>
              </c:extLst>
            </c:dLbl>
            <c:dLbl>
              <c:idx val="15"/>
              <c:tx>
                <c:rich>
                  <a:bodyPr/>
                  <a:lstStyle/>
                  <a:p>
                    <a:endParaRPr lang="en-CA"/>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1-4D11-4454-90B4-B803701C42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ControlChart_Budget2!$DT$22:$DT$37</c:f>
              <c:numCache>
                <c:formatCode>0.000000</c:formatCode>
                <c:ptCount val="16"/>
                <c:pt idx="0">
                  <c:v>3.2000000000000002E-3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5="http://schemas.microsoft.com/office/drawing/2012/chart" uri="{02D57815-91ED-43cb-92C2-25804820EDAC}">
              <c15:datalabelsRange>
                <c15:f>ControlChart_Budget2!$DO$22:$DO$37</c15:f>
                <c15:dlblRangeCache>
                  <c:ptCount val="16"/>
                  <c:pt idx="0">
                    <c:v>Sub-Category1</c:v>
                  </c:pt>
                </c15:dlblRangeCache>
              </c15:datalabelsRange>
            </c:ext>
            <c:ext xmlns:c16="http://schemas.microsoft.com/office/drawing/2014/chart" uri="{C3380CC4-5D6E-409C-BE32-E72D297353CC}">
              <c16:uniqueId val="{00000022-4D11-4454-90B4-B803701C4239}"/>
            </c:ext>
          </c:extLst>
        </c:ser>
        <c:ser>
          <c:idx val="3"/>
          <c:order val="3"/>
          <c:spPr>
            <a:gradFill>
              <a:gsLst>
                <a:gs pos="0">
                  <a:schemeClr val="bg2">
                    <a:lumMod val="75000"/>
                    <a:alpha val="50000"/>
                  </a:schemeClr>
                </a:gs>
                <a:gs pos="70000">
                  <a:schemeClr val="bg2">
                    <a:lumMod val="75000"/>
                  </a:schemeClr>
                </a:gs>
              </a:gsLst>
              <a:lin ang="5400000" scaled="1"/>
            </a:gradFill>
            <a:ln>
              <a:noFill/>
            </a:ln>
            <a:effectLst/>
          </c:spPr>
          <c:invertIfNegative val="0"/>
          <c:val>
            <c:numRef>
              <c:f>ControlChart_Budget2!$DU$22:$DU$37</c:f>
              <c:numCache>
                <c:formatCode>General</c:formatCode>
                <c:ptCount val="16"/>
                <c:pt idx="0">
                  <c:v>4.0000000000000001E-3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23-4D11-4454-90B4-B803701C4239}"/>
            </c:ext>
          </c:extLst>
        </c:ser>
        <c:ser>
          <c:idx val="4"/>
          <c:order val="4"/>
          <c:spPr>
            <a:solidFill>
              <a:schemeClr val="tx1">
                <a:lumMod val="85000"/>
                <a:lumOff val="15000"/>
              </a:schemeClr>
            </a:solidFill>
            <a:ln>
              <a:noFill/>
            </a:ln>
            <a:effectLst/>
          </c:spPr>
          <c:invertIfNegative val="0"/>
          <c:dLbls>
            <c:dLbl>
              <c:idx val="0"/>
              <c:tx>
                <c:rich>
                  <a:bodyPr/>
                  <a:lstStyle/>
                  <a:p>
                    <a:fld id="{F8CE5F66-ED03-4FA0-8A58-549076CE810D}" type="CELLRANGE">
                      <a:rPr lang="en-US"/>
                      <a:pPr/>
                      <a:t>[CELLRANGE]</a:t>
                    </a:fld>
                    <a:endParaRPr lang="en-CA"/>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4D11-4454-90B4-B803701C4239}"/>
                </c:ext>
              </c:extLst>
            </c:dLbl>
            <c:dLbl>
              <c:idx val="1"/>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5-4D11-4454-90B4-B803701C4239}"/>
                </c:ext>
              </c:extLst>
            </c:dLbl>
            <c:dLbl>
              <c:idx val="2"/>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6-4D11-4454-90B4-B803701C4239}"/>
                </c:ext>
              </c:extLst>
            </c:dLbl>
            <c:dLbl>
              <c:idx val="3"/>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7-4D11-4454-90B4-B803701C4239}"/>
                </c:ext>
              </c:extLst>
            </c:dLbl>
            <c:dLbl>
              <c:idx val="4"/>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8-4D11-4454-90B4-B803701C4239}"/>
                </c:ext>
              </c:extLst>
            </c:dLbl>
            <c:dLbl>
              <c:idx val="5"/>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9-4D11-4454-90B4-B803701C4239}"/>
                </c:ext>
              </c:extLst>
            </c:dLbl>
            <c:dLbl>
              <c:idx val="6"/>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A-4D11-4454-90B4-B803701C4239}"/>
                </c:ext>
              </c:extLst>
            </c:dLbl>
            <c:dLbl>
              <c:idx val="7"/>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B-4D11-4454-90B4-B803701C4239}"/>
                </c:ext>
              </c:extLst>
            </c:dLbl>
            <c:dLbl>
              <c:idx val="8"/>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C-4D11-4454-90B4-B803701C4239}"/>
                </c:ext>
              </c:extLst>
            </c:dLbl>
            <c:dLbl>
              <c:idx val="9"/>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D-4D11-4454-90B4-B803701C4239}"/>
                </c:ext>
              </c:extLst>
            </c:dLbl>
            <c:dLbl>
              <c:idx val="10"/>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E-4D11-4454-90B4-B803701C4239}"/>
                </c:ext>
              </c:extLst>
            </c:dLbl>
            <c:dLbl>
              <c:idx val="11"/>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F-4D11-4454-90B4-B803701C4239}"/>
                </c:ext>
              </c:extLst>
            </c:dLbl>
            <c:dLbl>
              <c:idx val="12"/>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0-4D11-4454-90B4-B803701C4239}"/>
                </c:ext>
              </c:extLst>
            </c:dLbl>
            <c:dLbl>
              <c:idx val="13"/>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1-4D11-4454-90B4-B803701C4239}"/>
                </c:ext>
              </c:extLst>
            </c:dLbl>
            <c:dLbl>
              <c:idx val="14"/>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2-4D11-4454-90B4-B803701C4239}"/>
                </c:ext>
              </c:extLst>
            </c:dLbl>
            <c:dLbl>
              <c:idx val="15"/>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3-4D11-4454-90B4-B803701C42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75000"/>
                      </a:schemeClr>
                    </a:solidFill>
                    <a:latin typeface="+mn-lt"/>
                    <a:ea typeface="+mn-ea"/>
                    <a:cs typeface="+mn-cs"/>
                  </a:defRPr>
                </a:pPr>
                <a:endParaRPr lang="fr-F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ControlChart_Budget2!$DV$22:$DV$37</c:f>
              <c:numCache>
                <c:formatCode>General</c:formatCode>
                <c:ptCount val="16"/>
                <c:pt idx="0">
                  <c:v>1.5999999999999999E-3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5="http://schemas.microsoft.com/office/drawing/2012/chart" uri="{02D57815-91ED-43cb-92C2-25804820EDAC}">
              <c15:datalabelsRange>
                <c15:f>ControlChart_Budget2!$DX$22:$DX$37</c15:f>
                <c15:dlblRangeCache>
                  <c:ptCount val="16"/>
                  <c:pt idx="0">
                    <c:v>0.00$</c:v>
                  </c:pt>
                </c15:dlblRangeCache>
              </c15:datalabelsRange>
            </c:ext>
            <c:ext xmlns:c16="http://schemas.microsoft.com/office/drawing/2014/chart" uri="{C3380CC4-5D6E-409C-BE32-E72D297353CC}">
              <c16:uniqueId val="{00000034-4D11-4454-90B4-B803701C4239}"/>
            </c:ext>
          </c:extLst>
        </c:ser>
        <c:dLbls>
          <c:showLegendKey val="0"/>
          <c:showVal val="0"/>
          <c:showCatName val="0"/>
          <c:showSerName val="0"/>
          <c:showPercent val="0"/>
          <c:showBubbleSize val="0"/>
        </c:dLbls>
        <c:gapWidth val="40"/>
        <c:overlap val="100"/>
        <c:axId val="37463200"/>
        <c:axId val="37459360"/>
      </c:barChart>
      <c:catAx>
        <c:axId val="37463200"/>
        <c:scaling>
          <c:orientation val="maxMin"/>
        </c:scaling>
        <c:delete val="1"/>
        <c:axPos val="l"/>
        <c:majorTickMark val="none"/>
        <c:minorTickMark val="none"/>
        <c:tickLblPos val="nextTo"/>
        <c:crossAx val="37459360"/>
        <c:crosses val="autoZero"/>
        <c:auto val="1"/>
        <c:lblAlgn val="ctr"/>
        <c:lblOffset val="100"/>
        <c:noMultiLvlLbl val="0"/>
      </c:catAx>
      <c:valAx>
        <c:axId val="37459360"/>
        <c:scaling>
          <c:orientation val="minMax"/>
        </c:scaling>
        <c:delete val="1"/>
        <c:axPos val="t"/>
        <c:numFmt formatCode="General" sourceLinked="1"/>
        <c:majorTickMark val="none"/>
        <c:minorTickMark val="none"/>
        <c:tickLblPos val="nextTo"/>
        <c:crossAx val="3746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ControlChart_Budget2!$ES$17</c:f>
              <c:strCache>
                <c:ptCount val="1"/>
                <c:pt idx="0">
                  <c:v>ABSB1M</c:v>
                </c:pt>
              </c:strCache>
            </c:strRef>
          </c:tx>
          <c:spPr>
            <a:gradFill>
              <a:gsLst>
                <a:gs pos="0">
                  <a:srgbClr val="AADCD7">
                    <a:alpha val="70000"/>
                  </a:srgbClr>
                </a:gs>
                <a:gs pos="70000">
                  <a:srgbClr val="AADCD7"/>
                </a:gs>
              </a:gsLst>
              <a:lin ang="5400000" scaled="1"/>
            </a:gradFill>
            <a:ln>
              <a:noFill/>
            </a:ln>
            <a:effectLst/>
            <a:scene3d>
              <a:camera prst="orthographicFront"/>
              <a:lightRig rig="chilly" dir="t"/>
            </a:scene3d>
            <a:sp3d prstMaterial="softEdge"/>
          </c:spPr>
          <c:invertIfNegative val="0"/>
          <c:cat>
            <c:strRef>
              <c:f>ControlChart_Budget2!$ER$18:$ER$29</c:f>
              <c:strCache>
                <c:ptCount val="2"/>
                <c:pt idx="0">
                  <c:v>Jan</c:v>
                </c:pt>
                <c:pt idx="1">
                  <c:v>Feb</c:v>
                </c:pt>
              </c:strCache>
            </c:strRef>
          </c:cat>
          <c:val>
            <c:numRef>
              <c:f>ControlChart_Budget2!$ES$18:$ES$29</c:f>
              <c:numCache>
                <c:formatCode>#\ ##0\ "$"</c:formatCode>
                <c:ptCount val="12"/>
                <c:pt idx="0">
                  <c:v>2.0000000000000001E-4</c:v>
                </c:pt>
                <c:pt idx="1">
                  <c:v>2.0000000000000001E-4</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C26-4DCD-AC98-A1A0EABF3AC0}"/>
            </c:ext>
          </c:extLst>
        </c:ser>
        <c:ser>
          <c:idx val="1"/>
          <c:order val="1"/>
          <c:tx>
            <c:strRef>
              <c:f>ControlChart_Budget2!$ET$17</c:f>
              <c:strCache>
                <c:ptCount val="1"/>
                <c:pt idx="0">
                  <c:v>ABSMontantE</c:v>
                </c:pt>
              </c:strCache>
            </c:strRef>
          </c:tx>
          <c:spPr>
            <a:gradFill>
              <a:gsLst>
                <a:gs pos="0">
                  <a:srgbClr val="C54EF8"/>
                </a:gs>
                <a:gs pos="70000">
                  <a:srgbClr val="7030A0"/>
                </a:gs>
              </a:gsLst>
              <a:lin ang="5400000" scaled="1"/>
            </a:gradFill>
            <a:ln>
              <a:noFill/>
            </a:ln>
            <a:effectLst/>
            <a:scene3d>
              <a:camera prst="orthographicFront"/>
              <a:lightRig rig="contrasting" dir="t"/>
            </a:scene3d>
            <a:sp3d prstMaterial="softEdge"/>
          </c:spPr>
          <c:invertIfNegative val="0"/>
          <c:cat>
            <c:strRef>
              <c:f>ControlChart_Budget2!$ER$18:$ER$29</c:f>
              <c:strCache>
                <c:ptCount val="2"/>
                <c:pt idx="0">
                  <c:v>Jan</c:v>
                </c:pt>
                <c:pt idx="1">
                  <c:v>Feb</c:v>
                </c:pt>
              </c:strCache>
            </c:strRef>
          </c:cat>
          <c:val>
            <c:numRef>
              <c:f>ControlChart_Budget2!$ET$18:$ET$29</c:f>
              <c:numCache>
                <c:formatCode>#\ ##0\ "$"</c:formatCode>
                <c:ptCount val="12"/>
                <c:pt idx="0">
                  <c:v>2E-3</c:v>
                </c:pt>
                <c:pt idx="1">
                  <c:v>2E-3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C26-4DCD-AC98-A1A0EABF3AC0}"/>
            </c:ext>
          </c:extLst>
        </c:ser>
        <c:dLbls>
          <c:showLegendKey val="0"/>
          <c:showVal val="0"/>
          <c:showCatName val="0"/>
          <c:showSerName val="0"/>
          <c:showPercent val="0"/>
          <c:showBubbleSize val="0"/>
        </c:dLbls>
        <c:gapWidth val="219"/>
        <c:overlap val="-15"/>
        <c:axId val="280986943"/>
        <c:axId val="280986463"/>
      </c:barChart>
      <c:lineChart>
        <c:grouping val="standard"/>
        <c:varyColors val="0"/>
        <c:ser>
          <c:idx val="2"/>
          <c:order val="2"/>
          <c:tx>
            <c:strRef>
              <c:f>ControlChart_Budget2!$EU$17</c:f>
              <c:strCache>
                <c:ptCount val="1"/>
                <c:pt idx="0">
                  <c:v>ABS_LastM</c:v>
                </c:pt>
              </c:strCache>
            </c:strRef>
          </c:tx>
          <c:spPr>
            <a:ln w="12700" cap="rnd">
              <a:solidFill>
                <a:schemeClr val="tx1">
                  <a:lumMod val="75000"/>
                  <a:lumOff val="25000"/>
                </a:schemeClr>
              </a:solidFill>
              <a:round/>
            </a:ln>
            <a:effectLst/>
          </c:spPr>
          <c:marker>
            <c:symbol val="none"/>
          </c:marker>
          <c:cat>
            <c:strRef>
              <c:f>ControlChart_Budget2!$ER$18:$ER$29</c:f>
              <c:strCache>
                <c:ptCount val="2"/>
                <c:pt idx="0">
                  <c:v>Jan</c:v>
                </c:pt>
                <c:pt idx="1">
                  <c:v>Feb</c:v>
                </c:pt>
              </c:strCache>
            </c:strRef>
          </c:cat>
          <c:val>
            <c:numRef>
              <c:f>ControlChart_Budget2!$EU$18:$EU$29</c:f>
              <c:numCache>
                <c:formatCode>#\ ##0\ "$"</c:formatCode>
                <c:ptCount val="12"/>
                <c:pt idx="0">
                  <c:v>2E-3</c:v>
                </c:pt>
                <c:pt idx="1">
                  <c:v>2E-3</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AC26-4DCD-AC98-A1A0EABF3AC0}"/>
            </c:ext>
          </c:extLst>
        </c:ser>
        <c:dLbls>
          <c:showLegendKey val="0"/>
          <c:showVal val="0"/>
          <c:showCatName val="0"/>
          <c:showSerName val="0"/>
          <c:showPercent val="0"/>
          <c:showBubbleSize val="0"/>
        </c:dLbls>
        <c:marker val="1"/>
        <c:smooth val="0"/>
        <c:axId val="280986943"/>
        <c:axId val="280986463"/>
      </c:lineChart>
      <c:catAx>
        <c:axId val="280986943"/>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0986463"/>
        <c:crosses val="autoZero"/>
        <c:auto val="1"/>
        <c:lblAlgn val="ctr"/>
        <c:lblOffset val="100"/>
        <c:noMultiLvlLbl val="0"/>
      </c:catAx>
      <c:valAx>
        <c:axId val="280986463"/>
        <c:scaling>
          <c:orientation val="minMax"/>
        </c:scaling>
        <c:delete val="0"/>
        <c:axPos val="l"/>
        <c:majorGridlines>
          <c:spPr>
            <a:ln w="9525" cap="flat" cmpd="sng" algn="ctr">
              <a:solidFill>
                <a:schemeClr val="tx1">
                  <a:lumMod val="85000"/>
                  <a:lumOff val="1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0986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ControlChart_Budget2!$ES$1</c:f>
              <c:strCache>
                <c:ptCount val="1"/>
                <c:pt idx="0">
                  <c:v>ABSB1M</c:v>
                </c:pt>
              </c:strCache>
            </c:strRef>
          </c:tx>
          <c:spPr>
            <a:gradFill>
              <a:gsLst>
                <a:gs pos="0">
                  <a:srgbClr val="AADCD7">
                    <a:alpha val="70000"/>
                  </a:srgbClr>
                </a:gs>
                <a:gs pos="70000">
                  <a:srgbClr val="AADCD7"/>
                </a:gs>
              </a:gsLst>
              <a:lin ang="5400000" scaled="1"/>
            </a:gradFill>
            <a:ln>
              <a:noFill/>
            </a:ln>
            <a:effectLst/>
            <a:scene3d>
              <a:camera prst="orthographicFront"/>
              <a:lightRig rig="chilly" dir="t"/>
            </a:scene3d>
            <a:sp3d prstMaterial="powder"/>
          </c:spPr>
          <c:invertIfNegative val="0"/>
          <c:cat>
            <c:strRef>
              <c:f>ControlChart_Budget2!$ER$2:$ER$13</c:f>
              <c:strCache>
                <c:ptCount val="2"/>
                <c:pt idx="0">
                  <c:v>Jan</c:v>
                </c:pt>
                <c:pt idx="1">
                  <c:v>Feb</c:v>
                </c:pt>
              </c:strCache>
            </c:strRef>
          </c:cat>
          <c:val>
            <c:numRef>
              <c:f>ControlChart_Budget2!$ES$2:$ES$13</c:f>
              <c:numCache>
                <c:formatCode>#\ ##0\ "$"</c:formatCode>
                <c:ptCount val="12"/>
                <c:pt idx="0">
                  <c:v>2.0000000000000001E-4</c:v>
                </c:pt>
                <c:pt idx="1">
                  <c:v>2.0000000000000001E-4</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CB5-4D5E-8B27-8ACBAF91D297}"/>
            </c:ext>
          </c:extLst>
        </c:ser>
        <c:ser>
          <c:idx val="1"/>
          <c:order val="1"/>
          <c:tx>
            <c:strRef>
              <c:f>ControlChart_Budget2!$ET$1</c:f>
              <c:strCache>
                <c:ptCount val="1"/>
                <c:pt idx="0">
                  <c:v>ABSMontantE</c:v>
                </c:pt>
              </c:strCache>
            </c:strRef>
          </c:tx>
          <c:spPr>
            <a:gradFill>
              <a:gsLst>
                <a:gs pos="0">
                  <a:srgbClr val="C54EF8"/>
                </a:gs>
                <a:gs pos="70000">
                  <a:srgbClr val="7030A0"/>
                </a:gs>
              </a:gsLst>
              <a:lin ang="5400000" scaled="1"/>
            </a:gradFill>
            <a:ln>
              <a:noFill/>
            </a:ln>
            <a:effectLst/>
            <a:scene3d>
              <a:camera prst="orthographicFront"/>
              <a:lightRig rig="threePt" dir="t"/>
            </a:scene3d>
            <a:sp3d prstMaterial="dkEdge"/>
          </c:spPr>
          <c:invertIfNegative val="0"/>
          <c:cat>
            <c:strRef>
              <c:f>ControlChart_Budget2!$ER$2:$ER$13</c:f>
              <c:strCache>
                <c:ptCount val="2"/>
                <c:pt idx="0">
                  <c:v>Jan</c:v>
                </c:pt>
                <c:pt idx="1">
                  <c:v>Feb</c:v>
                </c:pt>
              </c:strCache>
            </c:strRef>
          </c:cat>
          <c:val>
            <c:numRef>
              <c:f>ControlChart_Budget2!$ET$2:$ET$13</c:f>
              <c:numCache>
                <c:formatCode>#\ ##0\ "$"</c:formatCode>
                <c:ptCount val="12"/>
                <c:pt idx="0">
                  <c:v>2E-3</c:v>
                </c:pt>
                <c:pt idx="1">
                  <c:v>2E-3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CB5-4D5E-8B27-8ACBAF91D297}"/>
            </c:ext>
          </c:extLst>
        </c:ser>
        <c:dLbls>
          <c:showLegendKey val="0"/>
          <c:showVal val="0"/>
          <c:showCatName val="0"/>
          <c:showSerName val="0"/>
          <c:showPercent val="0"/>
          <c:showBubbleSize val="0"/>
        </c:dLbls>
        <c:gapWidth val="219"/>
        <c:overlap val="-27"/>
        <c:axId val="1550347648"/>
        <c:axId val="1550339488"/>
      </c:barChart>
      <c:lineChart>
        <c:grouping val="standard"/>
        <c:varyColors val="0"/>
        <c:ser>
          <c:idx val="2"/>
          <c:order val="2"/>
          <c:tx>
            <c:strRef>
              <c:f>ControlChart_Budget2!$EU$1</c:f>
              <c:strCache>
                <c:ptCount val="1"/>
                <c:pt idx="0">
                  <c:v>ABS_LastM</c:v>
                </c:pt>
              </c:strCache>
            </c:strRef>
          </c:tx>
          <c:spPr>
            <a:ln w="12700" cap="rnd">
              <a:solidFill>
                <a:schemeClr val="tx1">
                  <a:lumMod val="75000"/>
                  <a:lumOff val="25000"/>
                </a:schemeClr>
              </a:solidFill>
              <a:round/>
            </a:ln>
            <a:effectLst/>
          </c:spPr>
          <c:marker>
            <c:symbol val="none"/>
          </c:marker>
          <c:cat>
            <c:strRef>
              <c:f>ControlChart_Budget2!$ER$2:$ER$13</c:f>
              <c:strCache>
                <c:ptCount val="2"/>
                <c:pt idx="0">
                  <c:v>Jan</c:v>
                </c:pt>
                <c:pt idx="1">
                  <c:v>Feb</c:v>
                </c:pt>
              </c:strCache>
            </c:strRef>
          </c:cat>
          <c:val>
            <c:numRef>
              <c:f>ControlChart_Budget2!$EU$2:$EU$13</c:f>
              <c:numCache>
                <c:formatCode>#\ ##0\ "$"</c:formatCode>
                <c:ptCount val="12"/>
                <c:pt idx="0">
                  <c:v>2E-3</c:v>
                </c:pt>
                <c:pt idx="1">
                  <c:v>2E-3</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6CB5-4D5E-8B27-8ACBAF91D297}"/>
            </c:ext>
          </c:extLst>
        </c:ser>
        <c:dLbls>
          <c:showLegendKey val="0"/>
          <c:showVal val="0"/>
          <c:showCatName val="0"/>
          <c:showSerName val="0"/>
          <c:showPercent val="0"/>
          <c:showBubbleSize val="0"/>
        </c:dLbls>
        <c:marker val="1"/>
        <c:smooth val="0"/>
        <c:axId val="1550347648"/>
        <c:axId val="1550339488"/>
      </c:lineChart>
      <c:catAx>
        <c:axId val="1550347648"/>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0339488"/>
        <c:crosses val="autoZero"/>
        <c:auto val="1"/>
        <c:lblAlgn val="ctr"/>
        <c:lblOffset val="100"/>
        <c:noMultiLvlLbl val="0"/>
      </c:catAx>
      <c:valAx>
        <c:axId val="1550339488"/>
        <c:scaling>
          <c:orientation val="minMax"/>
        </c:scaling>
        <c:delete val="0"/>
        <c:axPos val="l"/>
        <c:majorGridlines>
          <c:spPr>
            <a:ln w="9525" cap="flat" cmpd="sng" algn="ctr">
              <a:solidFill>
                <a:schemeClr val="tx1">
                  <a:lumMod val="85000"/>
                  <a:lumOff val="1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034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17187663710685"/>
          <c:y val="0.11665864683581219"/>
          <c:w val="0.85382812336289315"/>
          <c:h val="0.87060839039742832"/>
        </c:manualLayout>
      </c:layout>
      <c:barChart>
        <c:barDir val="bar"/>
        <c:grouping val="clustered"/>
        <c:varyColors val="0"/>
        <c:ser>
          <c:idx val="0"/>
          <c:order val="0"/>
          <c:tx>
            <c:strRef>
              <c:f>ControlChart_Budget2!$FI$19</c:f>
              <c:strCache>
                <c:ptCount val="1"/>
                <c:pt idx="0">
                  <c:v>ABSMontantE</c:v>
                </c:pt>
              </c:strCache>
            </c:strRef>
          </c:tx>
          <c:spPr>
            <a:gradFill>
              <a:gsLst>
                <a:gs pos="0">
                  <a:srgbClr val="C54EF8"/>
                </a:gs>
                <a:gs pos="70000">
                  <a:srgbClr val="7030A0"/>
                </a:gs>
              </a:gsLst>
              <a:lin ang="5400000" scaled="1"/>
            </a:gradFill>
            <a:ln>
              <a:noFill/>
            </a:ln>
            <a:effectLst/>
            <a:scene3d>
              <a:camera prst="orthographicFront"/>
              <a:lightRig rig="contrasting" dir="t"/>
            </a:scene3d>
            <a:sp3d prstMaterial="softEdge"/>
          </c:spPr>
          <c:invertIfNegative val="0"/>
          <c:dLbls>
            <c:dLbl>
              <c:idx val="0"/>
              <c:tx>
                <c:rich>
                  <a:bodyPr/>
                  <a:lstStyle/>
                  <a:p>
                    <a:fld id="{03CEA1D1-4212-48F7-9D2C-72360B197897}" type="CELLRANGE">
                      <a:rPr lang="en-US"/>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F954-4DA2-9789-794C92A09D4B}"/>
                </c:ext>
              </c:extLst>
            </c:dLbl>
            <c:dLbl>
              <c:idx val="1"/>
              <c:tx>
                <c:rich>
                  <a:bodyPr/>
                  <a:lstStyle/>
                  <a:p>
                    <a:fld id="{5EDA5D41-F428-434E-ACDA-4148648A7ACA}"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954-4DA2-9789-794C92A09D4B}"/>
                </c:ext>
              </c:extLst>
            </c:dLbl>
            <c:dLbl>
              <c:idx val="2"/>
              <c:tx>
                <c:rich>
                  <a:bodyPr/>
                  <a:lstStyle/>
                  <a:p>
                    <a:fld id="{8CFB1CB6-2B97-4A3E-A8EF-987C430A7CB9}"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954-4DA2-9789-794C92A09D4B}"/>
                </c:ext>
              </c:extLst>
            </c:dLbl>
            <c:dLbl>
              <c:idx val="3"/>
              <c:tx>
                <c:rich>
                  <a:bodyPr/>
                  <a:lstStyle/>
                  <a:p>
                    <a:fld id="{41ED7B9B-89AE-4179-AFB4-9F1B3A0E1E1A}"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954-4DA2-9789-794C92A09D4B}"/>
                </c:ext>
              </c:extLst>
            </c:dLbl>
            <c:dLbl>
              <c:idx val="4"/>
              <c:tx>
                <c:rich>
                  <a:bodyPr/>
                  <a:lstStyle/>
                  <a:p>
                    <a:fld id="{F5F223AE-61C3-419F-B435-D1446F6576B2}"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954-4DA2-9789-794C92A09D4B}"/>
                </c:ext>
              </c:extLst>
            </c:dLbl>
            <c:dLbl>
              <c:idx val="5"/>
              <c:tx>
                <c:rich>
                  <a:bodyPr/>
                  <a:lstStyle/>
                  <a:p>
                    <a:fld id="{E22B4E77-1255-4CF9-BA15-2513E9A170AA}"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954-4DA2-9789-794C92A09D4B}"/>
                </c:ext>
              </c:extLst>
            </c:dLbl>
            <c:dLbl>
              <c:idx val="6"/>
              <c:tx>
                <c:rich>
                  <a:bodyPr/>
                  <a:lstStyle/>
                  <a:p>
                    <a:fld id="{5F40E399-F5CE-478B-8941-5C8E461B3303}" type="CELLRANGE">
                      <a:rPr lang="en-CA"/>
                      <a:pPr/>
                      <a:t>[CELLRANGE]</a:t>
                    </a:fld>
                    <a:endParaRPr lang="en-CA"/>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954-4DA2-9789-794C92A09D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54EF8"/>
                    </a:solidFill>
                    <a:latin typeface="+mn-lt"/>
                    <a:ea typeface="+mn-ea"/>
                    <a:cs typeface="+mn-cs"/>
                  </a:defRPr>
                </a:pPr>
                <a:endParaRPr lang="fr-FR"/>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ControlChart_Budget2!$FL$1:$FL$7</c:f>
              <c:numCache>
                <c:formatCode>0.00%</c:formatCode>
                <c:ptCount val="7"/>
                <c:pt idx="0">
                  <c:v>1</c:v>
                </c:pt>
                <c:pt idx="1">
                  <c:v>1</c:v>
                </c:pt>
                <c:pt idx="2">
                  <c:v>1</c:v>
                </c:pt>
                <c:pt idx="3">
                  <c:v>1</c:v>
                </c:pt>
                <c:pt idx="4">
                  <c:v>1</c:v>
                </c:pt>
                <c:pt idx="5">
                  <c:v>1</c:v>
                </c:pt>
                <c:pt idx="6">
                  <c:v>1</c:v>
                </c:pt>
              </c:numCache>
            </c:numRef>
          </c:val>
          <c:extLst>
            <c:ext xmlns:c15="http://schemas.microsoft.com/office/drawing/2012/chart" uri="{02D57815-91ED-43cb-92C2-25804820EDAC}">
              <c15:datalabelsRange>
                <c15:f>ControlChart_Budget2!$FP$1:$FP$18</c15:f>
                <c15:dlblRangeCache>
                  <c:ptCount val="18"/>
                  <c:pt idx="0">
                    <c:v>100.0%</c:v>
                  </c:pt>
                  <c:pt idx="1">
                    <c:v>100.0%</c:v>
                  </c:pt>
                  <c:pt idx="2">
                    <c:v>100.0%</c:v>
                  </c:pt>
                  <c:pt idx="3">
                    <c:v>100.0%</c:v>
                  </c:pt>
                  <c:pt idx="4">
                    <c:v>100.0%</c:v>
                  </c:pt>
                  <c:pt idx="5">
                    <c:v>100.0%</c:v>
                  </c:pt>
                  <c:pt idx="6">
                    <c:v>100.0%</c:v>
                  </c:pt>
                </c15:dlblRangeCache>
              </c15:datalabelsRange>
            </c:ext>
            <c:ext xmlns:c16="http://schemas.microsoft.com/office/drawing/2014/chart" uri="{C3380CC4-5D6E-409C-BE32-E72D297353CC}">
              <c16:uniqueId val="{00000007-F954-4DA2-9789-794C92A09D4B}"/>
            </c:ext>
          </c:extLst>
        </c:ser>
        <c:ser>
          <c:idx val="1"/>
          <c:order val="1"/>
          <c:tx>
            <c:strRef>
              <c:f>ControlChart_Budget2!$FJ$19</c:f>
              <c:strCache>
                <c:ptCount val="1"/>
                <c:pt idx="0">
                  <c:v>ABS_LastM</c:v>
                </c:pt>
              </c:strCache>
            </c:strRef>
          </c:tx>
          <c:spPr>
            <a:gradFill>
              <a:gsLst>
                <a:gs pos="0">
                  <a:schemeClr val="bg2">
                    <a:lumMod val="50000"/>
                    <a:alpha val="70000"/>
                  </a:schemeClr>
                </a:gs>
                <a:gs pos="70000">
                  <a:schemeClr val="bg2">
                    <a:lumMod val="50000"/>
                  </a:schemeClr>
                </a:gs>
              </a:gsLst>
              <a:lin ang="5400000" scaled="1"/>
            </a:gradFill>
            <a:ln>
              <a:noFill/>
            </a:ln>
            <a:effectLst/>
            <a:scene3d>
              <a:camera prst="orthographicFront"/>
              <a:lightRig rig="freezing" dir="t"/>
            </a:scene3d>
            <a:sp3d prstMaterial="dkEdge"/>
          </c:spPr>
          <c:invertIfNegative val="0"/>
          <c:dLbls>
            <c:dLbl>
              <c:idx val="0"/>
              <c:tx>
                <c:rich>
                  <a:bodyPr/>
                  <a:lstStyle/>
                  <a:p>
                    <a:fld id="{CD8A1FE8-2E6D-40B1-B91C-BF6BB32C2118}" type="CELLRANGE">
                      <a:rPr lang="en-US"/>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954-4DA2-9789-794C92A09D4B}"/>
                </c:ext>
              </c:extLst>
            </c:dLbl>
            <c:dLbl>
              <c:idx val="1"/>
              <c:tx>
                <c:rich>
                  <a:bodyPr/>
                  <a:lstStyle/>
                  <a:p>
                    <a:fld id="{F65317F0-AD42-412A-8018-51718EA891E4}"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954-4DA2-9789-794C92A09D4B}"/>
                </c:ext>
              </c:extLst>
            </c:dLbl>
            <c:dLbl>
              <c:idx val="2"/>
              <c:tx>
                <c:rich>
                  <a:bodyPr/>
                  <a:lstStyle/>
                  <a:p>
                    <a:fld id="{B8A83C42-46FC-4A6A-BC54-30987C95E460}"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954-4DA2-9789-794C92A09D4B}"/>
                </c:ext>
              </c:extLst>
            </c:dLbl>
            <c:dLbl>
              <c:idx val="3"/>
              <c:tx>
                <c:rich>
                  <a:bodyPr/>
                  <a:lstStyle/>
                  <a:p>
                    <a:fld id="{1166E5B7-F4BC-4AE7-82FD-AB5D1442F3A2}"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954-4DA2-9789-794C92A09D4B}"/>
                </c:ext>
              </c:extLst>
            </c:dLbl>
            <c:dLbl>
              <c:idx val="4"/>
              <c:tx>
                <c:rich>
                  <a:bodyPr/>
                  <a:lstStyle/>
                  <a:p>
                    <a:fld id="{12016A9C-894E-4A61-B4F4-38839931644E}"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954-4DA2-9789-794C92A09D4B}"/>
                </c:ext>
              </c:extLst>
            </c:dLbl>
            <c:dLbl>
              <c:idx val="5"/>
              <c:tx>
                <c:rich>
                  <a:bodyPr/>
                  <a:lstStyle/>
                  <a:p>
                    <a:fld id="{FECFDE3A-46C3-47BA-8A15-7C074F1D88C4}"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954-4DA2-9789-794C92A09D4B}"/>
                </c:ext>
              </c:extLst>
            </c:dLbl>
            <c:dLbl>
              <c:idx val="6"/>
              <c:tx>
                <c:rich>
                  <a:bodyPr/>
                  <a:lstStyle/>
                  <a:p>
                    <a:fld id="{B68DC146-0E4F-4A6C-95F4-5622484A7157}" type="CELLRANGE">
                      <a:rPr lang="en-CA"/>
                      <a:pPr/>
                      <a:t>[CELLRANGE]</a:t>
                    </a:fld>
                    <a:endParaRPr lang="en-CA"/>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954-4DA2-9789-794C92A09D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ControlChart_Budget2!$FM$1:$FM$7</c:f>
              <c:numCache>
                <c:formatCode>0.00%</c:formatCode>
                <c:ptCount val="7"/>
                <c:pt idx="0">
                  <c:v>1</c:v>
                </c:pt>
                <c:pt idx="1">
                  <c:v>1</c:v>
                </c:pt>
                <c:pt idx="2">
                  <c:v>1</c:v>
                </c:pt>
                <c:pt idx="3">
                  <c:v>1</c:v>
                </c:pt>
                <c:pt idx="4">
                  <c:v>1</c:v>
                </c:pt>
                <c:pt idx="5">
                  <c:v>1</c:v>
                </c:pt>
                <c:pt idx="6">
                  <c:v>1</c:v>
                </c:pt>
              </c:numCache>
            </c:numRef>
          </c:val>
          <c:extLst>
            <c:ext xmlns:c15="http://schemas.microsoft.com/office/drawing/2012/chart" uri="{02D57815-91ED-43cb-92C2-25804820EDAC}">
              <c15:datalabelsRange>
                <c15:f>ControlChart_Budget2!$FQ$1:$FQ$18</c15:f>
                <c15:dlblRangeCache>
                  <c:ptCount val="18"/>
                  <c:pt idx="0">
                    <c:v>100.0%</c:v>
                  </c:pt>
                  <c:pt idx="1">
                    <c:v>100.0%</c:v>
                  </c:pt>
                  <c:pt idx="2">
                    <c:v>100.0%</c:v>
                  </c:pt>
                  <c:pt idx="3">
                    <c:v>100.0%</c:v>
                  </c:pt>
                  <c:pt idx="4">
                    <c:v>100.0%</c:v>
                  </c:pt>
                  <c:pt idx="5">
                    <c:v>100.0%</c:v>
                  </c:pt>
                  <c:pt idx="6">
                    <c:v>100.0%</c:v>
                  </c:pt>
                </c15:dlblRangeCache>
              </c15:datalabelsRange>
            </c:ext>
            <c:ext xmlns:c16="http://schemas.microsoft.com/office/drawing/2014/chart" uri="{C3380CC4-5D6E-409C-BE32-E72D297353CC}">
              <c16:uniqueId val="{0000000F-F954-4DA2-9789-794C92A09D4B}"/>
            </c:ext>
          </c:extLst>
        </c:ser>
        <c:dLbls>
          <c:showLegendKey val="0"/>
          <c:showVal val="0"/>
          <c:showCatName val="0"/>
          <c:showSerName val="0"/>
          <c:showPercent val="0"/>
          <c:showBubbleSize val="0"/>
        </c:dLbls>
        <c:gapWidth val="210"/>
        <c:overlap val="-65"/>
        <c:axId val="415353887"/>
        <c:axId val="415358207"/>
      </c:barChart>
      <c:barChart>
        <c:barDir val="bar"/>
        <c:grouping val="clustered"/>
        <c:varyColors val="0"/>
        <c:ser>
          <c:idx val="2"/>
          <c:order val="2"/>
          <c:tx>
            <c:v>Etiquette</c:v>
          </c:tx>
          <c:spPr>
            <a:noFill/>
            <a:ln>
              <a:noFill/>
            </a:ln>
            <a:effectLst/>
          </c:spPr>
          <c:invertIfNegative val="0"/>
          <c:dLbls>
            <c:dLbl>
              <c:idx val="0"/>
              <c:tx>
                <c:rich>
                  <a:bodyPr/>
                  <a:lstStyle/>
                  <a:p>
                    <a:fld id="{DFFED5ED-2571-4070-8833-30257BF2D7A7}" type="CELLRANGE">
                      <a:rPr lang="en-US"/>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954-4DA2-9789-794C92A09D4B}"/>
                </c:ext>
              </c:extLst>
            </c:dLbl>
            <c:dLbl>
              <c:idx val="1"/>
              <c:tx>
                <c:rich>
                  <a:bodyPr/>
                  <a:lstStyle/>
                  <a:p>
                    <a:fld id="{9E9ED511-07F2-446D-8AE4-53065C2A81C3}"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954-4DA2-9789-794C92A09D4B}"/>
                </c:ext>
              </c:extLst>
            </c:dLbl>
            <c:dLbl>
              <c:idx val="2"/>
              <c:tx>
                <c:rich>
                  <a:bodyPr/>
                  <a:lstStyle/>
                  <a:p>
                    <a:fld id="{775127C5-6F4E-4097-A153-B169BD947FCD}"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F954-4DA2-9789-794C92A09D4B}"/>
                </c:ext>
              </c:extLst>
            </c:dLbl>
            <c:dLbl>
              <c:idx val="3"/>
              <c:tx>
                <c:rich>
                  <a:bodyPr/>
                  <a:lstStyle/>
                  <a:p>
                    <a:fld id="{19125EEF-1252-4FD1-812D-ACB67193B457}"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954-4DA2-9789-794C92A09D4B}"/>
                </c:ext>
              </c:extLst>
            </c:dLbl>
            <c:dLbl>
              <c:idx val="4"/>
              <c:tx>
                <c:rich>
                  <a:bodyPr/>
                  <a:lstStyle/>
                  <a:p>
                    <a:fld id="{766327DD-A32B-4EBA-ACCD-66D9A16E33FB}"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F954-4DA2-9789-794C92A09D4B}"/>
                </c:ext>
              </c:extLst>
            </c:dLbl>
            <c:dLbl>
              <c:idx val="5"/>
              <c:tx>
                <c:rich>
                  <a:bodyPr/>
                  <a:lstStyle/>
                  <a:p>
                    <a:fld id="{16439814-AD97-4DAF-81F0-16ADE3BBA1EB}"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F954-4DA2-9789-794C92A09D4B}"/>
                </c:ext>
              </c:extLst>
            </c:dLbl>
            <c:dLbl>
              <c:idx val="6"/>
              <c:tx>
                <c:rich>
                  <a:bodyPr/>
                  <a:lstStyle/>
                  <a:p>
                    <a:fld id="{4128AB92-1B1F-485F-B58E-44D167981EFB}" type="CELLRANGE">
                      <a:rPr lang="en-CA"/>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954-4DA2-9789-794C92A09D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54EF8"/>
                    </a:solidFill>
                    <a:latin typeface="+mn-lt"/>
                    <a:ea typeface="+mn-ea"/>
                    <a:cs typeface="+mn-cs"/>
                  </a:defRPr>
                </a:pPr>
                <a:endParaRPr lang="fr-FR"/>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ControlChart_Budget2!$FO$1:$FO$7</c:f>
              <c:numCache>
                <c:formatCode>General</c:formatCode>
                <c:ptCount val="7"/>
                <c:pt idx="0">
                  <c:v>-0.05</c:v>
                </c:pt>
                <c:pt idx="1">
                  <c:v>-0.05</c:v>
                </c:pt>
                <c:pt idx="2">
                  <c:v>-0.05</c:v>
                </c:pt>
                <c:pt idx="3">
                  <c:v>-0.05</c:v>
                </c:pt>
                <c:pt idx="4">
                  <c:v>-0.05</c:v>
                </c:pt>
                <c:pt idx="5">
                  <c:v>-0.05</c:v>
                </c:pt>
                <c:pt idx="6">
                  <c:v>-0.05</c:v>
                </c:pt>
              </c:numCache>
            </c:numRef>
          </c:val>
          <c:extLst>
            <c:ext xmlns:c15="http://schemas.microsoft.com/office/drawing/2012/chart" uri="{02D57815-91ED-43cb-92C2-25804820EDAC}">
              <c15:datalabelsRange>
                <c15:f>ControlChart_Budget2!$FN$1:$FN$18</c15:f>
                <c15:dlblRangeCache>
                  <c:ptCount val="18"/>
                  <c:pt idx="0">
                    <c:v>Category1</c:v>
                  </c:pt>
                  <c:pt idx="1">
                    <c:v>Category2</c:v>
                  </c:pt>
                  <c:pt idx="2">
                    <c:v>Category3</c:v>
                  </c:pt>
                  <c:pt idx="3">
                    <c:v>Category4</c:v>
                  </c:pt>
                  <c:pt idx="4">
                    <c:v>Category5</c:v>
                  </c:pt>
                  <c:pt idx="5">
                    <c:v>Category6</c:v>
                  </c:pt>
                  <c:pt idx="6">
                    <c:v>Category7</c:v>
                  </c:pt>
                </c15:dlblRangeCache>
              </c15:datalabelsRange>
            </c:ext>
            <c:ext xmlns:c16="http://schemas.microsoft.com/office/drawing/2014/chart" uri="{C3380CC4-5D6E-409C-BE32-E72D297353CC}">
              <c16:uniqueId val="{00000017-F954-4DA2-9789-794C92A09D4B}"/>
            </c:ext>
          </c:extLst>
        </c:ser>
        <c:dLbls>
          <c:showLegendKey val="0"/>
          <c:showVal val="0"/>
          <c:showCatName val="0"/>
          <c:showSerName val="0"/>
          <c:showPercent val="0"/>
          <c:showBubbleSize val="0"/>
        </c:dLbls>
        <c:gapWidth val="136"/>
        <c:axId val="351716463"/>
        <c:axId val="351727503"/>
      </c:barChart>
      <c:catAx>
        <c:axId val="415353887"/>
        <c:scaling>
          <c:orientation val="maxMin"/>
        </c:scaling>
        <c:delete val="1"/>
        <c:axPos val="l"/>
        <c:majorTickMark val="out"/>
        <c:minorTickMark val="none"/>
        <c:tickLblPos val="nextTo"/>
        <c:crossAx val="415358207"/>
        <c:crosses val="autoZero"/>
        <c:auto val="1"/>
        <c:lblAlgn val="ctr"/>
        <c:lblOffset val="100"/>
        <c:noMultiLvlLbl val="0"/>
      </c:catAx>
      <c:valAx>
        <c:axId val="415358207"/>
        <c:scaling>
          <c:orientation val="minMax"/>
          <c:min val="-5.000000000000001E-2"/>
        </c:scaling>
        <c:delete val="1"/>
        <c:axPos val="t"/>
        <c:majorGridlines>
          <c:spPr>
            <a:ln w="9525" cap="flat" cmpd="sng" algn="ctr">
              <a:noFill/>
              <a:round/>
            </a:ln>
            <a:effectLst/>
          </c:spPr>
        </c:majorGridlines>
        <c:numFmt formatCode="0%" sourceLinked="0"/>
        <c:majorTickMark val="out"/>
        <c:minorTickMark val="none"/>
        <c:tickLblPos val="nextTo"/>
        <c:crossAx val="415353887"/>
        <c:crosses val="autoZero"/>
        <c:crossBetween val="between"/>
      </c:valAx>
      <c:valAx>
        <c:axId val="351727503"/>
        <c:scaling>
          <c:orientation val="minMax"/>
          <c:max val="0.5"/>
          <c:min val="-5.000000000000001E-2"/>
        </c:scaling>
        <c:delete val="1"/>
        <c:axPos val="b"/>
        <c:numFmt formatCode="General" sourceLinked="1"/>
        <c:majorTickMark val="out"/>
        <c:minorTickMark val="none"/>
        <c:tickLblPos val="nextTo"/>
        <c:crossAx val="351716463"/>
        <c:crosses val="max"/>
        <c:crossBetween val="between"/>
      </c:valAx>
      <c:catAx>
        <c:axId val="351716463"/>
        <c:scaling>
          <c:orientation val="maxMin"/>
        </c:scaling>
        <c:delete val="1"/>
        <c:axPos val="r"/>
        <c:majorTickMark val="out"/>
        <c:minorTickMark val="none"/>
        <c:tickLblPos val="nextTo"/>
        <c:crossAx val="351727503"/>
        <c:crosses val="max"/>
        <c:auto val="1"/>
        <c:lblAlgn val="ctr"/>
        <c:lblOffset val="100"/>
        <c:noMultiLvlLbl val="0"/>
      </c:catAx>
      <c:spPr>
        <a:noFill/>
        <a:ln>
          <a:noFill/>
        </a:ln>
        <a:effectLst>
          <a:outerShdw blurRad="50800" dist="50800" dir="5400000" algn="ctr" rotWithShape="0">
            <a:srgbClr val="000000">
              <a:alpha val="43137"/>
            </a:srgb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[WealthFinPilot_v3.0.xlsm]A_Budget2!Budget2_CashFlow</c:name>
    <c:fmtId val="3"/>
  </c:pivotSource>
  <c:chart>
    <c:autoTitleDeleted val="0"/>
    <c:pivotFmts>
      <c:pivotFmt>
        <c:idx val="0"/>
        <c:spPr>
          <a:solidFill>
            <a:schemeClr val="accent1"/>
          </a:solidFill>
          <a:ln w="12700" cap="rnd">
            <a:solidFill>
              <a:schemeClr val="tx1">
                <a:lumMod val="50000"/>
                <a:lumOff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cap="rnd">
            <a:gradFill>
              <a:gsLst>
                <a:gs pos="0">
                  <a:srgbClr val="C54EF8"/>
                </a:gs>
                <a:gs pos="100000">
                  <a:srgbClr val="7030A0"/>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cap="rnd">
            <a:solidFill>
              <a:srgbClr val="AADCD7"/>
            </a:solidFill>
            <a:round/>
          </a:ln>
          <a:effectLst/>
        </c:spPr>
        <c:marker>
          <c:symbol val="circle"/>
          <c:size val="5"/>
          <c:spPr>
            <a:solidFill>
              <a:srgbClr val="AADCD7"/>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chemeClr val="tx1">
                <a:lumMod val="50000"/>
                <a:lumOff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cap="rnd">
            <a:gradFill>
              <a:gsLst>
                <a:gs pos="0">
                  <a:srgbClr val="C54EF8"/>
                </a:gs>
                <a:gs pos="100000">
                  <a:srgbClr val="7030A0"/>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cap="rnd">
            <a:solidFill>
              <a:srgbClr val="AADCD7"/>
            </a:solidFill>
            <a:round/>
          </a:ln>
          <a:effectLst/>
        </c:spPr>
        <c:marker>
          <c:symbol val="circle"/>
          <c:size val="5"/>
          <c:spPr>
            <a:solidFill>
              <a:srgbClr val="AADCD7"/>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lumMod val="75000"/>
              <a:lumOff val="25000"/>
            </a:schemeClr>
          </a:soli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a:gsLst>
              <a:gs pos="0">
                <a:srgbClr val="C54EF8"/>
              </a:gs>
              <a:gs pos="70000">
                <a:srgbClr val="7030A0">
                  <a:lumMod val="100000"/>
                </a:srgbClr>
              </a:gs>
            </a:gsLst>
            <a:lin ang="5400000" scaled="1"/>
          </a:gra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0">
                <a:srgbClr val="AADCD7">
                  <a:alpha val="70000"/>
                </a:srgbClr>
              </a:gs>
              <a:gs pos="70000">
                <a:srgbClr val="AADCD7"/>
              </a:gs>
            </a:gsLst>
            <a:lin ang="5400000" scaled="1"/>
          </a:gra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A_Budget2!$AB$8</c:f>
              <c:strCache>
                <c:ptCount val="1"/>
                <c:pt idx="0">
                  <c:v>Sum of Last_Montant</c:v>
                </c:pt>
              </c:strCache>
            </c:strRef>
          </c:tx>
          <c:spPr>
            <a:solidFill>
              <a:schemeClr val="tx1">
                <a:lumMod val="75000"/>
                <a:lumOff val="25000"/>
              </a:schemeClr>
            </a:solidFill>
            <a:ln w="12700">
              <a:noFill/>
            </a:ln>
            <a:effectLst/>
          </c:spPr>
          <c:invertIfNegative val="0"/>
          <c:cat>
            <c:multiLvlStrRef>
              <c:f>A_Budget2!$Z$9:$AA$12</c:f>
              <c:multiLvlStrCache>
                <c:ptCount val="4"/>
                <c:lvl>
                  <c:pt idx="0">
                    <c:v>Jan</c:v>
                  </c:pt>
                  <c:pt idx="1">
                    <c:v>Feb</c:v>
                  </c:pt>
                  <c:pt idx="2">
                    <c:v>Jan</c:v>
                  </c:pt>
                  <c:pt idx="3">
                    <c:v>Feb</c:v>
                  </c:pt>
                </c:lvl>
                <c:lvl>
                  <c:pt idx="0">
                    <c:v>2025</c:v>
                  </c:pt>
                  <c:pt idx="2">
                    <c:v>2026</c:v>
                  </c:pt>
                </c:lvl>
              </c:multiLvlStrCache>
            </c:multiLvlStrRef>
          </c:cat>
          <c:val>
            <c:numRef>
              <c:f>A_Budget2!$AB$9:$AB$12</c:f>
              <c:numCache>
                <c:formatCode>#,##0</c:formatCode>
                <c:ptCount val="4"/>
                <c:pt idx="0">
                  <c:v>1.0000000000000002E-2</c:v>
                </c:pt>
                <c:pt idx="1">
                  <c:v>1.0000000000000002E-2</c:v>
                </c:pt>
                <c:pt idx="2">
                  <c:v>1.0000000000000002E-2</c:v>
                </c:pt>
                <c:pt idx="3">
                  <c:v>1.0000000000000002E-2</c:v>
                </c:pt>
              </c:numCache>
            </c:numRef>
          </c:val>
          <c:extLst>
            <c:ext xmlns:c16="http://schemas.microsoft.com/office/drawing/2014/chart" uri="{C3380CC4-5D6E-409C-BE32-E72D297353CC}">
              <c16:uniqueId val="{00000000-C8C0-481A-AC09-3B0820FD354C}"/>
            </c:ext>
          </c:extLst>
        </c:ser>
        <c:ser>
          <c:idx val="1"/>
          <c:order val="1"/>
          <c:tx>
            <c:strRef>
              <c:f>A_Budget2!$AC$8</c:f>
              <c:strCache>
                <c:ptCount val="1"/>
                <c:pt idx="0">
                  <c:v>Sum of Montant_Extrap</c:v>
                </c:pt>
              </c:strCache>
            </c:strRef>
          </c:tx>
          <c:spPr>
            <a:gradFill>
              <a:gsLst>
                <a:gs pos="0">
                  <a:srgbClr val="C54EF8"/>
                </a:gs>
                <a:gs pos="70000">
                  <a:srgbClr val="7030A0">
                    <a:lumMod val="100000"/>
                  </a:srgbClr>
                </a:gs>
              </a:gsLst>
              <a:lin ang="5400000" scaled="1"/>
            </a:gradFill>
            <a:ln w="12700">
              <a:noFill/>
            </a:ln>
            <a:effectLst/>
          </c:spPr>
          <c:invertIfNegative val="0"/>
          <c:cat>
            <c:multiLvlStrRef>
              <c:f>A_Budget2!$Z$9:$AA$12</c:f>
              <c:multiLvlStrCache>
                <c:ptCount val="4"/>
                <c:lvl>
                  <c:pt idx="0">
                    <c:v>Jan</c:v>
                  </c:pt>
                  <c:pt idx="1">
                    <c:v>Feb</c:v>
                  </c:pt>
                  <c:pt idx="2">
                    <c:v>Jan</c:v>
                  </c:pt>
                  <c:pt idx="3">
                    <c:v>Feb</c:v>
                  </c:pt>
                </c:lvl>
                <c:lvl>
                  <c:pt idx="0">
                    <c:v>2025</c:v>
                  </c:pt>
                  <c:pt idx="2">
                    <c:v>2026</c:v>
                  </c:pt>
                </c:lvl>
              </c:multiLvlStrCache>
            </c:multiLvlStrRef>
          </c:cat>
          <c:val>
            <c:numRef>
              <c:f>A_Budget2!$AC$9:$AC$12</c:f>
              <c:numCache>
                <c:formatCode>#,##0</c:formatCode>
                <c:ptCount val="4"/>
                <c:pt idx="0">
                  <c:v>1.0000000000000002E-2</c:v>
                </c:pt>
                <c:pt idx="1">
                  <c:v>1.0000000000000002E-2</c:v>
                </c:pt>
                <c:pt idx="2">
                  <c:v>1.0000000000000002E-2</c:v>
                </c:pt>
                <c:pt idx="3">
                  <c:v>1.0000000000000002E-2</c:v>
                </c:pt>
              </c:numCache>
            </c:numRef>
          </c:val>
          <c:extLst>
            <c:ext xmlns:c16="http://schemas.microsoft.com/office/drawing/2014/chart" uri="{C3380CC4-5D6E-409C-BE32-E72D297353CC}">
              <c16:uniqueId val="{00000001-C8C0-481A-AC09-3B0820FD354C}"/>
            </c:ext>
          </c:extLst>
        </c:ser>
        <c:ser>
          <c:idx val="2"/>
          <c:order val="2"/>
          <c:tx>
            <c:strRef>
              <c:f>A_Budget2!$AD$8</c:f>
              <c:strCache>
                <c:ptCount val="1"/>
                <c:pt idx="0">
                  <c:v>Sum of Montant</c:v>
                </c:pt>
              </c:strCache>
            </c:strRef>
          </c:tx>
          <c:spPr>
            <a:gradFill>
              <a:gsLst>
                <a:gs pos="0">
                  <a:srgbClr val="AADCD7">
                    <a:alpha val="70000"/>
                  </a:srgbClr>
                </a:gs>
                <a:gs pos="70000">
                  <a:srgbClr val="AADCD7"/>
                </a:gs>
              </a:gsLst>
              <a:lin ang="5400000" scaled="1"/>
            </a:gradFill>
            <a:ln w="12700">
              <a:noFill/>
            </a:ln>
            <a:effectLst/>
          </c:spPr>
          <c:invertIfNegative val="0"/>
          <c:cat>
            <c:multiLvlStrRef>
              <c:f>A_Budget2!$Z$9:$AA$12</c:f>
              <c:multiLvlStrCache>
                <c:ptCount val="4"/>
                <c:lvl>
                  <c:pt idx="0">
                    <c:v>Jan</c:v>
                  </c:pt>
                  <c:pt idx="1">
                    <c:v>Feb</c:v>
                  </c:pt>
                  <c:pt idx="2">
                    <c:v>Jan</c:v>
                  </c:pt>
                  <c:pt idx="3">
                    <c:v>Feb</c:v>
                  </c:pt>
                </c:lvl>
                <c:lvl>
                  <c:pt idx="0">
                    <c:v>2025</c:v>
                  </c:pt>
                  <c:pt idx="2">
                    <c:v>2026</c:v>
                  </c:pt>
                </c:lvl>
              </c:multiLvlStrCache>
            </c:multiLvlStrRef>
          </c:cat>
          <c:val>
            <c:numRef>
              <c:f>A_Budget2!$AD$9:$AD$12</c:f>
              <c:numCache>
                <c:formatCode>#,##0</c:formatCode>
                <c:ptCount val="4"/>
                <c:pt idx="0">
                  <c:v>1.0000000000000002E-3</c:v>
                </c:pt>
                <c:pt idx="1">
                  <c:v>1.0000000000000002E-3</c:v>
                </c:pt>
                <c:pt idx="2">
                  <c:v>1.0000000000000002E-3</c:v>
                </c:pt>
                <c:pt idx="3">
                  <c:v>1.0000000000000002E-3</c:v>
                </c:pt>
              </c:numCache>
            </c:numRef>
          </c:val>
          <c:extLst>
            <c:ext xmlns:c16="http://schemas.microsoft.com/office/drawing/2014/chart" uri="{C3380CC4-5D6E-409C-BE32-E72D297353CC}">
              <c16:uniqueId val="{00000002-C8C0-481A-AC09-3B0820FD354C}"/>
            </c:ext>
          </c:extLst>
        </c:ser>
        <c:dLbls>
          <c:showLegendKey val="0"/>
          <c:showVal val="0"/>
          <c:showCatName val="0"/>
          <c:showSerName val="0"/>
          <c:showPercent val="0"/>
          <c:showBubbleSize val="0"/>
        </c:dLbls>
        <c:gapWidth val="400"/>
        <c:axId val="1436980640"/>
        <c:axId val="1436962400"/>
      </c:barChart>
      <c:catAx>
        <c:axId val="1436980640"/>
        <c:scaling>
          <c:orientation val="minMax"/>
        </c:scaling>
        <c:delete val="0"/>
        <c:axPos val="b"/>
        <c:numFmt formatCode="General" sourceLinked="1"/>
        <c:majorTickMark val="out"/>
        <c:minorTickMark val="none"/>
        <c:tickLblPos val="low"/>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36962400"/>
        <c:crosses val="autoZero"/>
        <c:auto val="1"/>
        <c:lblAlgn val="ctr"/>
        <c:lblOffset val="100"/>
        <c:noMultiLvlLbl val="0"/>
      </c:catAx>
      <c:valAx>
        <c:axId val="1436962400"/>
        <c:scaling>
          <c:orientation val="minMax"/>
        </c:scaling>
        <c:delete val="0"/>
        <c:axPos val="l"/>
        <c:majorGridlines>
          <c:spPr>
            <a:ln w="9525" cap="flat" cmpd="sng" algn="ctr">
              <a:solidFill>
                <a:schemeClr val="tx1">
                  <a:lumMod val="85000"/>
                  <a:lumOff val="15000"/>
                </a:schemeClr>
              </a:solidFill>
              <a:round/>
            </a:ln>
            <a:effectLst/>
          </c:spPr>
        </c:majorGridlines>
        <c:numFmt formatCode="#\ ##0\ &quot;$&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3698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844121768513773E-2"/>
          <c:y val="8.9267108626828101E-2"/>
          <c:w val="0.91345683667258371"/>
          <c:h val="0.86071299240971066"/>
        </c:manualLayout>
      </c:layout>
      <c:areaChart>
        <c:grouping val="standard"/>
        <c:varyColors val="0"/>
        <c:ser>
          <c:idx val="2"/>
          <c:order val="2"/>
          <c:tx>
            <c:v>Area</c:v>
          </c:tx>
          <c:spPr>
            <a:gradFill flip="none" rotWithShape="1">
              <a:gsLst>
                <a:gs pos="0">
                  <a:schemeClr val="bg1"/>
                </a:gs>
                <a:gs pos="46000">
                  <a:srgbClr val="4CFEED"/>
                </a:gs>
                <a:gs pos="75000">
                  <a:srgbClr val="EA7C7B">
                    <a:alpha val="70000"/>
                    <a:lumMod val="40000"/>
                    <a:lumOff val="60000"/>
                  </a:srgbClr>
                </a:gs>
                <a:gs pos="53000">
                  <a:srgbClr val="4CFEED"/>
                </a:gs>
                <a:gs pos="96000">
                  <a:srgbClr val="DA0000"/>
                </a:gs>
              </a:gsLst>
              <a:lin ang="5400000" scaled="1"/>
              <a:tileRect/>
            </a:gradFill>
            <a:ln>
              <a:noFill/>
            </a:ln>
            <a:effectLst>
              <a:outerShdw blurRad="50800" dir="5400000" algn="ctr" rotWithShape="0">
                <a:schemeClr val="bg1"/>
              </a:outerShdw>
            </a:effectLst>
            <a:scene3d>
              <a:camera prst="orthographicFront"/>
              <a:lightRig rig="chilly" dir="t"/>
            </a:scene3d>
            <a:sp3d prstMaterial="metal"/>
          </c:spPr>
          <c:val>
            <c:numRef>
              <c:f>ControlChart!$C$8:$C$19</c:f>
              <c:numCache>
                <c:formatCode>General</c:formatCode>
                <c:ptCount val="12"/>
                <c:pt idx="0">
                  <c:v>1E-4</c:v>
                </c:pt>
                <c:pt idx="1">
                  <c:v>1E-4</c:v>
                </c:pt>
                <c:pt idx="2">
                  <c:v>1E-4</c:v>
                </c:pt>
                <c:pt idx="3">
                  <c:v>9.0000000000000006E-5</c:v>
                </c:pt>
                <c:pt idx="4">
                  <c:v>9.0000000000000006E-5</c:v>
                </c:pt>
                <c:pt idx="5">
                  <c:v>9.0000000000000006E-5</c:v>
                </c:pt>
                <c:pt idx="6">
                  <c:v>9.0000000000000006E-5</c:v>
                </c:pt>
                <c:pt idx="7">
                  <c:v>9.0000000000000006E-5</c:v>
                </c:pt>
                <c:pt idx="8">
                  <c:v>1E-4</c:v>
                </c:pt>
                <c:pt idx="9">
                  <c:v>9.0000000000000006E-5</c:v>
                </c:pt>
                <c:pt idx="10">
                  <c:v>9.0000000000000006E-5</c:v>
                </c:pt>
                <c:pt idx="11">
                  <c:v>9.0000000000000006E-5</c:v>
                </c:pt>
              </c:numCache>
            </c:numRef>
          </c:val>
          <c:extLst>
            <c:ext xmlns:c16="http://schemas.microsoft.com/office/drawing/2014/chart" uri="{C3380CC4-5D6E-409C-BE32-E72D297353CC}">
              <c16:uniqueId val="{00000000-C411-4BEC-ABC1-9BBA46E9AB1B}"/>
            </c:ext>
          </c:extLst>
        </c:ser>
        <c:dLbls>
          <c:showLegendKey val="0"/>
          <c:showVal val="0"/>
          <c:showCatName val="0"/>
          <c:showSerName val="0"/>
          <c:showPercent val="0"/>
          <c:showBubbleSize val="0"/>
        </c:dLbls>
        <c:axId val="964815535"/>
        <c:axId val="964816015"/>
      </c:areaChart>
      <c:lineChart>
        <c:grouping val="standard"/>
        <c:varyColors val="0"/>
        <c:ser>
          <c:idx val="0"/>
          <c:order val="0"/>
          <c:spPr>
            <a:ln w="9525" cap="rnd">
              <a:solidFill>
                <a:srgbClr val="A9FEFB"/>
              </a:solidFill>
              <a:prstDash val="dash"/>
              <a:round/>
            </a:ln>
            <a:effectLst/>
          </c:spPr>
          <c:marker>
            <c:symbol val="none"/>
          </c:marker>
          <c:val>
            <c:numRef>
              <c:f>ControlChart!$B$8:$B$19</c:f>
              <c:numCache>
                <c:formatCode>General</c:formatCode>
                <c:ptCount val="12"/>
                <c:pt idx="0">
                  <c:v>1E-4</c:v>
                </c:pt>
                <c:pt idx="1">
                  <c:v>1E-4</c:v>
                </c:pt>
                <c:pt idx="2">
                  <c:v>1E-4</c:v>
                </c:pt>
                <c:pt idx="3">
                  <c:v>9.0000000000000006E-5</c:v>
                </c:pt>
                <c:pt idx="4">
                  <c:v>9.0000000000000006E-5</c:v>
                </c:pt>
                <c:pt idx="5">
                  <c:v>9.0000000000000006E-5</c:v>
                </c:pt>
                <c:pt idx="6">
                  <c:v>9.0000000000000006E-5</c:v>
                </c:pt>
                <c:pt idx="7">
                  <c:v>9.0000000000000006E-5</c:v>
                </c:pt>
                <c:pt idx="8">
                  <c:v>1E-4</c:v>
                </c:pt>
                <c:pt idx="9">
                  <c:v>9.0000000000000006E-5</c:v>
                </c:pt>
                <c:pt idx="10">
                  <c:v>9.0000000000000006E-5</c:v>
                </c:pt>
                <c:pt idx="11">
                  <c:v>9.0000000000000006E-5</c:v>
                </c:pt>
              </c:numCache>
            </c:numRef>
          </c:val>
          <c:smooth val="0"/>
          <c:extLst>
            <c:ext xmlns:c16="http://schemas.microsoft.com/office/drawing/2014/chart" uri="{C3380CC4-5D6E-409C-BE32-E72D297353CC}">
              <c16:uniqueId val="{00000001-C411-4BEC-ABC1-9BBA46E9AB1B}"/>
            </c:ext>
          </c:extLst>
        </c:ser>
        <c:ser>
          <c:idx val="1"/>
          <c:order val="1"/>
          <c:spPr>
            <a:ln w="25400" cap="rnd">
              <a:solidFill>
                <a:srgbClr val="AADCD7"/>
              </a:solidFill>
              <a:round/>
            </a:ln>
            <a:effectLst/>
          </c:spPr>
          <c:marker>
            <c:symbol val="circle"/>
            <c:size val="5"/>
            <c:spPr>
              <a:solidFill>
                <a:srgbClr val="AADCD7"/>
              </a:solidFill>
              <a:ln w="9525">
                <a:solidFill>
                  <a:srgbClr val="AADCD7"/>
                </a:solidFill>
              </a:ln>
              <a:effectLst/>
            </c:spPr>
          </c:marker>
          <c:errBars>
            <c:errDir val="y"/>
            <c:errBarType val="both"/>
            <c:errValType val="cust"/>
            <c:noEndCap val="1"/>
            <c:plus>
              <c:numLit>
                <c:formatCode>General</c:formatCode>
                <c:ptCount val="1"/>
                <c:pt idx="0">
                  <c:v>-1</c:v>
                </c:pt>
              </c:numLit>
            </c:plus>
            <c:minus>
              <c:numRef>
                <c:f>ControlChart!$D$8:$D$19</c:f>
                <c:numCache>
                  <c:formatCode>General</c:formatCode>
                  <c:ptCount val="12"/>
                  <c:pt idx="0">
                    <c:v>1E-4</c:v>
                  </c:pt>
                  <c:pt idx="1">
                    <c:v>1E-4</c:v>
                  </c:pt>
                  <c:pt idx="2">
                    <c:v>1E-4</c:v>
                  </c:pt>
                  <c:pt idx="3">
                    <c:v>9.0000000000000006E-5</c:v>
                  </c:pt>
                  <c:pt idx="4">
                    <c:v>9.0000000000000006E-5</c:v>
                  </c:pt>
                  <c:pt idx="5">
                    <c:v>9.0000000000000006E-5</c:v>
                  </c:pt>
                  <c:pt idx="6">
                    <c:v>9.0000000000000006E-5</c:v>
                  </c:pt>
                  <c:pt idx="7">
                    <c:v>9.0000000000000006E-5</c:v>
                  </c:pt>
                  <c:pt idx="8">
                    <c:v>1E-4</c:v>
                  </c:pt>
                  <c:pt idx="9">
                    <c:v>9.0000000000000006E-5</c:v>
                  </c:pt>
                  <c:pt idx="10">
                    <c:v>9.0000000000000006E-5</c:v>
                  </c:pt>
                  <c:pt idx="11">
                    <c:v>9.0000000000000006E-5</c:v>
                  </c:pt>
                </c:numCache>
              </c:numRef>
            </c:minus>
            <c:spPr>
              <a:noFill/>
              <a:ln w="12700" cap="flat" cmpd="sng" algn="ctr">
                <a:solidFill>
                  <a:schemeClr val="bg1"/>
                </a:solidFill>
                <a:round/>
              </a:ln>
              <a:effectLst/>
            </c:spPr>
          </c:errBars>
          <c:val>
            <c:numRef>
              <c:f>ControlChart!$C$8:$C$19</c:f>
              <c:numCache>
                <c:formatCode>General</c:formatCode>
                <c:ptCount val="12"/>
                <c:pt idx="0">
                  <c:v>1E-4</c:v>
                </c:pt>
                <c:pt idx="1">
                  <c:v>1E-4</c:v>
                </c:pt>
                <c:pt idx="2">
                  <c:v>1E-4</c:v>
                </c:pt>
                <c:pt idx="3">
                  <c:v>9.0000000000000006E-5</c:v>
                </c:pt>
                <c:pt idx="4">
                  <c:v>9.0000000000000006E-5</c:v>
                </c:pt>
                <c:pt idx="5">
                  <c:v>9.0000000000000006E-5</c:v>
                </c:pt>
                <c:pt idx="6">
                  <c:v>9.0000000000000006E-5</c:v>
                </c:pt>
                <c:pt idx="7">
                  <c:v>9.0000000000000006E-5</c:v>
                </c:pt>
                <c:pt idx="8">
                  <c:v>1E-4</c:v>
                </c:pt>
                <c:pt idx="9">
                  <c:v>9.0000000000000006E-5</c:v>
                </c:pt>
                <c:pt idx="10">
                  <c:v>9.0000000000000006E-5</c:v>
                </c:pt>
                <c:pt idx="11">
                  <c:v>9.0000000000000006E-5</c:v>
                </c:pt>
              </c:numCache>
            </c:numRef>
          </c:val>
          <c:smooth val="0"/>
          <c:extLst>
            <c:ext xmlns:c16="http://schemas.microsoft.com/office/drawing/2014/chart" uri="{C3380CC4-5D6E-409C-BE32-E72D297353CC}">
              <c16:uniqueId val="{00000002-C411-4BEC-ABC1-9BBA46E9AB1B}"/>
            </c:ext>
          </c:extLst>
        </c:ser>
        <c:ser>
          <c:idx val="3"/>
          <c:order val="3"/>
          <c:tx>
            <c:v>Zero_Line</c:v>
          </c:tx>
          <c:spPr>
            <a:ln w="0" cap="rnd">
              <a:solidFill>
                <a:schemeClr val="bg2">
                  <a:lumMod val="50000"/>
                </a:schemeClr>
              </a:solidFill>
              <a:round/>
            </a:ln>
            <a:effectLst/>
          </c:spPr>
          <c:marker>
            <c:symbol val="none"/>
          </c:marker>
          <c:val>
            <c:numRef>
              <c:f>ControlChart!$E$8:$E$19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C411-4BEC-ABC1-9BBA46E9AB1B}"/>
            </c:ext>
          </c:extLst>
        </c:ser>
        <c:dLbls>
          <c:showLegendKey val="0"/>
          <c:showVal val="0"/>
          <c:showCatName val="0"/>
          <c:showSerName val="0"/>
          <c:showPercent val="0"/>
          <c:showBubbleSize val="0"/>
        </c:dLbls>
        <c:marker val="1"/>
        <c:smooth val="0"/>
        <c:axId val="964815535"/>
        <c:axId val="964816015"/>
      </c:lineChart>
      <c:dateAx>
        <c:axId val="964815535"/>
        <c:scaling>
          <c:orientation val="minMax"/>
        </c:scaling>
        <c:delete val="1"/>
        <c:axPos val="b"/>
        <c:numFmt formatCode="#\ ##0\ &quot;$&quot;" sourceLinked="0"/>
        <c:majorTickMark val="out"/>
        <c:minorTickMark val="none"/>
        <c:tickLblPos val="low"/>
        <c:crossAx val="964816015"/>
        <c:crosses val="autoZero"/>
        <c:auto val="0"/>
        <c:lblOffset val="100"/>
        <c:baseTimeUnit val="days"/>
      </c:dateAx>
      <c:valAx>
        <c:axId val="964816015"/>
        <c:scaling>
          <c:orientation val="minMax"/>
        </c:scaling>
        <c:delete val="0"/>
        <c:axPos val="l"/>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4815535"/>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DataCat2</c:v>
          </c:tx>
          <c:spPr>
            <a:solidFill>
              <a:srgbClr val="DA0000"/>
            </a:solidFill>
          </c:spPr>
          <c:dPt>
            <c:idx val="0"/>
            <c:bubble3D val="0"/>
            <c:spPr>
              <a:solidFill>
                <a:srgbClr val="F9ADF5"/>
              </a:solidFill>
              <a:ln w="19050">
                <a:noFill/>
              </a:ln>
              <a:effectLst/>
            </c:spPr>
            <c:extLst>
              <c:ext xmlns:c16="http://schemas.microsoft.com/office/drawing/2014/chart" uri="{C3380CC4-5D6E-409C-BE32-E72D297353CC}">
                <c16:uniqueId val="{00000001-535E-45C2-BA42-D6BCE5B2B159}"/>
              </c:ext>
            </c:extLst>
          </c:dPt>
          <c:dPt>
            <c:idx val="1"/>
            <c:bubble3D val="0"/>
            <c:spPr>
              <a:solidFill>
                <a:srgbClr val="02E8D2"/>
              </a:solidFill>
              <a:ln w="19050">
                <a:noFill/>
              </a:ln>
              <a:effectLst/>
            </c:spPr>
            <c:extLst>
              <c:ext xmlns:c16="http://schemas.microsoft.com/office/drawing/2014/chart" uri="{C3380CC4-5D6E-409C-BE32-E72D297353CC}">
                <c16:uniqueId val="{00000003-535E-45C2-BA42-D6BCE5B2B159}"/>
              </c:ext>
            </c:extLst>
          </c:dPt>
          <c:dPt>
            <c:idx val="2"/>
            <c:bubble3D val="0"/>
            <c:spPr>
              <a:solidFill>
                <a:srgbClr val="9751CB"/>
              </a:solidFill>
              <a:ln w="19050">
                <a:noFill/>
              </a:ln>
              <a:effectLst/>
            </c:spPr>
            <c:extLst>
              <c:ext xmlns:c16="http://schemas.microsoft.com/office/drawing/2014/chart" uri="{C3380CC4-5D6E-409C-BE32-E72D297353CC}">
                <c16:uniqueId val="{00000005-535E-45C2-BA42-D6BCE5B2B159}"/>
              </c:ext>
            </c:extLst>
          </c:dPt>
          <c:dPt>
            <c:idx val="3"/>
            <c:bubble3D val="0"/>
            <c:spPr>
              <a:solidFill>
                <a:srgbClr val="FA6148"/>
              </a:solidFill>
              <a:ln w="19050">
                <a:noFill/>
              </a:ln>
              <a:effectLst/>
            </c:spPr>
            <c:extLst>
              <c:ext xmlns:c16="http://schemas.microsoft.com/office/drawing/2014/chart" uri="{C3380CC4-5D6E-409C-BE32-E72D297353CC}">
                <c16:uniqueId val="{00000007-535E-45C2-BA42-D6BCE5B2B159}"/>
              </c:ext>
            </c:extLst>
          </c:dPt>
          <c:dPt>
            <c:idx val="4"/>
            <c:bubble3D val="0"/>
            <c:spPr>
              <a:solidFill>
                <a:srgbClr val="FFFF00"/>
              </a:solidFill>
              <a:ln w="19050">
                <a:noFill/>
              </a:ln>
              <a:effectLst/>
            </c:spPr>
            <c:extLst>
              <c:ext xmlns:c16="http://schemas.microsoft.com/office/drawing/2014/chart" uri="{C3380CC4-5D6E-409C-BE32-E72D297353CC}">
                <c16:uniqueId val="{00000009-535E-45C2-BA42-D6BCE5B2B159}"/>
              </c:ext>
            </c:extLst>
          </c:dPt>
          <c:dPt>
            <c:idx val="5"/>
            <c:bubble3D val="0"/>
            <c:spPr>
              <a:solidFill>
                <a:srgbClr val="7FEC70"/>
              </a:solidFill>
              <a:ln w="19050">
                <a:noFill/>
              </a:ln>
              <a:effectLst/>
            </c:spPr>
            <c:extLst>
              <c:ext xmlns:c16="http://schemas.microsoft.com/office/drawing/2014/chart" uri="{C3380CC4-5D6E-409C-BE32-E72D297353CC}">
                <c16:uniqueId val="{0000000B-535E-45C2-BA42-D6BCE5B2B159}"/>
              </c:ext>
            </c:extLst>
          </c:dPt>
          <c:dPt>
            <c:idx val="6"/>
            <c:bubble3D val="0"/>
            <c:spPr>
              <a:solidFill>
                <a:srgbClr val="4472C4"/>
              </a:solidFill>
              <a:ln w="19050">
                <a:noFill/>
              </a:ln>
              <a:effectLst/>
            </c:spPr>
            <c:extLst>
              <c:ext xmlns:c16="http://schemas.microsoft.com/office/drawing/2014/chart" uri="{C3380CC4-5D6E-409C-BE32-E72D297353CC}">
                <c16:uniqueId val="{0000000D-535E-45C2-BA42-D6BCE5B2B159}"/>
              </c:ext>
            </c:extLst>
          </c:dPt>
          <c:dPt>
            <c:idx val="7"/>
            <c:bubble3D val="0"/>
            <c:spPr>
              <a:solidFill>
                <a:srgbClr val="DA0000"/>
              </a:solidFill>
              <a:ln w="19050">
                <a:solidFill>
                  <a:schemeClr val="lt1"/>
                </a:solidFill>
              </a:ln>
              <a:effectLst/>
            </c:spPr>
            <c:extLst>
              <c:ext xmlns:c16="http://schemas.microsoft.com/office/drawing/2014/chart" uri="{C3380CC4-5D6E-409C-BE32-E72D297353CC}">
                <c16:uniqueId val="{0000000F-535E-45C2-BA42-D6BCE5B2B159}"/>
              </c:ext>
            </c:extLst>
          </c:dPt>
          <c:dPt>
            <c:idx val="8"/>
            <c:bubble3D val="0"/>
            <c:spPr>
              <a:solidFill>
                <a:srgbClr val="DA0000"/>
              </a:solidFill>
              <a:ln w="19050">
                <a:solidFill>
                  <a:schemeClr val="lt1"/>
                </a:solidFill>
              </a:ln>
              <a:effectLst/>
            </c:spPr>
            <c:extLst>
              <c:ext xmlns:c16="http://schemas.microsoft.com/office/drawing/2014/chart" uri="{C3380CC4-5D6E-409C-BE32-E72D297353CC}">
                <c16:uniqueId val="{00000011-535E-45C2-BA42-D6BCE5B2B159}"/>
              </c:ext>
            </c:extLst>
          </c:dPt>
          <c:dPt>
            <c:idx val="9"/>
            <c:bubble3D val="0"/>
            <c:spPr>
              <a:solidFill>
                <a:srgbClr val="DA0000"/>
              </a:solidFill>
              <a:ln w="19050">
                <a:solidFill>
                  <a:schemeClr val="lt1"/>
                </a:solidFill>
              </a:ln>
              <a:effectLst/>
            </c:spPr>
            <c:extLst>
              <c:ext xmlns:c16="http://schemas.microsoft.com/office/drawing/2014/chart" uri="{C3380CC4-5D6E-409C-BE32-E72D297353CC}">
                <c16:uniqueId val="{00000013-535E-45C2-BA42-D6BCE5B2B159}"/>
              </c:ext>
            </c:extLst>
          </c:dPt>
          <c:dPt>
            <c:idx val="10"/>
            <c:bubble3D val="0"/>
            <c:spPr>
              <a:solidFill>
                <a:srgbClr val="DA0000"/>
              </a:solidFill>
              <a:ln w="19050">
                <a:solidFill>
                  <a:schemeClr val="lt1"/>
                </a:solidFill>
              </a:ln>
              <a:effectLst/>
            </c:spPr>
            <c:extLst>
              <c:ext xmlns:c16="http://schemas.microsoft.com/office/drawing/2014/chart" uri="{C3380CC4-5D6E-409C-BE32-E72D297353CC}">
                <c16:uniqueId val="{00000015-535E-45C2-BA42-D6BCE5B2B159}"/>
              </c:ext>
            </c:extLst>
          </c:dPt>
          <c:dPt>
            <c:idx val="11"/>
            <c:bubble3D val="0"/>
            <c:spPr>
              <a:solidFill>
                <a:srgbClr val="DA0000"/>
              </a:solidFill>
              <a:ln w="19050">
                <a:solidFill>
                  <a:schemeClr val="lt1"/>
                </a:solidFill>
              </a:ln>
              <a:effectLst/>
            </c:spPr>
            <c:extLst>
              <c:ext xmlns:c16="http://schemas.microsoft.com/office/drawing/2014/chart" uri="{C3380CC4-5D6E-409C-BE32-E72D297353CC}">
                <c16:uniqueId val="{00000017-535E-45C2-BA42-D6BCE5B2B159}"/>
              </c:ext>
            </c:extLst>
          </c:dPt>
          <c:dPt>
            <c:idx val="12"/>
            <c:bubble3D val="0"/>
            <c:spPr>
              <a:solidFill>
                <a:srgbClr val="DA0000"/>
              </a:solidFill>
              <a:ln w="19050">
                <a:solidFill>
                  <a:schemeClr val="lt1"/>
                </a:solidFill>
              </a:ln>
              <a:effectLst/>
            </c:spPr>
            <c:extLst>
              <c:ext xmlns:c16="http://schemas.microsoft.com/office/drawing/2014/chart" uri="{C3380CC4-5D6E-409C-BE32-E72D297353CC}">
                <c16:uniqueId val="{00000019-535E-45C2-BA42-D6BCE5B2B159}"/>
              </c:ext>
            </c:extLst>
          </c:dPt>
          <c:dLbls>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1-535E-45C2-BA42-D6BCE5B2B15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ControlChart!$BL$1:$BL$13</c:f>
              <c:numCache>
                <c:formatCode>0%</c:formatCode>
                <c:ptCount val="13"/>
                <c:pt idx="0">
                  <c:v>0.14285714285714288</c:v>
                </c:pt>
                <c:pt idx="1">
                  <c:v>0.14285714285714288</c:v>
                </c:pt>
                <c:pt idx="2">
                  <c:v>0.14285714285714288</c:v>
                </c:pt>
                <c:pt idx="3">
                  <c:v>0.14285714285714288</c:v>
                </c:pt>
                <c:pt idx="4">
                  <c:v>0.14285714285714288</c:v>
                </c:pt>
                <c:pt idx="5">
                  <c:v>0.14285714285714288</c:v>
                </c:pt>
                <c:pt idx="6">
                  <c:v>0.14285714285714288</c:v>
                </c:pt>
                <c:pt idx="7">
                  <c:v>#N/A</c:v>
                </c:pt>
              </c:numCache>
            </c:numRef>
          </c:val>
          <c:extLst>
            <c:ext xmlns:c16="http://schemas.microsoft.com/office/drawing/2014/chart" uri="{C3380CC4-5D6E-409C-BE32-E72D297353CC}">
              <c16:uniqueId val="{0000001A-535E-45C2-BA42-D6BCE5B2B159}"/>
            </c:ext>
          </c:extLst>
        </c:ser>
        <c:dLbls>
          <c:showLegendKey val="0"/>
          <c:showVal val="0"/>
          <c:showCatName val="0"/>
          <c:showSerName val="0"/>
          <c:showPercent val="0"/>
          <c:showBubbleSize val="0"/>
          <c:showLeaderLines val="1"/>
        </c:dLbls>
        <c:firstSliceAng val="0"/>
        <c:holeSize val="75"/>
      </c:doughnutChart>
      <c:scatterChart>
        <c:scatterStyle val="lineMarker"/>
        <c:varyColors val="0"/>
        <c:ser>
          <c:idx val="1"/>
          <c:order val="1"/>
          <c:tx>
            <c:v>XY</c:v>
          </c:tx>
          <c:spPr>
            <a:ln w="25400" cap="rnd">
              <a:noFill/>
              <a:round/>
            </a:ln>
            <a:effectLst/>
          </c:spPr>
          <c:marker>
            <c:symbol val="circle"/>
            <c:size val="20"/>
            <c:spPr>
              <a:solidFill>
                <a:schemeClr val="accent1"/>
              </a:solidFill>
              <a:ln w="9525">
                <a:noFill/>
              </a:ln>
              <a:effectLst/>
            </c:spPr>
          </c:marker>
          <c:dPt>
            <c:idx val="0"/>
            <c:marker>
              <c:symbol val="circle"/>
              <c:size val="20"/>
              <c:spPr>
                <a:solidFill>
                  <a:srgbClr val="F9ADF5"/>
                </a:solidFill>
                <a:ln w="9525">
                  <a:noFill/>
                  <a:prstDash val="solid"/>
                </a:ln>
                <a:effectLst/>
              </c:spPr>
            </c:marker>
            <c:bubble3D val="0"/>
            <c:extLst>
              <c:ext xmlns:c16="http://schemas.microsoft.com/office/drawing/2014/chart" uri="{C3380CC4-5D6E-409C-BE32-E72D297353CC}">
                <c16:uniqueId val="{0000001B-535E-45C2-BA42-D6BCE5B2B159}"/>
              </c:ext>
            </c:extLst>
          </c:dPt>
          <c:dPt>
            <c:idx val="1"/>
            <c:marker>
              <c:symbol val="circle"/>
              <c:size val="20"/>
              <c:spPr>
                <a:solidFill>
                  <a:srgbClr val="02E8D2"/>
                </a:solidFill>
                <a:ln w="9525">
                  <a:noFill/>
                  <a:prstDash val="solid"/>
                </a:ln>
                <a:effectLst/>
              </c:spPr>
            </c:marker>
            <c:bubble3D val="0"/>
            <c:extLst>
              <c:ext xmlns:c16="http://schemas.microsoft.com/office/drawing/2014/chart" uri="{C3380CC4-5D6E-409C-BE32-E72D297353CC}">
                <c16:uniqueId val="{0000001C-535E-45C2-BA42-D6BCE5B2B159}"/>
              </c:ext>
            </c:extLst>
          </c:dPt>
          <c:dPt>
            <c:idx val="2"/>
            <c:marker>
              <c:symbol val="circle"/>
              <c:size val="20"/>
              <c:spPr>
                <a:solidFill>
                  <a:srgbClr val="9751CB"/>
                </a:solidFill>
                <a:ln w="9525">
                  <a:noFill/>
                  <a:prstDash val="solid"/>
                </a:ln>
                <a:effectLst/>
              </c:spPr>
            </c:marker>
            <c:bubble3D val="0"/>
            <c:extLst>
              <c:ext xmlns:c16="http://schemas.microsoft.com/office/drawing/2014/chart" uri="{C3380CC4-5D6E-409C-BE32-E72D297353CC}">
                <c16:uniqueId val="{0000001D-535E-45C2-BA42-D6BCE5B2B159}"/>
              </c:ext>
            </c:extLst>
          </c:dPt>
          <c:dPt>
            <c:idx val="3"/>
            <c:marker>
              <c:symbol val="circle"/>
              <c:size val="20"/>
              <c:spPr>
                <a:solidFill>
                  <a:srgbClr val="FA6148"/>
                </a:solidFill>
                <a:ln w="9525">
                  <a:noFill/>
                  <a:prstDash val="solid"/>
                </a:ln>
                <a:effectLst/>
              </c:spPr>
            </c:marker>
            <c:bubble3D val="0"/>
            <c:extLst>
              <c:ext xmlns:c16="http://schemas.microsoft.com/office/drawing/2014/chart" uri="{C3380CC4-5D6E-409C-BE32-E72D297353CC}">
                <c16:uniqueId val="{0000001E-535E-45C2-BA42-D6BCE5B2B159}"/>
              </c:ext>
            </c:extLst>
          </c:dPt>
          <c:dPt>
            <c:idx val="4"/>
            <c:marker>
              <c:symbol val="circle"/>
              <c:size val="20"/>
              <c:spPr>
                <a:solidFill>
                  <a:srgbClr val="FFFF00"/>
                </a:solidFill>
                <a:ln w="9525">
                  <a:solidFill>
                    <a:srgbClr val="FFFFFF"/>
                  </a:solidFill>
                  <a:prstDash val="solid"/>
                </a:ln>
                <a:effectLst/>
              </c:spPr>
            </c:marker>
            <c:bubble3D val="0"/>
            <c:extLst>
              <c:ext xmlns:c16="http://schemas.microsoft.com/office/drawing/2014/chart" uri="{C3380CC4-5D6E-409C-BE32-E72D297353CC}">
                <c16:uniqueId val="{0000001F-535E-45C2-BA42-D6BCE5B2B159}"/>
              </c:ext>
            </c:extLst>
          </c:dPt>
          <c:dPt>
            <c:idx val="5"/>
            <c:marker>
              <c:symbol val="circle"/>
              <c:size val="20"/>
              <c:spPr>
                <a:solidFill>
                  <a:srgbClr val="7FEC70"/>
                </a:solidFill>
                <a:ln w="9525">
                  <a:noFill/>
                </a:ln>
                <a:effectLst/>
              </c:spPr>
            </c:marker>
            <c:bubble3D val="0"/>
            <c:extLst>
              <c:ext xmlns:c16="http://schemas.microsoft.com/office/drawing/2014/chart" uri="{C3380CC4-5D6E-409C-BE32-E72D297353CC}">
                <c16:uniqueId val="{00000020-535E-45C2-BA42-D6BCE5B2B159}"/>
              </c:ext>
            </c:extLst>
          </c:dPt>
          <c:dPt>
            <c:idx val="6"/>
            <c:marker>
              <c:symbol val="circle"/>
              <c:size val="20"/>
              <c:spPr>
                <a:solidFill>
                  <a:srgbClr val="4472C4"/>
                </a:solidFill>
                <a:ln w="9525">
                  <a:noFill/>
                </a:ln>
                <a:effectLst/>
              </c:spPr>
            </c:marker>
            <c:bubble3D val="0"/>
            <c:extLst>
              <c:ext xmlns:c16="http://schemas.microsoft.com/office/drawing/2014/chart" uri="{C3380CC4-5D6E-409C-BE32-E72D297353CC}">
                <c16:uniqueId val="{00000021-535E-45C2-BA42-D6BCE5B2B159}"/>
              </c:ext>
            </c:extLst>
          </c:dPt>
          <c:dPt>
            <c:idx val="13"/>
            <c:marker>
              <c:symbol val="circle"/>
              <c:size val="20"/>
              <c:spPr>
                <a:solidFill>
                  <a:srgbClr val="FFFFFF"/>
                </a:solidFill>
                <a:ln w="9525">
                  <a:noFill/>
                </a:ln>
                <a:effectLst/>
              </c:spPr>
            </c:marker>
            <c:bubble3D val="0"/>
            <c:extLst>
              <c:ext xmlns:c16="http://schemas.microsoft.com/office/drawing/2014/chart" uri="{C3380CC4-5D6E-409C-BE32-E72D297353CC}">
                <c16:uniqueId val="{00000022-535E-45C2-BA42-D6BCE5B2B159}"/>
              </c:ext>
            </c:extLst>
          </c:dPt>
          <c:xVal>
            <c:numRef>
              <c:f>ControlChart!$BP$1:$BP$14</c:f>
              <c:numCache>
                <c:formatCode>0.00</c:formatCode>
                <c:ptCount val="14"/>
                <c:pt idx="0">
                  <c:v>0.7818314824680298</c:v>
                </c:pt>
                <c:pt idx="1">
                  <c:v>0.97492791218182362</c:v>
                </c:pt>
                <c:pt idx="2">
                  <c:v>0.43388373911755823</c:v>
                </c:pt>
                <c:pt idx="3">
                  <c:v>-0.4338837391175584</c:v>
                </c:pt>
                <c:pt idx="4">
                  <c:v>-0.97492791218182373</c:v>
                </c:pt>
                <c:pt idx="5">
                  <c:v>-0.78183148246802936</c:v>
                </c:pt>
                <c:pt idx="6">
                  <c:v>1.5313271484185265E-15</c:v>
                </c:pt>
                <c:pt idx="7">
                  <c:v>#N/A</c:v>
                </c:pt>
                <c:pt idx="8">
                  <c:v>#N/A</c:v>
                </c:pt>
                <c:pt idx="9">
                  <c:v>#N/A</c:v>
                </c:pt>
                <c:pt idx="10">
                  <c:v>#N/A</c:v>
                </c:pt>
                <c:pt idx="11">
                  <c:v>#N/A</c:v>
                </c:pt>
                <c:pt idx="12">
                  <c:v>#N/A</c:v>
                </c:pt>
                <c:pt idx="13" formatCode="0">
                  <c:v>#N/A</c:v>
                </c:pt>
              </c:numCache>
            </c:numRef>
          </c:xVal>
          <c:yVal>
            <c:numRef>
              <c:f>ControlChart!$BQ$1:$BQ$14</c:f>
              <c:numCache>
                <c:formatCode>0.00</c:formatCode>
                <c:ptCount val="14"/>
                <c:pt idx="0">
                  <c:v>0.62348980185873348</c:v>
                </c:pt>
                <c:pt idx="1">
                  <c:v>-0.22252093395631456</c:v>
                </c:pt>
                <c:pt idx="2">
                  <c:v>-0.90096886790241903</c:v>
                </c:pt>
                <c:pt idx="3">
                  <c:v>-0.90096886790241903</c:v>
                </c:pt>
                <c:pt idx="4">
                  <c:v>-0.2225209339563137</c:v>
                </c:pt>
                <c:pt idx="5">
                  <c:v>0.62348980185873404</c:v>
                </c:pt>
                <c:pt idx="6">
                  <c:v>1</c:v>
                </c:pt>
                <c:pt idx="7">
                  <c:v>#N/A</c:v>
                </c:pt>
                <c:pt idx="8">
                  <c:v>#N/A</c:v>
                </c:pt>
                <c:pt idx="9">
                  <c:v>#N/A</c:v>
                </c:pt>
                <c:pt idx="10">
                  <c:v>#N/A</c:v>
                </c:pt>
                <c:pt idx="11">
                  <c:v>#N/A</c:v>
                </c:pt>
                <c:pt idx="12">
                  <c:v>#N/A</c:v>
                </c:pt>
                <c:pt idx="13" formatCode="0">
                  <c:v>#N/A</c:v>
                </c:pt>
              </c:numCache>
            </c:numRef>
          </c:yVal>
          <c:smooth val="0"/>
          <c:extLst>
            <c:ext xmlns:c16="http://schemas.microsoft.com/office/drawing/2014/chart" uri="{C3380CC4-5D6E-409C-BE32-E72D297353CC}">
              <c16:uniqueId val="{00000023-535E-45C2-BA42-D6BCE5B2B159}"/>
            </c:ext>
          </c:extLst>
        </c:ser>
        <c:ser>
          <c:idx val="2"/>
          <c:order val="2"/>
          <c:tx>
            <c:v>Label</c:v>
          </c:tx>
          <c:spPr>
            <a:ln w="25400" cap="rnd">
              <a:noFill/>
              <a:round/>
            </a:ln>
            <a:effectLst/>
          </c:spPr>
          <c:marker>
            <c:symbol val="circle"/>
            <c:size val="5"/>
            <c:spPr>
              <a:solidFill>
                <a:schemeClr val="accent1"/>
              </a:solidFill>
              <a:ln w="9525">
                <a:solidFill>
                  <a:schemeClr val="accent3"/>
                </a:solidFill>
              </a:ln>
              <a:effectLst/>
            </c:spPr>
          </c:marker>
          <c:yVal>
            <c:numRef>
              <c:f>ControlChart!$BR$1:$BR$13</c:f>
              <c:numCache>
                <c:formatCode>0%</c:formatCode>
                <c:ptCount val="13"/>
              </c:numCache>
            </c:numRef>
          </c:yVal>
          <c:smooth val="0"/>
          <c:extLst>
            <c:ext xmlns:c16="http://schemas.microsoft.com/office/drawing/2014/chart" uri="{C3380CC4-5D6E-409C-BE32-E72D297353CC}">
              <c16:uniqueId val="{00000025-535E-45C2-BA42-D6BCE5B2B159}"/>
            </c:ext>
          </c:extLst>
        </c:ser>
        <c:dLbls>
          <c:showLegendKey val="0"/>
          <c:showVal val="0"/>
          <c:showCatName val="0"/>
          <c:showSerName val="0"/>
          <c:showPercent val="0"/>
          <c:showBubbleSize val="0"/>
        </c:dLbls>
        <c:axId val="590531232"/>
        <c:axId val="590540832"/>
      </c:scatterChart>
      <c:valAx>
        <c:axId val="590540832"/>
        <c:scaling>
          <c:orientation val="minMax"/>
          <c:max val="1.1500000000000001"/>
          <c:min val="-1.1400000000000001"/>
        </c:scaling>
        <c:delete val="1"/>
        <c:axPos val="l"/>
        <c:numFmt formatCode="0.00" sourceLinked="1"/>
        <c:majorTickMark val="out"/>
        <c:minorTickMark val="none"/>
        <c:tickLblPos val="nextTo"/>
        <c:crossAx val="590531232"/>
        <c:crosses val="autoZero"/>
        <c:crossBetween val="midCat"/>
      </c:valAx>
      <c:valAx>
        <c:axId val="590531232"/>
        <c:scaling>
          <c:orientation val="minMax"/>
          <c:max val="1.1400000000000001"/>
          <c:min val="-1.1500000000000001"/>
        </c:scaling>
        <c:delete val="1"/>
        <c:axPos val="b"/>
        <c:numFmt formatCode="0.00" sourceLinked="1"/>
        <c:majorTickMark val="out"/>
        <c:minorTickMark val="none"/>
        <c:tickLblPos val="nextTo"/>
        <c:crossAx val="590540832"/>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90895739313144E-2"/>
          <c:y val="0.18154855643044621"/>
          <c:w val="0.91030550386673148"/>
          <c:h val="0.73114985626796647"/>
        </c:manualLayout>
      </c:layout>
      <c:lineChart>
        <c:grouping val="standard"/>
        <c:varyColors val="0"/>
        <c:ser>
          <c:idx val="2"/>
          <c:order val="0"/>
          <c:tx>
            <c:strRef>
              <c:f>ControlChart!$D$33</c:f>
              <c:strCache>
                <c:ptCount val="1"/>
                <c:pt idx="0">
                  <c:v>Zero line</c:v>
                </c:pt>
              </c:strCache>
            </c:strRef>
          </c:tx>
          <c:spPr>
            <a:ln w="9525" cap="rnd">
              <a:solidFill>
                <a:schemeClr val="tx1">
                  <a:lumMod val="85000"/>
                  <a:lumOff val="15000"/>
                </a:schemeClr>
              </a:solidFill>
              <a:round/>
            </a:ln>
            <a:effectLst/>
          </c:spPr>
          <c:marker>
            <c:symbol val="none"/>
          </c:marker>
          <c:cat>
            <c:strRef>
              <c:f>ControlChart!$A$34:$A$45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ControlChart!$D$34:$D$45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C285-4F8B-B43D-15442DDDF146}"/>
            </c:ext>
          </c:extLst>
        </c:ser>
        <c:ser>
          <c:idx val="1"/>
          <c:order val="1"/>
          <c:tx>
            <c:strRef>
              <c:f>ControlChart!$C$33</c:f>
              <c:strCache>
                <c:ptCount val="1"/>
                <c:pt idx="0">
                  <c:v>-</c:v>
                </c:pt>
              </c:strCache>
            </c:strRef>
          </c:tx>
          <c:spPr>
            <a:ln w="12700" cap="rnd">
              <a:solidFill>
                <a:schemeClr val="bg2">
                  <a:lumMod val="75000"/>
                </a:schemeClr>
              </a:solidFill>
              <a:round/>
            </a:ln>
            <a:effectLst/>
          </c:spPr>
          <c:marker>
            <c:symbol val="none"/>
          </c:marker>
          <c:cat>
            <c:strRef>
              <c:f>ControlChart!$A$34:$A$45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ControlChart!$C$34:$C$45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C285-4F8B-B43D-15442DDDF146}"/>
            </c:ext>
          </c:extLst>
        </c:ser>
        <c:ser>
          <c:idx val="0"/>
          <c:order val="2"/>
          <c:tx>
            <c:strRef>
              <c:f>ControlChart!$B$33</c:f>
              <c:strCache>
                <c:ptCount val="1"/>
                <c:pt idx="0">
                  <c:v>2025</c:v>
                </c:pt>
              </c:strCache>
            </c:strRef>
          </c:tx>
          <c:spPr>
            <a:ln w="12700" cap="rnd">
              <a:solidFill>
                <a:srgbClr val="AADCD7"/>
              </a:solidFill>
              <a:round/>
            </a:ln>
            <a:effectLst/>
          </c:spPr>
          <c:marker>
            <c:symbol val="none"/>
          </c:marker>
          <c:cat>
            <c:strRef>
              <c:f>ControlChart!$A$34:$A$45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ControlChart!$B$34:$B$45</c:f>
              <c:numCache>
                <c:formatCode>General</c:formatCode>
                <c:ptCount val="12"/>
                <c:pt idx="0">
                  <c:v>1E-4</c:v>
                </c:pt>
                <c:pt idx="1">
                  <c:v>1E-4</c:v>
                </c:pt>
                <c:pt idx="2">
                  <c:v>1E-4</c:v>
                </c:pt>
                <c:pt idx="3">
                  <c:v>9.0000000000000006E-5</c:v>
                </c:pt>
                <c:pt idx="4">
                  <c:v>9.0000000000000006E-5</c:v>
                </c:pt>
                <c:pt idx="5">
                  <c:v>9.0000000000000006E-5</c:v>
                </c:pt>
                <c:pt idx="6">
                  <c:v>9.0000000000000006E-5</c:v>
                </c:pt>
                <c:pt idx="7">
                  <c:v>9.0000000000000006E-5</c:v>
                </c:pt>
                <c:pt idx="8">
                  <c:v>1E-4</c:v>
                </c:pt>
                <c:pt idx="9">
                  <c:v>9.0000000000000006E-5</c:v>
                </c:pt>
                <c:pt idx="10">
                  <c:v>9.0000000000000006E-5</c:v>
                </c:pt>
                <c:pt idx="11">
                  <c:v>9.0000000000000006E-5</c:v>
                </c:pt>
              </c:numCache>
            </c:numRef>
          </c:val>
          <c:smooth val="0"/>
          <c:extLst>
            <c:ext xmlns:c16="http://schemas.microsoft.com/office/drawing/2014/chart" uri="{C3380CC4-5D6E-409C-BE32-E72D297353CC}">
              <c16:uniqueId val="{00000000-C285-4F8B-B43D-15442DDDF146}"/>
            </c:ext>
          </c:extLst>
        </c:ser>
        <c:dLbls>
          <c:showLegendKey val="0"/>
          <c:showVal val="0"/>
          <c:showCatName val="0"/>
          <c:showSerName val="0"/>
          <c:showPercent val="0"/>
          <c:showBubbleSize val="0"/>
        </c:dLbls>
        <c:smooth val="0"/>
        <c:axId val="548955503"/>
        <c:axId val="548953103"/>
      </c:lineChart>
      <c:catAx>
        <c:axId val="548955503"/>
        <c:scaling>
          <c:orientation val="minMax"/>
        </c:scaling>
        <c:delete val="1"/>
        <c:axPos val="b"/>
        <c:numFmt formatCode="General" sourceLinked="1"/>
        <c:majorTickMark val="out"/>
        <c:minorTickMark val="none"/>
        <c:tickLblPos val="low"/>
        <c:crossAx val="548953103"/>
        <c:crosses val="autoZero"/>
        <c:auto val="1"/>
        <c:lblAlgn val="ctr"/>
        <c:lblOffset val="100"/>
        <c:noMultiLvlLbl val="0"/>
      </c:catAx>
      <c:valAx>
        <c:axId val="548953103"/>
        <c:scaling>
          <c:orientation val="minMax"/>
        </c:scaling>
        <c:delete val="0"/>
        <c:axPos val="l"/>
        <c:numFmt formatCode="#\ ##0\ &quot;$&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955503"/>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ControlChart!$AV$17</c:f>
              <c:strCache>
                <c:ptCount val="1"/>
                <c:pt idx="0">
                  <c:v>2025</c:v>
                </c:pt>
              </c:strCache>
            </c:strRef>
          </c:tx>
          <c:spPr>
            <a:solidFill>
              <a:srgbClr val="7030A0">
                <a:alpha val="60000"/>
              </a:srgbClr>
            </a:solidFill>
            <a:ln>
              <a:noFill/>
            </a:ln>
            <a:effectLst/>
          </c:spPr>
          <c:invertIfNegative val="0"/>
          <c:val>
            <c:numRef>
              <c:f>ControlChart!$AV$18:$AV$29</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val>
          <c:extLst>
            <c:ext xmlns:c16="http://schemas.microsoft.com/office/drawing/2014/chart" uri="{C3380CC4-5D6E-409C-BE32-E72D297353CC}">
              <c16:uniqueId val="{00000000-ED51-4C7C-A07C-2CAFF0E5C2C7}"/>
            </c:ext>
          </c:extLst>
        </c:ser>
        <c:ser>
          <c:idx val="1"/>
          <c:order val="1"/>
          <c:tx>
            <c:strRef>
              <c:f>ControlChart!$AW$17</c:f>
              <c:strCache>
                <c:ptCount val="1"/>
                <c:pt idx="0">
                  <c:v>S Layer</c:v>
                </c:pt>
              </c:strCache>
            </c:strRef>
          </c:tx>
          <c:spPr>
            <a:solidFill>
              <a:srgbClr val="7030A0"/>
            </a:solidFill>
            <a:ln>
              <a:noFill/>
            </a:ln>
            <a:effectLst/>
          </c:spPr>
          <c:invertIfNegative val="0"/>
          <c:val>
            <c:numRef>
              <c:f>ControlChart!$AW$18:$AW$29</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val>
          <c:extLst>
            <c:ext xmlns:c16="http://schemas.microsoft.com/office/drawing/2014/chart" uri="{C3380CC4-5D6E-409C-BE32-E72D297353CC}">
              <c16:uniqueId val="{00000001-ED51-4C7C-A07C-2CAFF0E5C2C7}"/>
            </c:ext>
          </c:extLst>
        </c:ser>
        <c:dLbls>
          <c:showLegendKey val="0"/>
          <c:showVal val="0"/>
          <c:showCatName val="0"/>
          <c:showSerName val="0"/>
          <c:showPercent val="0"/>
          <c:showBubbleSize val="0"/>
        </c:dLbls>
        <c:gapWidth val="150"/>
        <c:overlap val="100"/>
        <c:axId val="763427584"/>
        <c:axId val="763428064"/>
      </c:barChart>
      <c:lineChart>
        <c:grouping val="standard"/>
        <c:varyColors val="0"/>
        <c:ser>
          <c:idx val="2"/>
          <c:order val="2"/>
          <c:tx>
            <c:strRef>
              <c:f>ControlChart!$AX$17</c:f>
              <c:strCache>
                <c:ptCount val="1"/>
                <c:pt idx="0">
                  <c:v>-</c:v>
                </c:pt>
              </c:strCache>
            </c:strRef>
          </c:tx>
          <c:spPr>
            <a:ln w="15875" cap="rnd">
              <a:solidFill>
                <a:schemeClr val="tx1">
                  <a:lumMod val="75000"/>
                  <a:lumOff val="25000"/>
                </a:schemeClr>
              </a:solidFill>
              <a:round/>
            </a:ln>
            <a:effectLst/>
          </c:spPr>
          <c:marker>
            <c:symbol val="none"/>
          </c:marker>
          <c:val>
            <c:numRef>
              <c:f>ControlChart!$AX$18:$AX$29</c:f>
              <c:numCache>
                <c:formatCode>#\ ##0\ "$"</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2-ED51-4C7C-A07C-2CAFF0E5C2C7}"/>
            </c:ext>
          </c:extLst>
        </c:ser>
        <c:dLbls>
          <c:showLegendKey val="0"/>
          <c:showVal val="0"/>
          <c:showCatName val="0"/>
          <c:showSerName val="0"/>
          <c:showPercent val="0"/>
          <c:showBubbleSize val="0"/>
        </c:dLbls>
        <c:marker val="1"/>
        <c:smooth val="0"/>
        <c:axId val="763427584"/>
        <c:axId val="763428064"/>
      </c:lineChart>
      <c:scatterChart>
        <c:scatterStyle val="lineMarker"/>
        <c:varyColors val="0"/>
        <c:ser>
          <c:idx val="3"/>
          <c:order val="3"/>
          <c:tx>
            <c:strRef>
              <c:f>ControlChart!$AY$17</c:f>
              <c:strCache>
                <c:ptCount val="1"/>
                <c:pt idx="0">
                  <c:v>Decor</c:v>
                </c:pt>
              </c:strCache>
            </c:strRef>
          </c:tx>
          <c:spPr>
            <a:ln w="25400" cap="rnd">
              <a:noFill/>
              <a:round/>
            </a:ln>
            <a:effectLst/>
          </c:spPr>
          <c:marker>
            <c:symbol val="circle"/>
            <c:size val="7"/>
            <c:spPr>
              <a:solidFill>
                <a:srgbClr val="7030A0"/>
              </a:solidFill>
              <a:ln w="9525">
                <a:solidFill>
                  <a:schemeClr val="bg1"/>
                </a:solidFill>
              </a:ln>
              <a:effectLst/>
            </c:spPr>
          </c:marker>
          <c:errBars>
            <c:errDir val="y"/>
            <c:errBarType val="both"/>
            <c:errValType val="cust"/>
            <c:noEndCap val="0"/>
            <c:plus>
              <c:numLit>
                <c:formatCode>General</c:formatCode>
                <c:ptCount val="1"/>
                <c:pt idx="0">
                  <c:v>1</c:v>
                </c:pt>
              </c:numLit>
            </c:plus>
            <c:minus>
              <c:numRef>
                <c:f>ControlChart!$AY$2:$AY$13</c:f>
                <c:numCache>
                  <c:formatCode>General</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minus>
            <c:spPr>
              <a:noFill/>
              <a:ln w="9525" cap="flat" cmpd="sng" algn="ctr">
                <a:solidFill>
                  <a:schemeClr val="tx1">
                    <a:lumMod val="65000"/>
                    <a:lumOff val="35000"/>
                  </a:schemeClr>
                </a:solidFill>
                <a:round/>
              </a:ln>
              <a:effectLst/>
            </c:spPr>
          </c:errBars>
          <c:yVal>
            <c:numRef>
              <c:f>ControlChart!$AY$18:$AY$29</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yVal>
          <c:smooth val="0"/>
          <c:extLst>
            <c:ext xmlns:c16="http://schemas.microsoft.com/office/drawing/2014/chart" uri="{C3380CC4-5D6E-409C-BE32-E72D297353CC}">
              <c16:uniqueId val="{00000003-ED51-4C7C-A07C-2CAFF0E5C2C7}"/>
            </c:ext>
          </c:extLst>
        </c:ser>
        <c:dLbls>
          <c:showLegendKey val="0"/>
          <c:showVal val="0"/>
          <c:showCatName val="0"/>
          <c:showSerName val="0"/>
          <c:showPercent val="0"/>
          <c:showBubbleSize val="0"/>
        </c:dLbls>
        <c:axId val="763427584"/>
        <c:axId val="763428064"/>
      </c:scatterChart>
      <c:catAx>
        <c:axId val="763427584"/>
        <c:scaling>
          <c:orientation val="minMax"/>
        </c:scaling>
        <c:delete val="1"/>
        <c:axPos val="b"/>
        <c:majorTickMark val="out"/>
        <c:minorTickMark val="none"/>
        <c:tickLblPos val="nextTo"/>
        <c:crossAx val="763428064"/>
        <c:crosses val="autoZero"/>
        <c:auto val="1"/>
        <c:lblAlgn val="ctr"/>
        <c:lblOffset val="100"/>
        <c:noMultiLvlLbl val="0"/>
      </c:catAx>
      <c:valAx>
        <c:axId val="763428064"/>
        <c:scaling>
          <c:orientation val="minMax"/>
          <c:min val="0"/>
        </c:scaling>
        <c:delete val="0"/>
        <c:axPos val="l"/>
        <c:majorGridlines>
          <c:spPr>
            <a:ln w="9525" cap="flat" cmpd="sng" algn="ctr">
              <a:solidFill>
                <a:schemeClr val="bg2">
                  <a:lumMod val="25000"/>
                </a:schemeClr>
              </a:solidFill>
              <a:round/>
            </a:ln>
            <a:effectLst/>
          </c:spPr>
        </c:majorGridlines>
        <c:numFmt formatCode="#\ ##0\ &quot;$&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6342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ControlChart!$AV$1</c:f>
              <c:strCache>
                <c:ptCount val="1"/>
                <c:pt idx="0">
                  <c:v>2025</c:v>
                </c:pt>
              </c:strCache>
            </c:strRef>
          </c:tx>
          <c:spPr>
            <a:solidFill>
              <a:srgbClr val="2596FF">
                <a:alpha val="60000"/>
              </a:srgbClr>
            </a:solidFill>
            <a:ln>
              <a:noFill/>
            </a:ln>
            <a:effectLst/>
          </c:spPr>
          <c:invertIfNegative val="0"/>
          <c:val>
            <c:numRef>
              <c:f>ControlChart!$AV$2:$AV$13</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val>
          <c:extLst>
            <c:ext xmlns:c16="http://schemas.microsoft.com/office/drawing/2014/chart" uri="{C3380CC4-5D6E-409C-BE32-E72D297353CC}">
              <c16:uniqueId val="{00000000-5212-442A-8DC7-D6129AD9E43D}"/>
            </c:ext>
          </c:extLst>
        </c:ser>
        <c:ser>
          <c:idx val="1"/>
          <c:order val="1"/>
          <c:tx>
            <c:strRef>
              <c:f>ControlChart!$AW$1</c:f>
              <c:strCache>
                <c:ptCount val="1"/>
                <c:pt idx="0">
                  <c:v>S Layer</c:v>
                </c:pt>
              </c:strCache>
            </c:strRef>
          </c:tx>
          <c:spPr>
            <a:solidFill>
              <a:srgbClr val="02C7B3"/>
            </a:solidFill>
            <a:ln>
              <a:noFill/>
            </a:ln>
            <a:effectLst/>
          </c:spPr>
          <c:invertIfNegative val="0"/>
          <c:val>
            <c:numRef>
              <c:f>ControlChart!$AW$2:$AW$13</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val>
          <c:extLst>
            <c:ext xmlns:c16="http://schemas.microsoft.com/office/drawing/2014/chart" uri="{C3380CC4-5D6E-409C-BE32-E72D297353CC}">
              <c16:uniqueId val="{00000001-5212-442A-8DC7-D6129AD9E43D}"/>
            </c:ext>
          </c:extLst>
        </c:ser>
        <c:dLbls>
          <c:showLegendKey val="0"/>
          <c:showVal val="0"/>
          <c:showCatName val="0"/>
          <c:showSerName val="0"/>
          <c:showPercent val="0"/>
          <c:showBubbleSize val="0"/>
        </c:dLbls>
        <c:gapWidth val="150"/>
        <c:overlap val="100"/>
        <c:axId val="763427584"/>
        <c:axId val="763428064"/>
      </c:barChart>
      <c:lineChart>
        <c:grouping val="standard"/>
        <c:varyColors val="0"/>
        <c:ser>
          <c:idx val="2"/>
          <c:order val="2"/>
          <c:tx>
            <c:strRef>
              <c:f>ControlChart!$AX$1</c:f>
              <c:strCache>
                <c:ptCount val="1"/>
                <c:pt idx="0">
                  <c:v>-</c:v>
                </c:pt>
              </c:strCache>
            </c:strRef>
          </c:tx>
          <c:spPr>
            <a:ln w="15875" cap="rnd">
              <a:solidFill>
                <a:schemeClr val="tx1">
                  <a:lumMod val="75000"/>
                  <a:lumOff val="25000"/>
                </a:schemeClr>
              </a:solidFill>
              <a:round/>
            </a:ln>
            <a:effectLst/>
          </c:spPr>
          <c:marker>
            <c:symbol val="none"/>
          </c:marker>
          <c:val>
            <c:numRef>
              <c:f>ControlChart!$AX$2:$AX$13</c:f>
              <c:numCache>
                <c:formatCode>#\ ##0\ "$"</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2-5212-442A-8DC7-D6129AD9E43D}"/>
            </c:ext>
          </c:extLst>
        </c:ser>
        <c:dLbls>
          <c:showLegendKey val="0"/>
          <c:showVal val="0"/>
          <c:showCatName val="0"/>
          <c:showSerName val="0"/>
          <c:showPercent val="0"/>
          <c:showBubbleSize val="0"/>
        </c:dLbls>
        <c:marker val="1"/>
        <c:smooth val="0"/>
        <c:axId val="763427584"/>
        <c:axId val="763428064"/>
      </c:lineChart>
      <c:scatterChart>
        <c:scatterStyle val="lineMarker"/>
        <c:varyColors val="0"/>
        <c:ser>
          <c:idx val="3"/>
          <c:order val="3"/>
          <c:tx>
            <c:strRef>
              <c:f>ControlChart!$AY$1</c:f>
              <c:strCache>
                <c:ptCount val="1"/>
                <c:pt idx="0">
                  <c:v>Decor</c:v>
                </c:pt>
              </c:strCache>
            </c:strRef>
          </c:tx>
          <c:spPr>
            <a:ln w="25400" cap="rnd">
              <a:noFill/>
              <a:round/>
            </a:ln>
            <a:effectLst/>
          </c:spPr>
          <c:marker>
            <c:symbol val="circle"/>
            <c:size val="7"/>
            <c:spPr>
              <a:solidFill>
                <a:srgbClr val="02C7B3"/>
              </a:solidFill>
              <a:ln w="9525">
                <a:solidFill>
                  <a:schemeClr val="bg1"/>
                </a:solidFill>
              </a:ln>
              <a:effectLst/>
            </c:spPr>
          </c:marker>
          <c:errBars>
            <c:errDir val="y"/>
            <c:errBarType val="both"/>
            <c:errValType val="cust"/>
            <c:noEndCap val="0"/>
            <c:plus>
              <c:numLit>
                <c:formatCode>General</c:formatCode>
                <c:ptCount val="1"/>
                <c:pt idx="0">
                  <c:v>1</c:v>
                </c:pt>
              </c:numLit>
            </c:plus>
            <c:minus>
              <c:numRef>
                <c:f>ControlChart!$AY$2:$AY$13</c:f>
                <c:numCache>
                  <c:formatCode>General</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minus>
            <c:spPr>
              <a:noFill/>
              <a:ln w="9525" cap="flat" cmpd="sng" algn="ctr">
                <a:solidFill>
                  <a:schemeClr val="tx1">
                    <a:lumMod val="65000"/>
                    <a:lumOff val="35000"/>
                  </a:schemeClr>
                </a:solidFill>
                <a:round/>
              </a:ln>
              <a:effectLst/>
            </c:spPr>
          </c:errBars>
          <c:yVal>
            <c:numRef>
              <c:f>ControlChart!$AY$2:$AY$13</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yVal>
          <c:smooth val="0"/>
          <c:extLst>
            <c:ext xmlns:c16="http://schemas.microsoft.com/office/drawing/2014/chart" uri="{C3380CC4-5D6E-409C-BE32-E72D297353CC}">
              <c16:uniqueId val="{00000003-5212-442A-8DC7-D6129AD9E43D}"/>
            </c:ext>
          </c:extLst>
        </c:ser>
        <c:dLbls>
          <c:showLegendKey val="0"/>
          <c:showVal val="0"/>
          <c:showCatName val="0"/>
          <c:showSerName val="0"/>
          <c:showPercent val="0"/>
          <c:showBubbleSize val="0"/>
        </c:dLbls>
        <c:axId val="763427584"/>
        <c:axId val="763428064"/>
      </c:scatterChart>
      <c:catAx>
        <c:axId val="763427584"/>
        <c:scaling>
          <c:orientation val="minMax"/>
        </c:scaling>
        <c:delete val="1"/>
        <c:axPos val="b"/>
        <c:majorTickMark val="out"/>
        <c:minorTickMark val="none"/>
        <c:tickLblPos val="nextTo"/>
        <c:crossAx val="763428064"/>
        <c:crosses val="autoZero"/>
        <c:auto val="1"/>
        <c:lblAlgn val="ctr"/>
        <c:lblOffset val="100"/>
        <c:noMultiLvlLbl val="0"/>
      </c:catAx>
      <c:valAx>
        <c:axId val="763428064"/>
        <c:scaling>
          <c:orientation val="minMax"/>
          <c:min val="0"/>
        </c:scaling>
        <c:delete val="0"/>
        <c:axPos val="l"/>
        <c:majorGridlines>
          <c:spPr>
            <a:ln w="9525" cap="flat" cmpd="sng" algn="ctr">
              <a:solidFill>
                <a:schemeClr val="bg2">
                  <a:lumMod val="25000"/>
                </a:schemeClr>
              </a:solidFill>
              <a:round/>
            </a:ln>
            <a:effectLst/>
          </c:spPr>
        </c:majorGridlines>
        <c:numFmt formatCode="#\ ##0\ &quot;$&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6342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ControlChart!$AV$34</c:f>
              <c:strCache>
                <c:ptCount val="1"/>
                <c:pt idx="0">
                  <c:v>2025</c:v>
                </c:pt>
              </c:strCache>
            </c:strRef>
          </c:tx>
          <c:spPr>
            <a:solidFill>
              <a:srgbClr val="FA6148">
                <a:alpha val="60000"/>
              </a:srgbClr>
            </a:solidFill>
            <a:ln>
              <a:noFill/>
            </a:ln>
            <a:effectLst/>
          </c:spPr>
          <c:invertIfNegative val="0"/>
          <c:val>
            <c:numRef>
              <c:f>ControlChart!$AV$35:$AV$46</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val>
          <c:extLst>
            <c:ext xmlns:c16="http://schemas.microsoft.com/office/drawing/2014/chart" uri="{C3380CC4-5D6E-409C-BE32-E72D297353CC}">
              <c16:uniqueId val="{00000000-3FB4-41F6-9775-55529309677E}"/>
            </c:ext>
          </c:extLst>
        </c:ser>
        <c:ser>
          <c:idx val="1"/>
          <c:order val="1"/>
          <c:tx>
            <c:strRef>
              <c:f>ControlChart!$AW$34</c:f>
              <c:strCache>
                <c:ptCount val="1"/>
                <c:pt idx="0">
                  <c:v>S Layer</c:v>
                </c:pt>
              </c:strCache>
            </c:strRef>
          </c:tx>
          <c:spPr>
            <a:solidFill>
              <a:srgbClr val="FA6148"/>
            </a:solidFill>
            <a:ln>
              <a:noFill/>
            </a:ln>
            <a:effectLst/>
          </c:spPr>
          <c:invertIfNegative val="0"/>
          <c:val>
            <c:numRef>
              <c:f>ControlChart!$AW$35:$AW$46</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val>
          <c:extLst>
            <c:ext xmlns:c16="http://schemas.microsoft.com/office/drawing/2014/chart" uri="{C3380CC4-5D6E-409C-BE32-E72D297353CC}">
              <c16:uniqueId val="{00000001-3FB4-41F6-9775-55529309677E}"/>
            </c:ext>
          </c:extLst>
        </c:ser>
        <c:dLbls>
          <c:showLegendKey val="0"/>
          <c:showVal val="0"/>
          <c:showCatName val="0"/>
          <c:showSerName val="0"/>
          <c:showPercent val="0"/>
          <c:showBubbleSize val="0"/>
        </c:dLbls>
        <c:gapWidth val="150"/>
        <c:overlap val="100"/>
        <c:axId val="763427584"/>
        <c:axId val="763428064"/>
      </c:barChart>
      <c:lineChart>
        <c:grouping val="standard"/>
        <c:varyColors val="0"/>
        <c:ser>
          <c:idx val="2"/>
          <c:order val="2"/>
          <c:tx>
            <c:strRef>
              <c:f>ControlChart!$AX$34</c:f>
              <c:strCache>
                <c:ptCount val="1"/>
                <c:pt idx="0">
                  <c:v>-</c:v>
                </c:pt>
              </c:strCache>
            </c:strRef>
          </c:tx>
          <c:spPr>
            <a:ln w="15875" cap="rnd">
              <a:solidFill>
                <a:schemeClr val="tx1">
                  <a:lumMod val="75000"/>
                  <a:lumOff val="25000"/>
                </a:schemeClr>
              </a:solidFill>
              <a:round/>
            </a:ln>
            <a:effectLst/>
          </c:spPr>
          <c:marker>
            <c:symbol val="none"/>
          </c:marker>
          <c:val>
            <c:numRef>
              <c:f>ControlChart!$AX$35:$AX$46</c:f>
              <c:numCache>
                <c:formatCode>#\ ##0\ "$"</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2-3FB4-41F6-9775-55529309677E}"/>
            </c:ext>
          </c:extLst>
        </c:ser>
        <c:dLbls>
          <c:showLegendKey val="0"/>
          <c:showVal val="0"/>
          <c:showCatName val="0"/>
          <c:showSerName val="0"/>
          <c:showPercent val="0"/>
          <c:showBubbleSize val="0"/>
        </c:dLbls>
        <c:marker val="1"/>
        <c:smooth val="0"/>
        <c:axId val="763427584"/>
        <c:axId val="763428064"/>
      </c:lineChart>
      <c:scatterChart>
        <c:scatterStyle val="lineMarker"/>
        <c:varyColors val="0"/>
        <c:ser>
          <c:idx val="3"/>
          <c:order val="3"/>
          <c:tx>
            <c:strRef>
              <c:f>ControlChart!$AY$34</c:f>
              <c:strCache>
                <c:ptCount val="1"/>
                <c:pt idx="0">
                  <c:v>Decor</c:v>
                </c:pt>
              </c:strCache>
            </c:strRef>
          </c:tx>
          <c:spPr>
            <a:ln w="25400" cap="rnd">
              <a:noFill/>
              <a:round/>
            </a:ln>
            <a:effectLst/>
          </c:spPr>
          <c:marker>
            <c:symbol val="circle"/>
            <c:size val="7"/>
            <c:spPr>
              <a:solidFill>
                <a:srgbClr val="FA6148"/>
              </a:solidFill>
              <a:ln w="9525">
                <a:solidFill>
                  <a:schemeClr val="bg1"/>
                </a:solidFill>
              </a:ln>
              <a:effectLst/>
            </c:spPr>
          </c:marker>
          <c:errBars>
            <c:errDir val="y"/>
            <c:errBarType val="both"/>
            <c:errValType val="cust"/>
            <c:noEndCap val="0"/>
            <c:plus>
              <c:numLit>
                <c:formatCode>General</c:formatCode>
                <c:ptCount val="1"/>
                <c:pt idx="0">
                  <c:v>1</c:v>
                </c:pt>
              </c:numLit>
            </c:plus>
            <c:minus>
              <c:numRef>
                <c:f>ControlChart!$AY$35:$AY$46</c:f>
                <c:numCache>
                  <c:formatCode>General</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minus>
            <c:spPr>
              <a:noFill/>
              <a:ln w="9525" cap="flat" cmpd="sng" algn="ctr">
                <a:solidFill>
                  <a:schemeClr val="tx1">
                    <a:lumMod val="65000"/>
                    <a:lumOff val="35000"/>
                  </a:schemeClr>
                </a:solidFill>
                <a:round/>
              </a:ln>
              <a:effectLst/>
            </c:spPr>
          </c:errBars>
          <c:yVal>
            <c:numRef>
              <c:f>ControlChart!$AY$35:$AY$46</c:f>
              <c:numCache>
                <c:formatCode>#\ ##0\ "$"</c:formatCode>
                <c:ptCount val="12"/>
                <c:pt idx="0">
                  <c:v>1.0000000000000001E-5</c:v>
                </c:pt>
                <c:pt idx="1">
                  <c:v>1.0000000000000001E-5</c:v>
                </c:pt>
                <c:pt idx="2">
                  <c:v>1.0000000000000001E-5</c:v>
                </c:pt>
                <c:pt idx="3">
                  <c:v>1.0000000000000001E-5</c:v>
                </c:pt>
                <c:pt idx="4">
                  <c:v>1.0000000000000001E-5</c:v>
                </c:pt>
                <c:pt idx="5">
                  <c:v>1.0000000000000001E-5</c:v>
                </c:pt>
                <c:pt idx="6">
                  <c:v>1.0000000000000001E-5</c:v>
                </c:pt>
                <c:pt idx="7">
                  <c:v>1.0000000000000001E-5</c:v>
                </c:pt>
                <c:pt idx="8">
                  <c:v>1.0000000000000001E-5</c:v>
                </c:pt>
                <c:pt idx="9">
                  <c:v>1.0000000000000001E-5</c:v>
                </c:pt>
                <c:pt idx="10">
                  <c:v>1.0000000000000001E-5</c:v>
                </c:pt>
                <c:pt idx="11">
                  <c:v>1.0000000000000001E-5</c:v>
                </c:pt>
              </c:numCache>
            </c:numRef>
          </c:yVal>
          <c:smooth val="0"/>
          <c:extLst>
            <c:ext xmlns:c16="http://schemas.microsoft.com/office/drawing/2014/chart" uri="{C3380CC4-5D6E-409C-BE32-E72D297353CC}">
              <c16:uniqueId val="{00000003-3FB4-41F6-9775-55529309677E}"/>
            </c:ext>
          </c:extLst>
        </c:ser>
        <c:dLbls>
          <c:showLegendKey val="0"/>
          <c:showVal val="0"/>
          <c:showCatName val="0"/>
          <c:showSerName val="0"/>
          <c:showPercent val="0"/>
          <c:showBubbleSize val="0"/>
        </c:dLbls>
        <c:axId val="763427584"/>
        <c:axId val="763428064"/>
      </c:scatterChart>
      <c:catAx>
        <c:axId val="763427584"/>
        <c:scaling>
          <c:orientation val="minMax"/>
        </c:scaling>
        <c:delete val="1"/>
        <c:axPos val="b"/>
        <c:majorTickMark val="out"/>
        <c:minorTickMark val="none"/>
        <c:tickLblPos val="nextTo"/>
        <c:crossAx val="763428064"/>
        <c:crosses val="autoZero"/>
        <c:auto val="1"/>
        <c:lblAlgn val="ctr"/>
        <c:lblOffset val="100"/>
        <c:noMultiLvlLbl val="0"/>
      </c:catAx>
      <c:valAx>
        <c:axId val="763428064"/>
        <c:scaling>
          <c:orientation val="minMax"/>
          <c:min val="0"/>
        </c:scaling>
        <c:delete val="0"/>
        <c:axPos val="l"/>
        <c:majorGridlines>
          <c:spPr>
            <a:ln w="9525" cap="flat" cmpd="sng" algn="ctr">
              <a:solidFill>
                <a:schemeClr val="bg2">
                  <a:lumMod val="25000"/>
                </a:schemeClr>
              </a:solidFill>
              <a:round/>
            </a:ln>
            <a:effectLst/>
          </c:spPr>
        </c:majorGridlines>
        <c:numFmt formatCode="#\ ##0\ &quot;$&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6342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862026862026864E-2"/>
          <c:y val="0.10951006477089403"/>
          <c:w val="0.94627594627594624"/>
          <c:h val="0.74905943752859305"/>
        </c:manualLayout>
      </c:layout>
      <c:barChart>
        <c:barDir val="bar"/>
        <c:grouping val="percentStacked"/>
        <c:varyColors val="0"/>
        <c:ser>
          <c:idx val="0"/>
          <c:order val="0"/>
          <c:tx>
            <c:strRef>
              <c:f>ControlChart!$M$21</c:f>
              <c:strCache>
                <c:ptCount val="1"/>
                <c:pt idx="0">
                  <c:v>Indent LEFT</c:v>
                </c:pt>
              </c:strCache>
            </c:strRef>
          </c:tx>
          <c:spPr>
            <a:solidFill>
              <a:schemeClr val="bg2">
                <a:lumMod val="10000"/>
              </a:schemeClr>
            </a:solidFill>
            <a:ln>
              <a:noFill/>
            </a:ln>
            <a:effectLst/>
          </c:spPr>
          <c:invertIfNegative val="0"/>
          <c:dLbls>
            <c:dLbl>
              <c:idx val="0"/>
              <c:tx>
                <c:rich>
                  <a:bodyPr/>
                  <a:lstStyle/>
                  <a:p>
                    <a:fld id="{58C6EDE8-0824-441C-9B43-6399A8E99D25}"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D1-4035-827F-891BF31614AB}"/>
                </c:ext>
              </c:extLst>
            </c:dLbl>
            <c:dLbl>
              <c:idx val="1"/>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D1-4035-827F-891BF31614AB}"/>
                </c:ext>
              </c:extLst>
            </c:dLbl>
            <c:dLbl>
              <c:idx val="2"/>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D1-4035-827F-891BF31614AB}"/>
                </c:ext>
              </c:extLst>
            </c:dLbl>
            <c:dLbl>
              <c:idx val="3"/>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D1-4035-827F-891BF31614AB}"/>
                </c:ext>
              </c:extLst>
            </c:dLbl>
            <c:dLbl>
              <c:idx val="4"/>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D1-4035-827F-891BF31614AB}"/>
                </c:ext>
              </c:extLst>
            </c:dLbl>
            <c:dLbl>
              <c:idx val="5"/>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D1-4035-827F-891BF31614AB}"/>
                </c:ext>
              </c:extLst>
            </c:dLbl>
            <c:dLbl>
              <c:idx val="6"/>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D1-4035-827F-891BF31614AB}"/>
                </c:ext>
              </c:extLst>
            </c:dLbl>
            <c:dLbl>
              <c:idx val="7"/>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D1-4035-827F-891BF31614AB}"/>
                </c:ext>
              </c:extLst>
            </c:dLbl>
            <c:dLbl>
              <c:idx val="8"/>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D1-4035-827F-891BF31614AB}"/>
                </c:ext>
              </c:extLst>
            </c:dLbl>
            <c:dLbl>
              <c:idx val="9"/>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D1-4035-827F-891BF31614AB}"/>
                </c:ext>
              </c:extLst>
            </c:dLbl>
            <c:dLbl>
              <c:idx val="10"/>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A-62D1-4035-827F-891BF31614AB}"/>
                </c:ext>
              </c:extLst>
            </c:dLbl>
            <c:dLbl>
              <c:idx val="11"/>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B-62D1-4035-827F-891BF31614AB}"/>
                </c:ext>
              </c:extLst>
            </c:dLbl>
            <c:dLbl>
              <c:idx val="12"/>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C-62D1-4035-827F-891BF31614AB}"/>
                </c:ext>
              </c:extLst>
            </c:dLbl>
            <c:dLbl>
              <c:idx val="13"/>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D-62D1-4035-827F-891BF31614AB}"/>
                </c:ext>
              </c:extLst>
            </c:dLbl>
            <c:dLbl>
              <c:idx val="14"/>
              <c:tx>
                <c:rich>
                  <a:bodyPr/>
                  <a:lstStyle/>
                  <a:p>
                    <a:endParaRPr lang="en-CA"/>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E-62D1-4035-827F-891BF31614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ControlChart!$M$22:$M$36</c:f>
              <c:numCache>
                <c:formatCode>General</c:formatCode>
                <c:ptCount val="15"/>
                <c:pt idx="0">
                  <c:v>0.39999999999999991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5="http://schemas.microsoft.com/office/drawing/2012/chart" uri="{02D57815-91ED-43cb-92C2-25804820EDAC}">
              <c15:datalabelsRange>
                <c15:f>ControlChart!$N$22:$N$36</c15:f>
                <c15:dlblRangeCache>
                  <c:ptCount val="15"/>
                  <c:pt idx="0">
                    <c:v>100.00%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15:dlblRangeCache>
              </c15:datalabelsRange>
            </c:ext>
            <c:ext xmlns:c16="http://schemas.microsoft.com/office/drawing/2014/chart" uri="{C3380CC4-5D6E-409C-BE32-E72D297353CC}">
              <c16:uniqueId val="{0000000F-62D1-4035-827F-891BF31614AB}"/>
            </c:ext>
          </c:extLst>
        </c:ser>
        <c:ser>
          <c:idx val="1"/>
          <c:order val="1"/>
          <c:tx>
            <c:strRef>
              <c:f>ControlChart!$N$21</c:f>
              <c:strCache>
                <c:ptCount val="1"/>
                <c:pt idx="0">
                  <c:v>Category3</c:v>
                </c:pt>
              </c:strCache>
            </c:strRef>
          </c:tx>
          <c:spPr>
            <a:gradFill>
              <a:gsLst>
                <a:gs pos="50000">
                  <a:srgbClr val="02C7B3"/>
                </a:gs>
                <a:gs pos="100000">
                  <a:srgbClr val="000000"/>
                </a:gs>
                <a:gs pos="100000">
                  <a:schemeClr val="accent1">
                    <a:lumMod val="45000"/>
                    <a:lumOff val="55000"/>
                  </a:schemeClr>
                </a:gs>
                <a:gs pos="100000">
                  <a:srgbClr val="02C7B3"/>
                </a:gs>
              </a:gsLst>
              <a:lin ang="2700000" scaled="0"/>
            </a:gradFill>
            <a:ln>
              <a:noFill/>
            </a:ln>
            <a:effectLst/>
          </c:spPr>
          <c:invertIfNegative val="0"/>
          <c:val>
            <c:numRef>
              <c:f>ControlChart!$N$22:$N$36</c:f>
              <c:numCache>
                <c:formatCode>0.00%</c:formatCode>
                <c:ptCount val="15"/>
                <c:pt idx="0">
                  <c:v>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10-62D1-4035-827F-891BF31614AB}"/>
            </c:ext>
          </c:extLst>
        </c:ser>
        <c:ser>
          <c:idx val="2"/>
          <c:order val="2"/>
          <c:tx>
            <c:strRef>
              <c:f>ControlChart!$O$21</c:f>
              <c:strCache>
                <c:ptCount val="1"/>
                <c:pt idx="0">
                  <c:v>Middle</c:v>
                </c:pt>
              </c:strCache>
            </c:strRef>
          </c:tx>
          <c:spPr>
            <a:noFill/>
            <a:ln>
              <a:noFill/>
            </a:ln>
            <a:effectLst/>
          </c:spPr>
          <c:invertIfNegative val="0"/>
          <c:dLbls>
            <c:dLbl>
              <c:idx val="0"/>
              <c:tx>
                <c:rich>
                  <a:bodyPr/>
                  <a:lstStyle/>
                  <a:p>
                    <a:fld id="{9EDF9465-A934-4EAA-95F6-E295A1AB8DBE}" type="CELLRANGE">
                      <a:rPr lang="en-US"/>
                      <a:pPr/>
                      <a:t>[CELLRANGE]</a:t>
                    </a:fld>
                    <a:endParaRPr lang="en-CA"/>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62D1-4035-827F-891BF31614AB}"/>
                </c:ext>
              </c:extLst>
            </c:dLbl>
            <c:dLbl>
              <c:idx val="1"/>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4-62D1-4035-827F-891BF31614AB}"/>
                </c:ext>
              </c:extLst>
            </c:dLbl>
            <c:dLbl>
              <c:idx val="2"/>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5-62D1-4035-827F-891BF31614AB}"/>
                </c:ext>
              </c:extLst>
            </c:dLbl>
            <c:dLbl>
              <c:idx val="3"/>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6-62D1-4035-827F-891BF31614AB}"/>
                </c:ext>
              </c:extLst>
            </c:dLbl>
            <c:dLbl>
              <c:idx val="4"/>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7-62D1-4035-827F-891BF31614AB}"/>
                </c:ext>
              </c:extLst>
            </c:dLbl>
            <c:dLbl>
              <c:idx val="5"/>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8-62D1-4035-827F-891BF31614AB}"/>
                </c:ext>
              </c:extLst>
            </c:dLbl>
            <c:dLbl>
              <c:idx val="6"/>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9-62D1-4035-827F-891BF31614AB}"/>
                </c:ext>
              </c:extLst>
            </c:dLbl>
            <c:dLbl>
              <c:idx val="7"/>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A-62D1-4035-827F-891BF31614AB}"/>
                </c:ext>
              </c:extLst>
            </c:dLbl>
            <c:dLbl>
              <c:idx val="8"/>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B-62D1-4035-827F-891BF31614AB}"/>
                </c:ext>
              </c:extLst>
            </c:dLbl>
            <c:dLbl>
              <c:idx val="9"/>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C-62D1-4035-827F-891BF31614AB}"/>
                </c:ext>
              </c:extLst>
            </c:dLbl>
            <c:dLbl>
              <c:idx val="10"/>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D-62D1-4035-827F-891BF31614AB}"/>
                </c:ext>
              </c:extLst>
            </c:dLbl>
            <c:dLbl>
              <c:idx val="11"/>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E-62D1-4035-827F-891BF31614AB}"/>
                </c:ext>
              </c:extLst>
            </c:dLbl>
            <c:dLbl>
              <c:idx val="12"/>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F-62D1-4035-827F-891BF31614AB}"/>
                </c:ext>
              </c:extLst>
            </c:dLbl>
            <c:dLbl>
              <c:idx val="13"/>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0-62D1-4035-827F-891BF31614AB}"/>
                </c:ext>
              </c:extLst>
            </c:dLbl>
            <c:dLbl>
              <c:idx val="14"/>
              <c:tx>
                <c:rich>
                  <a:bodyPr/>
                  <a:lstStyle/>
                  <a:p>
                    <a:endParaRPr lang="en-CA"/>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1-62D1-4035-827F-891BF31614AB}"/>
                </c:ext>
              </c:extLst>
            </c:dLbl>
            <c:spPr>
              <a:noFill/>
              <a:ln>
                <a:noFill/>
              </a:ln>
              <a:effectLst/>
            </c:spPr>
            <c:txPr>
              <a:bodyPr rot="0" spcFirstLastPara="1" vertOverflow="overflow" horzOverflow="overflow" vert="horz" wrap="square" lIns="0" tIns="0" rIns="0" bIns="0" anchor="ctr" anchorCtr="1">
                <a:spAutoFit/>
              </a:bodyPr>
              <a:lstStyle/>
              <a:p>
                <a:pPr>
                  <a:defRPr sz="900" b="0" i="0" u="none" strike="noStrike" kern="1200" baseline="0">
                    <a:solidFill>
                      <a:srgbClr val="AADCD7"/>
                    </a:solidFill>
                    <a:latin typeface="+mn-lt"/>
                    <a:ea typeface="+mn-ea"/>
                    <a:cs typeface="+mn-cs"/>
                  </a:defRPr>
                </a:pPr>
                <a:endParaRPr lang="fr-FR"/>
              </a:p>
            </c:txPr>
            <c:dLblPos val="ct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val>
            <c:numRef>
              <c:f>ControlChart!$O$22:$O$36</c:f>
              <c:numCache>
                <c:formatCode>0.000000</c:formatCode>
                <c:ptCount val="15"/>
                <c:pt idx="0">
                  <c:v>0.8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5="http://schemas.microsoft.com/office/drawing/2012/chart" uri="{02D57815-91ED-43cb-92C2-25804820EDAC}">
              <c15:datalabelsRange>
                <c15:f>ControlChart!$I$22:$I$37</c15:f>
                <c15:dlblRangeCache>
                  <c:ptCount val="16"/>
                  <c:pt idx="0">
                    <c:v>Sub-Category3</c:v>
                  </c:pt>
                </c15:dlblRangeCache>
              </c15:datalabelsRange>
            </c:ext>
            <c:ext xmlns:c16="http://schemas.microsoft.com/office/drawing/2014/chart" uri="{C3380CC4-5D6E-409C-BE32-E72D297353CC}">
              <c16:uniqueId val="{00000011-62D1-4035-827F-891BF31614AB}"/>
            </c:ext>
          </c:extLst>
        </c:ser>
        <c:ser>
          <c:idx val="3"/>
          <c:order val="3"/>
          <c:tx>
            <c:strRef>
              <c:f>ControlChart!$P$21</c:f>
              <c:strCache>
                <c:ptCount val="1"/>
                <c:pt idx="0">
                  <c:v>Analyse/Catégorie</c:v>
                </c:pt>
              </c:strCache>
            </c:strRef>
          </c:tx>
          <c:spPr>
            <a:gradFill>
              <a:gsLst>
                <a:gs pos="100000">
                  <a:srgbClr val="C54EF8">
                    <a:alpha val="82000"/>
                  </a:srgbClr>
                </a:gs>
                <a:gs pos="100000">
                  <a:srgbClr val="000000"/>
                </a:gs>
                <a:gs pos="100000">
                  <a:schemeClr val="accent1">
                    <a:lumMod val="45000"/>
                    <a:lumOff val="55000"/>
                  </a:schemeClr>
                </a:gs>
                <a:gs pos="0">
                  <a:srgbClr val="C54EF8">
                    <a:lumMod val="100000"/>
                    <a:alpha val="40000"/>
                  </a:srgbClr>
                </a:gs>
              </a:gsLst>
              <a:lin ang="600000" scaled="0"/>
            </a:gradFill>
            <a:ln>
              <a:noFill/>
            </a:ln>
            <a:effectLst/>
          </c:spPr>
          <c:invertIfNegative val="0"/>
          <c:val>
            <c:numRef>
              <c:f>ControlChart!$P$22:$P$36</c:f>
              <c:numCache>
                <c:formatCode>General</c:formatCode>
                <c:ptCount val="15"/>
                <c:pt idx="0">
                  <c:v>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12-62D1-4035-827F-891BF31614AB}"/>
            </c:ext>
          </c:extLst>
        </c:ser>
        <c:ser>
          <c:idx val="4"/>
          <c:order val="4"/>
          <c:tx>
            <c:strRef>
              <c:f>ControlChart!$Q$21</c:f>
              <c:strCache>
                <c:ptCount val="1"/>
                <c:pt idx="0">
                  <c:v>Indent RIGHT</c:v>
                </c:pt>
              </c:strCache>
            </c:strRef>
          </c:tx>
          <c:spPr>
            <a:solidFill>
              <a:schemeClr val="bg2">
                <a:lumMod val="10000"/>
              </a:schemeClr>
            </a:solidFill>
            <a:ln>
              <a:noFill/>
            </a:ln>
            <a:effectLst/>
          </c:spPr>
          <c:invertIfNegative val="0"/>
          <c:dLbls>
            <c:dLbl>
              <c:idx val="0"/>
              <c:tx>
                <c:rich>
                  <a:bodyPr/>
                  <a:lstStyle/>
                  <a:p>
                    <a:fld id="{FF7726FB-7090-491C-B583-7A6E2E359742}" type="CELLRANGE">
                      <a:rPr lang="en-US"/>
                      <a:pPr/>
                      <a:t>[CELLRANGE]</a:t>
                    </a:fld>
                    <a:endParaRPr lang="en-CA"/>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62D1-4035-827F-891BF31614AB}"/>
                </c:ext>
              </c:extLst>
            </c:dLbl>
            <c:dLbl>
              <c:idx val="1"/>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4-62D1-4035-827F-891BF31614AB}"/>
                </c:ext>
              </c:extLst>
            </c:dLbl>
            <c:dLbl>
              <c:idx val="2"/>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5-62D1-4035-827F-891BF31614AB}"/>
                </c:ext>
              </c:extLst>
            </c:dLbl>
            <c:dLbl>
              <c:idx val="3"/>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6-62D1-4035-827F-891BF31614AB}"/>
                </c:ext>
              </c:extLst>
            </c:dLbl>
            <c:dLbl>
              <c:idx val="4"/>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7-62D1-4035-827F-891BF31614AB}"/>
                </c:ext>
              </c:extLst>
            </c:dLbl>
            <c:dLbl>
              <c:idx val="5"/>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8-62D1-4035-827F-891BF31614AB}"/>
                </c:ext>
              </c:extLst>
            </c:dLbl>
            <c:dLbl>
              <c:idx val="6"/>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9-62D1-4035-827F-891BF31614AB}"/>
                </c:ext>
              </c:extLst>
            </c:dLbl>
            <c:dLbl>
              <c:idx val="7"/>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A-62D1-4035-827F-891BF31614AB}"/>
                </c:ext>
              </c:extLst>
            </c:dLbl>
            <c:dLbl>
              <c:idx val="8"/>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B-62D1-4035-827F-891BF31614AB}"/>
                </c:ext>
              </c:extLst>
            </c:dLbl>
            <c:dLbl>
              <c:idx val="9"/>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C-62D1-4035-827F-891BF31614AB}"/>
                </c:ext>
              </c:extLst>
            </c:dLbl>
            <c:dLbl>
              <c:idx val="10"/>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D-62D1-4035-827F-891BF31614AB}"/>
                </c:ext>
              </c:extLst>
            </c:dLbl>
            <c:dLbl>
              <c:idx val="11"/>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E-62D1-4035-827F-891BF31614AB}"/>
                </c:ext>
              </c:extLst>
            </c:dLbl>
            <c:dLbl>
              <c:idx val="12"/>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F-62D1-4035-827F-891BF31614AB}"/>
                </c:ext>
              </c:extLst>
            </c:dLbl>
            <c:dLbl>
              <c:idx val="13"/>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0-62D1-4035-827F-891BF31614AB}"/>
                </c:ext>
              </c:extLst>
            </c:dLbl>
            <c:dLbl>
              <c:idx val="14"/>
              <c:tx>
                <c:rich>
                  <a:bodyPr/>
                  <a:lstStyle/>
                  <a:p>
                    <a:endParaRPr lang="en-CA"/>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1-62D1-4035-827F-891BF31614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ADCD7"/>
                    </a:solidFill>
                    <a:latin typeface="+mn-lt"/>
                    <a:ea typeface="+mn-ea"/>
                    <a:cs typeface="+mn-cs"/>
                  </a:defRPr>
                </a:pPr>
                <a:endParaRPr lang="fr-F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ControlChart!$Q$22:$Q$36</c:f>
              <c:numCache>
                <c:formatCode>General</c:formatCode>
                <c:ptCount val="15"/>
                <c:pt idx="0">
                  <c:v>0.39999999999999991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5="http://schemas.microsoft.com/office/drawing/2012/chart" uri="{02D57815-91ED-43cb-92C2-25804820EDAC}">
              <c15:datalabelsRange>
                <c15:f>ControlChart!$R$22:$R$36</c15:f>
                <c15:dlblRangeCache>
                  <c:ptCount val="15"/>
                  <c:pt idx="0">
                    <c:v>100.00%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15:dlblRangeCache>
              </c15:datalabelsRange>
            </c:ext>
            <c:ext xmlns:c16="http://schemas.microsoft.com/office/drawing/2014/chart" uri="{C3380CC4-5D6E-409C-BE32-E72D297353CC}">
              <c16:uniqueId val="{00000022-62D1-4035-827F-891BF31614AB}"/>
            </c:ext>
          </c:extLst>
        </c:ser>
        <c:dLbls>
          <c:showLegendKey val="0"/>
          <c:showVal val="0"/>
          <c:showCatName val="0"/>
          <c:showSerName val="0"/>
          <c:showPercent val="0"/>
          <c:showBubbleSize val="0"/>
        </c:dLbls>
        <c:gapWidth val="40"/>
        <c:overlap val="100"/>
        <c:axId val="1632911376"/>
        <c:axId val="1632924336"/>
      </c:barChart>
      <c:catAx>
        <c:axId val="1632911376"/>
        <c:scaling>
          <c:orientation val="maxMin"/>
        </c:scaling>
        <c:delete val="1"/>
        <c:axPos val="l"/>
        <c:majorTickMark val="none"/>
        <c:minorTickMark val="none"/>
        <c:tickLblPos val="nextTo"/>
        <c:crossAx val="1632924336"/>
        <c:crosses val="autoZero"/>
        <c:auto val="1"/>
        <c:lblAlgn val="ctr"/>
        <c:lblOffset val="100"/>
        <c:noMultiLvlLbl val="0"/>
      </c:catAx>
      <c:valAx>
        <c:axId val="1632924336"/>
        <c:scaling>
          <c:orientation val="minMax"/>
        </c:scaling>
        <c:delete val="1"/>
        <c:axPos val="t"/>
        <c:numFmt formatCode="0%" sourceLinked="1"/>
        <c:majorTickMark val="none"/>
        <c:minorTickMark val="none"/>
        <c:tickLblPos val="nextTo"/>
        <c:crossAx val="1632911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firstButton="1" fmlaLink="ControlChart_Budget1!$AT$4"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Radio" checked="Checked" firstButton="1" fmlaLink="$AT$4" lockText="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drawings/_rels/drawing4.xml.rels><?xml version="1.0" encoding="UTF-8" standalone="yes"?>
<Relationships xmlns="http://schemas.openxmlformats.org/package/2006/relationships"><Relationship Id="rId26" Type="http://schemas.openxmlformats.org/officeDocument/2006/relationships/image" Target="../media/image33.svg"/><Relationship Id="rId21" Type="http://schemas.openxmlformats.org/officeDocument/2006/relationships/image" Target="../media/image28.png"/><Relationship Id="rId42" Type="http://schemas.openxmlformats.org/officeDocument/2006/relationships/image" Target="../media/image46.svg"/><Relationship Id="rId47" Type="http://schemas.openxmlformats.org/officeDocument/2006/relationships/image" Target="../media/image50.svg"/><Relationship Id="rId63" Type="http://schemas.openxmlformats.org/officeDocument/2006/relationships/chart" Target="../charts/chart19.xml"/><Relationship Id="rId68" Type="http://schemas.openxmlformats.org/officeDocument/2006/relationships/chart" Target="../charts/chart20.xml"/><Relationship Id="rId84" Type="http://schemas.openxmlformats.org/officeDocument/2006/relationships/image" Target="../media/image71.png"/><Relationship Id="rId89" Type="http://schemas.openxmlformats.org/officeDocument/2006/relationships/chart" Target="../charts/chart32.xml"/><Relationship Id="rId112" Type="http://schemas.openxmlformats.org/officeDocument/2006/relationships/chart" Target="../charts/chart54.xml"/><Relationship Id="rId16" Type="http://schemas.openxmlformats.org/officeDocument/2006/relationships/image" Target="../media/image24.png"/><Relationship Id="rId107" Type="http://schemas.openxmlformats.org/officeDocument/2006/relationships/chart" Target="../charts/chart49.xml"/><Relationship Id="rId11" Type="http://schemas.openxmlformats.org/officeDocument/2006/relationships/image" Target="../media/image20.png"/><Relationship Id="rId32" Type="http://schemas.openxmlformats.org/officeDocument/2006/relationships/image" Target="../media/image38.svg"/><Relationship Id="rId37" Type="http://schemas.openxmlformats.org/officeDocument/2006/relationships/image" Target="../media/image41.png"/><Relationship Id="rId53" Type="http://schemas.openxmlformats.org/officeDocument/2006/relationships/chart" Target="../charts/chart14.xml"/><Relationship Id="rId58" Type="http://schemas.openxmlformats.org/officeDocument/2006/relationships/image" Target="../media/image55.png"/><Relationship Id="rId74" Type="http://schemas.openxmlformats.org/officeDocument/2006/relationships/image" Target="../media/image68.svg"/><Relationship Id="rId79" Type="http://schemas.openxmlformats.org/officeDocument/2006/relationships/image" Target="../media/image70.svg"/><Relationship Id="rId102" Type="http://schemas.openxmlformats.org/officeDocument/2006/relationships/chart" Target="../charts/chart44.xml"/><Relationship Id="rId5" Type="http://schemas.openxmlformats.org/officeDocument/2006/relationships/chart" Target="../charts/chart5.xml"/><Relationship Id="rId90" Type="http://schemas.openxmlformats.org/officeDocument/2006/relationships/chart" Target="../charts/chart33.xml"/><Relationship Id="rId95" Type="http://schemas.openxmlformats.org/officeDocument/2006/relationships/image" Target="../media/image73.png"/><Relationship Id="rId22" Type="http://schemas.openxmlformats.org/officeDocument/2006/relationships/image" Target="../media/image29.svg"/><Relationship Id="rId27" Type="http://schemas.openxmlformats.org/officeDocument/2006/relationships/chart" Target="../charts/chart9.xml"/><Relationship Id="rId43" Type="http://schemas.openxmlformats.org/officeDocument/2006/relationships/chart" Target="../charts/chart12.xml"/><Relationship Id="rId48" Type="http://schemas.openxmlformats.org/officeDocument/2006/relationships/image" Target="../media/image51.png"/><Relationship Id="rId64" Type="http://schemas.openxmlformats.org/officeDocument/2006/relationships/image" Target="../media/image60.png"/><Relationship Id="rId69" Type="http://schemas.openxmlformats.org/officeDocument/2006/relationships/image" Target="../media/image64.svg"/><Relationship Id="rId80" Type="http://schemas.openxmlformats.org/officeDocument/2006/relationships/chart" Target="../charts/chart25.xml"/><Relationship Id="rId85" Type="http://schemas.openxmlformats.org/officeDocument/2006/relationships/image" Target="../media/image72.svg"/><Relationship Id="rId12" Type="http://schemas.openxmlformats.org/officeDocument/2006/relationships/image" Target="../media/image21.svg"/><Relationship Id="rId17" Type="http://schemas.openxmlformats.org/officeDocument/2006/relationships/image" Target="../media/image25.svg"/><Relationship Id="rId33" Type="http://schemas.openxmlformats.org/officeDocument/2006/relationships/chart" Target="../charts/chart10.xml"/><Relationship Id="rId38" Type="http://schemas.openxmlformats.org/officeDocument/2006/relationships/image" Target="../media/image42.svg"/><Relationship Id="rId59" Type="http://schemas.openxmlformats.org/officeDocument/2006/relationships/image" Target="../media/image56.svg"/><Relationship Id="rId103" Type="http://schemas.openxmlformats.org/officeDocument/2006/relationships/chart" Target="../charts/chart45.xml"/><Relationship Id="rId108" Type="http://schemas.openxmlformats.org/officeDocument/2006/relationships/chart" Target="../charts/chart50.xml"/><Relationship Id="rId54" Type="http://schemas.openxmlformats.org/officeDocument/2006/relationships/chart" Target="../charts/chart15.xml"/><Relationship Id="rId70" Type="http://schemas.openxmlformats.org/officeDocument/2006/relationships/chart" Target="../charts/chart21.xml"/><Relationship Id="rId75" Type="http://schemas.openxmlformats.org/officeDocument/2006/relationships/chart" Target="../charts/chart22.xml"/><Relationship Id="rId91" Type="http://schemas.openxmlformats.org/officeDocument/2006/relationships/chart" Target="../charts/chart34.xml"/><Relationship Id="rId96" Type="http://schemas.openxmlformats.org/officeDocument/2006/relationships/chart" Target="../charts/chart38.xml"/><Relationship Id="rId1" Type="http://schemas.openxmlformats.org/officeDocument/2006/relationships/chart" Target="../charts/chart1.xml"/><Relationship Id="rId6" Type="http://schemas.openxmlformats.org/officeDocument/2006/relationships/chart" Target="../charts/chart6.xml"/><Relationship Id="rId15" Type="http://schemas.openxmlformats.org/officeDocument/2006/relationships/image" Target="../media/image23.svg"/><Relationship Id="rId23" Type="http://schemas.openxmlformats.org/officeDocument/2006/relationships/image" Target="../media/image30.png"/><Relationship Id="rId28" Type="http://schemas.openxmlformats.org/officeDocument/2006/relationships/image" Target="../media/image34.svg"/><Relationship Id="rId36" Type="http://schemas.openxmlformats.org/officeDocument/2006/relationships/chart" Target="../charts/chart11.xml"/><Relationship Id="rId49" Type="http://schemas.openxmlformats.org/officeDocument/2006/relationships/image" Target="../media/image52.svg"/><Relationship Id="rId57" Type="http://schemas.openxmlformats.org/officeDocument/2006/relationships/chart" Target="../charts/chart18.xml"/><Relationship Id="rId106" Type="http://schemas.openxmlformats.org/officeDocument/2006/relationships/chart" Target="../charts/chart48.xml"/><Relationship Id="rId10" Type="http://schemas.openxmlformats.org/officeDocument/2006/relationships/image" Target="../media/image19.svg"/><Relationship Id="rId31" Type="http://schemas.openxmlformats.org/officeDocument/2006/relationships/image" Target="../media/image37.png"/><Relationship Id="rId44" Type="http://schemas.openxmlformats.org/officeDocument/2006/relationships/image" Target="../media/image47.svg"/><Relationship Id="rId52" Type="http://schemas.openxmlformats.org/officeDocument/2006/relationships/chart" Target="../charts/chart13.xml"/><Relationship Id="rId60" Type="http://schemas.openxmlformats.org/officeDocument/2006/relationships/image" Target="../media/image57.svg"/><Relationship Id="rId65" Type="http://schemas.openxmlformats.org/officeDocument/2006/relationships/image" Target="../media/image61.svg"/><Relationship Id="rId73" Type="http://schemas.openxmlformats.org/officeDocument/2006/relationships/image" Target="../media/image67.svg"/><Relationship Id="rId78" Type="http://schemas.openxmlformats.org/officeDocument/2006/relationships/chart" Target="../charts/chart24.xml"/><Relationship Id="rId81" Type="http://schemas.openxmlformats.org/officeDocument/2006/relationships/chart" Target="../charts/chart26.xml"/><Relationship Id="rId86" Type="http://schemas.openxmlformats.org/officeDocument/2006/relationships/chart" Target="../charts/chart29.xml"/><Relationship Id="rId94" Type="http://schemas.openxmlformats.org/officeDocument/2006/relationships/chart" Target="../charts/chart37.xml"/><Relationship Id="rId99" Type="http://schemas.openxmlformats.org/officeDocument/2006/relationships/chart" Target="../charts/chart41.xml"/><Relationship Id="rId101" Type="http://schemas.openxmlformats.org/officeDocument/2006/relationships/chart" Target="../charts/chart43.xml"/><Relationship Id="rId4" Type="http://schemas.openxmlformats.org/officeDocument/2006/relationships/chart" Target="../charts/chart4.xml"/><Relationship Id="rId9" Type="http://schemas.openxmlformats.org/officeDocument/2006/relationships/image" Target="../media/image18.png"/><Relationship Id="rId13" Type="http://schemas.openxmlformats.org/officeDocument/2006/relationships/chart" Target="../charts/chart7.xml"/><Relationship Id="rId18" Type="http://schemas.openxmlformats.org/officeDocument/2006/relationships/image" Target="../media/image26.png"/><Relationship Id="rId39" Type="http://schemas.openxmlformats.org/officeDocument/2006/relationships/image" Target="../media/image43.png"/><Relationship Id="rId109" Type="http://schemas.openxmlformats.org/officeDocument/2006/relationships/chart" Target="../charts/chart51.xml"/><Relationship Id="rId34" Type="http://schemas.openxmlformats.org/officeDocument/2006/relationships/image" Target="../media/image39.png"/><Relationship Id="rId50" Type="http://schemas.openxmlformats.org/officeDocument/2006/relationships/image" Target="../media/image53.png"/><Relationship Id="rId55" Type="http://schemas.openxmlformats.org/officeDocument/2006/relationships/chart" Target="../charts/chart16.xml"/><Relationship Id="rId76" Type="http://schemas.openxmlformats.org/officeDocument/2006/relationships/chart" Target="../charts/chart23.xml"/><Relationship Id="rId97" Type="http://schemas.openxmlformats.org/officeDocument/2006/relationships/chart" Target="../charts/chart39.xml"/><Relationship Id="rId104" Type="http://schemas.openxmlformats.org/officeDocument/2006/relationships/chart" Target="../charts/chart46.xml"/><Relationship Id="rId7" Type="http://schemas.openxmlformats.org/officeDocument/2006/relationships/image" Target="../media/image16.png"/><Relationship Id="rId71" Type="http://schemas.openxmlformats.org/officeDocument/2006/relationships/image" Target="../media/image65.svg"/><Relationship Id="rId92" Type="http://schemas.openxmlformats.org/officeDocument/2006/relationships/chart" Target="../charts/chart35.xml"/><Relationship Id="rId2" Type="http://schemas.openxmlformats.org/officeDocument/2006/relationships/chart" Target="../charts/chart2.xml"/><Relationship Id="rId29" Type="http://schemas.openxmlformats.org/officeDocument/2006/relationships/image" Target="../media/image35.png"/><Relationship Id="rId24" Type="http://schemas.openxmlformats.org/officeDocument/2006/relationships/image" Target="../media/image31.svg"/><Relationship Id="rId40" Type="http://schemas.openxmlformats.org/officeDocument/2006/relationships/image" Target="../media/image44.svg"/><Relationship Id="rId45" Type="http://schemas.openxmlformats.org/officeDocument/2006/relationships/image" Target="../media/image48.svg"/><Relationship Id="rId66" Type="http://schemas.openxmlformats.org/officeDocument/2006/relationships/image" Target="../media/image62.png"/><Relationship Id="rId87" Type="http://schemas.openxmlformats.org/officeDocument/2006/relationships/chart" Target="../charts/chart30.xml"/><Relationship Id="rId110" Type="http://schemas.openxmlformats.org/officeDocument/2006/relationships/chart" Target="../charts/chart52.xml"/><Relationship Id="rId61" Type="http://schemas.openxmlformats.org/officeDocument/2006/relationships/image" Target="../media/image58.png"/><Relationship Id="rId82" Type="http://schemas.openxmlformats.org/officeDocument/2006/relationships/chart" Target="../charts/chart27.xml"/><Relationship Id="rId19" Type="http://schemas.openxmlformats.org/officeDocument/2006/relationships/image" Target="../media/image27.svg"/><Relationship Id="rId14" Type="http://schemas.openxmlformats.org/officeDocument/2006/relationships/image" Target="../media/image22.png"/><Relationship Id="rId30" Type="http://schemas.openxmlformats.org/officeDocument/2006/relationships/image" Target="../media/image36.svg"/><Relationship Id="rId35" Type="http://schemas.openxmlformats.org/officeDocument/2006/relationships/image" Target="../media/image40.svg"/><Relationship Id="rId56" Type="http://schemas.openxmlformats.org/officeDocument/2006/relationships/chart" Target="../charts/chart17.xml"/><Relationship Id="rId77" Type="http://schemas.openxmlformats.org/officeDocument/2006/relationships/image" Target="../media/image69.svg"/><Relationship Id="rId100" Type="http://schemas.openxmlformats.org/officeDocument/2006/relationships/chart" Target="../charts/chart42.xml"/><Relationship Id="rId105" Type="http://schemas.openxmlformats.org/officeDocument/2006/relationships/chart" Target="../charts/chart47.xml"/><Relationship Id="rId8" Type="http://schemas.openxmlformats.org/officeDocument/2006/relationships/image" Target="../media/image17.svg"/><Relationship Id="rId51" Type="http://schemas.openxmlformats.org/officeDocument/2006/relationships/image" Target="../media/image54.svg"/><Relationship Id="rId72" Type="http://schemas.openxmlformats.org/officeDocument/2006/relationships/image" Target="../media/image66.png"/><Relationship Id="rId93" Type="http://schemas.openxmlformats.org/officeDocument/2006/relationships/chart" Target="../charts/chart36.xml"/><Relationship Id="rId98" Type="http://schemas.openxmlformats.org/officeDocument/2006/relationships/chart" Target="../charts/chart40.xml"/><Relationship Id="rId3" Type="http://schemas.openxmlformats.org/officeDocument/2006/relationships/chart" Target="../charts/chart3.xml"/><Relationship Id="rId25" Type="http://schemas.openxmlformats.org/officeDocument/2006/relationships/image" Target="../media/image32.png"/><Relationship Id="rId46" Type="http://schemas.openxmlformats.org/officeDocument/2006/relationships/image" Target="../media/image49.png"/><Relationship Id="rId67" Type="http://schemas.openxmlformats.org/officeDocument/2006/relationships/image" Target="../media/image63.svg"/><Relationship Id="rId20" Type="http://schemas.openxmlformats.org/officeDocument/2006/relationships/chart" Target="../charts/chart8.xml"/><Relationship Id="rId41" Type="http://schemas.openxmlformats.org/officeDocument/2006/relationships/image" Target="../media/image45.png"/><Relationship Id="rId62" Type="http://schemas.openxmlformats.org/officeDocument/2006/relationships/image" Target="../media/image59.svg"/><Relationship Id="rId83" Type="http://schemas.openxmlformats.org/officeDocument/2006/relationships/chart" Target="../charts/chart28.xml"/><Relationship Id="rId88" Type="http://schemas.openxmlformats.org/officeDocument/2006/relationships/chart" Target="../charts/chart31.xml"/><Relationship Id="rId111" Type="http://schemas.openxmlformats.org/officeDocument/2006/relationships/chart" Target="../charts/chart5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3.emf"/><Relationship Id="rId5" Type="http://schemas.openxmlformats.org/officeDocument/2006/relationships/image" Target="../media/image4.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5.emf"/><Relationship Id="rId1" Type="http://schemas.openxmlformats.org/officeDocument/2006/relationships/image" Target="../media/image74.emf"/><Relationship Id="rId4" Type="http://schemas.openxmlformats.org/officeDocument/2006/relationships/image" Target="../media/image7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3089" name="Btn Category1" hidden="1">
              <a:extLst>
                <a:ext uri="{63B3BB69-23CF-44E3-9099-C40C66FF867C}">
                  <a14:compatExt spid="_x0000_s3089"/>
                </a:ext>
                <a:ext uri="{FF2B5EF4-FFF2-40B4-BE49-F238E27FC236}">
                  <a16:creationId xmlns:a16="http://schemas.microsoft.com/office/drawing/2014/main" id="{00000000-0008-0000-0400-00001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Category1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16</xdr:col>
          <xdr:colOff>0</xdr:colOff>
          <xdr:row>2</xdr:row>
          <xdr:rowOff>0</xdr:rowOff>
        </xdr:to>
        <xdr:sp macro="" textlink="">
          <xdr:nvSpPr>
            <xdr:cNvPr id="3094" name="Btn Category2" hidden="1">
              <a:extLst>
                <a:ext uri="{63B3BB69-23CF-44E3-9099-C40C66FF867C}">
                  <a14:compatExt spid="_x0000_s3094"/>
                </a:ext>
                <a:ext uri="{FF2B5EF4-FFF2-40B4-BE49-F238E27FC236}">
                  <a16:creationId xmlns:a16="http://schemas.microsoft.com/office/drawing/2014/main" id="{00000000-0008-0000-0400-000016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Category2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20</xdr:col>
          <xdr:colOff>0</xdr:colOff>
          <xdr:row>2</xdr:row>
          <xdr:rowOff>0</xdr:rowOff>
        </xdr:to>
        <xdr:sp macro="" textlink="">
          <xdr:nvSpPr>
            <xdr:cNvPr id="3095" name="Btn Category3"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Category3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1</xdr:row>
          <xdr:rowOff>0</xdr:rowOff>
        </xdr:from>
        <xdr:to>
          <xdr:col>24</xdr:col>
          <xdr:colOff>0</xdr:colOff>
          <xdr:row>2</xdr:row>
          <xdr:rowOff>0</xdr:rowOff>
        </xdr:to>
        <xdr:sp macro="" textlink="">
          <xdr:nvSpPr>
            <xdr:cNvPr id="3096" name="Btn Category4" hidden="1">
              <a:extLst>
                <a:ext uri="{63B3BB69-23CF-44E3-9099-C40C66FF867C}">
                  <a14:compatExt spid="_x0000_s3096"/>
                </a:ext>
                <a:ext uri="{FF2B5EF4-FFF2-40B4-BE49-F238E27FC236}">
                  <a16:creationId xmlns:a16="http://schemas.microsoft.com/office/drawing/2014/main" id="{00000000-0008-0000-04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Category4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1</xdr:row>
          <xdr:rowOff>0</xdr:rowOff>
        </xdr:from>
        <xdr:to>
          <xdr:col>28</xdr:col>
          <xdr:colOff>0</xdr:colOff>
          <xdr:row>2</xdr:row>
          <xdr:rowOff>0</xdr:rowOff>
        </xdr:to>
        <xdr:sp macro="" textlink="">
          <xdr:nvSpPr>
            <xdr:cNvPr id="3097" name="Btn Category5" hidden="1">
              <a:extLst>
                <a:ext uri="{63B3BB69-23CF-44E3-9099-C40C66FF867C}">
                  <a14:compatExt spid="_x0000_s3097"/>
                </a:ext>
                <a:ext uri="{FF2B5EF4-FFF2-40B4-BE49-F238E27FC236}">
                  <a16:creationId xmlns:a16="http://schemas.microsoft.com/office/drawing/2014/main" id="{00000000-0008-0000-0400-000019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Category5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xdr:row>
          <xdr:rowOff>0</xdr:rowOff>
        </xdr:from>
        <xdr:to>
          <xdr:col>32</xdr:col>
          <xdr:colOff>0</xdr:colOff>
          <xdr:row>2</xdr:row>
          <xdr:rowOff>0</xdr:rowOff>
        </xdr:to>
        <xdr:sp macro="" textlink="">
          <xdr:nvSpPr>
            <xdr:cNvPr id="3098" name="Btn Category6" hidden="1">
              <a:extLst>
                <a:ext uri="{63B3BB69-23CF-44E3-9099-C40C66FF867C}">
                  <a14:compatExt spid="_x0000_s3098"/>
                </a:ext>
                <a:ext uri="{FF2B5EF4-FFF2-40B4-BE49-F238E27FC236}">
                  <a16:creationId xmlns:a16="http://schemas.microsoft.com/office/drawing/2014/main" id="{00000000-0008-0000-0400-00001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Category6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1</xdr:row>
          <xdr:rowOff>0</xdr:rowOff>
        </xdr:from>
        <xdr:to>
          <xdr:col>36</xdr:col>
          <xdr:colOff>0</xdr:colOff>
          <xdr:row>2</xdr:row>
          <xdr:rowOff>0</xdr:rowOff>
        </xdr:to>
        <xdr:sp macro="" textlink="">
          <xdr:nvSpPr>
            <xdr:cNvPr id="3099" name="Btn Category7" hidden="1">
              <a:extLst>
                <a:ext uri="{63B3BB69-23CF-44E3-9099-C40C66FF867C}">
                  <a14:compatExt spid="_x0000_s3099"/>
                </a:ext>
                <a:ext uri="{FF2B5EF4-FFF2-40B4-BE49-F238E27FC236}">
                  <a16:creationId xmlns:a16="http://schemas.microsoft.com/office/drawing/2014/main" id="{00000000-0008-0000-0400-00001B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Category7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xdr:row>
          <xdr:rowOff>0</xdr:rowOff>
        </xdr:from>
        <xdr:to>
          <xdr:col>40</xdr:col>
          <xdr:colOff>0</xdr:colOff>
          <xdr:row>2</xdr:row>
          <xdr:rowOff>0</xdr:rowOff>
        </xdr:to>
        <xdr:sp macro="" textlink="">
          <xdr:nvSpPr>
            <xdr:cNvPr id="3100" name="Btn i1_Income1" hidden="1">
              <a:extLst>
                <a:ext uri="{63B3BB69-23CF-44E3-9099-C40C66FF867C}">
                  <a14:compatExt spid="_x0000_s3100"/>
                </a:ext>
                <a:ext uri="{FF2B5EF4-FFF2-40B4-BE49-F238E27FC236}">
                  <a16:creationId xmlns:a16="http://schemas.microsoft.com/office/drawing/2014/main" id="{00000000-0008-0000-04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i1_Income1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0</xdr:colOff>
          <xdr:row>1</xdr:row>
          <xdr:rowOff>0</xdr:rowOff>
        </xdr:from>
        <xdr:to>
          <xdr:col>44</xdr:col>
          <xdr:colOff>0</xdr:colOff>
          <xdr:row>2</xdr:row>
          <xdr:rowOff>0</xdr:rowOff>
        </xdr:to>
        <xdr:sp macro="" textlink="">
          <xdr:nvSpPr>
            <xdr:cNvPr id="3101" name="Btn i2_Savings" hidden="1">
              <a:extLst>
                <a:ext uri="{63B3BB69-23CF-44E3-9099-C40C66FF867C}">
                  <a14:compatExt spid="_x0000_s3101"/>
                </a:ext>
                <a:ext uri="{FF2B5EF4-FFF2-40B4-BE49-F238E27FC236}">
                  <a16:creationId xmlns:a16="http://schemas.microsoft.com/office/drawing/2014/main" id="{00000000-0008-0000-0400-00001D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i2_Savings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1</xdr:row>
          <xdr:rowOff>0</xdr:rowOff>
        </xdr:from>
        <xdr:to>
          <xdr:col>48</xdr:col>
          <xdr:colOff>0</xdr:colOff>
          <xdr:row>2</xdr:row>
          <xdr:rowOff>0</xdr:rowOff>
        </xdr:to>
        <xdr:sp macro="" textlink="">
          <xdr:nvSpPr>
            <xdr:cNvPr id="3102" name="Btn i3_Income3" hidden="1">
              <a:extLst>
                <a:ext uri="{63B3BB69-23CF-44E3-9099-C40C66FF867C}">
                  <a14:compatExt spid="_x0000_s3102"/>
                </a:ext>
                <a:ext uri="{FF2B5EF4-FFF2-40B4-BE49-F238E27FC236}">
                  <a16:creationId xmlns:a16="http://schemas.microsoft.com/office/drawing/2014/main" id="{00000000-0008-0000-0400-00001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i3_Income3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 textlink="">
          <xdr:nvSpPr>
            <xdr:cNvPr id="3103" name="Btn Année" hidden="1">
              <a:extLst>
                <a:ext uri="{63B3BB69-23CF-44E3-9099-C40C66FF867C}">
                  <a14:compatExt spid="_x0000_s3103"/>
                </a:ext>
                <a:ext uri="{FF2B5EF4-FFF2-40B4-BE49-F238E27FC236}">
                  <a16:creationId xmlns:a16="http://schemas.microsoft.com/office/drawing/2014/main" id="{00000000-0008-0000-04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Année</a:t>
              </a:r>
            </a:p>
          </xdr:txBody>
        </xdr:sp>
        <xdr:clientData fPrintsWithSheet="0"/>
      </xdr:twoCellAnchor>
    </mc:Choice>
    <mc:Fallback/>
  </mc:AlternateContent>
  <xdr:twoCellAnchor>
    <xdr:from>
      <xdr:col>8</xdr:col>
      <xdr:colOff>571500</xdr:colOff>
      <xdr:row>8</xdr:row>
      <xdr:rowOff>57150</xdr:rowOff>
    </xdr:from>
    <xdr:to>
      <xdr:col>12</xdr:col>
      <xdr:colOff>495300</xdr:colOff>
      <xdr:row>15</xdr:row>
      <xdr:rowOff>107950</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5226050" y="1225550"/>
          <a:ext cx="2781300" cy="1073150"/>
          <a:chOff x="6299200" y="1200150"/>
          <a:chExt cx="2781300" cy="1073150"/>
        </a:xfrm>
      </xdr:grpSpPr>
      <xdr:sp macro="" textlink="">
        <xdr:nvSpPr>
          <xdr:cNvPr id="2" name="Rectangle 1">
            <a:extLst>
              <a:ext uri="{FF2B5EF4-FFF2-40B4-BE49-F238E27FC236}">
                <a16:creationId xmlns:a16="http://schemas.microsoft.com/office/drawing/2014/main" id="{00000000-0008-0000-0400-000002000000}"/>
              </a:ext>
            </a:extLst>
          </xdr:cNvPr>
          <xdr:cNvSpPr/>
        </xdr:nvSpPr>
        <xdr:spPr>
          <a:xfrm>
            <a:off x="6299200" y="1200150"/>
            <a:ext cx="2781300" cy="1073150"/>
          </a:xfrm>
          <a:prstGeom prst="rect">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mc:AlternateContent xmlns:mc="http://schemas.openxmlformats.org/markup-compatibility/2006">
        <mc:Choice xmlns:a14="http://schemas.microsoft.com/office/drawing/2010/main" Requires="a14">
          <xdr:sp macro="" textlink="">
            <xdr:nvSpPr>
              <xdr:cNvPr id="3104" name="CommandButton1" hidden="1">
                <a:extLst>
                  <a:ext uri="{63B3BB69-23CF-44E3-9099-C40C66FF867C}">
                    <a14:compatExt spid="_x0000_s3104"/>
                  </a:ext>
                  <a:ext uri="{FF2B5EF4-FFF2-40B4-BE49-F238E27FC236}">
                    <a16:creationId xmlns:a16="http://schemas.microsoft.com/office/drawing/2014/main" id="{00000000-0008-0000-0400-0000200C0000}"/>
                  </a:ext>
                </a:extLst>
              </xdr:cNvPr>
              <xdr:cNvSpPr/>
            </xdr:nvSpPr>
            <xdr:spPr bwMode="auto">
              <a:xfrm>
                <a:off x="6838950" y="1460500"/>
                <a:ext cx="1701800" cy="52070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70</xdr:col>
      <xdr:colOff>14754</xdr:colOff>
      <xdr:row>3</xdr:row>
      <xdr:rowOff>109070</xdr:rowOff>
    </xdr:from>
    <xdr:to>
      <xdr:col>71</xdr:col>
      <xdr:colOff>5229</xdr:colOff>
      <xdr:row>6</xdr:row>
      <xdr:rowOff>147169</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44158460" y="557305"/>
          <a:ext cx="550769" cy="486335"/>
        </a:xfrm>
        <a:prstGeom prst="rect">
          <a:avLst/>
        </a:prstGeom>
        <a:gradFill>
          <a:gsLst>
            <a:gs pos="0">
              <a:srgbClr val="C54EF8">
                <a:alpha val="29804"/>
              </a:srgbClr>
            </a:gs>
            <a:gs pos="72000">
              <a:srgbClr val="C54EF8"/>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xdr:from>
      <xdr:col>70</xdr:col>
      <xdr:colOff>9525</xdr:colOff>
      <xdr:row>4</xdr:row>
      <xdr:rowOff>66675</xdr:rowOff>
    </xdr:from>
    <xdr:to>
      <xdr:col>70</xdr:col>
      <xdr:colOff>571500</xdr:colOff>
      <xdr:row>7</xdr:row>
      <xdr:rowOff>104775</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41719500" y="676275"/>
          <a:ext cx="561975" cy="495300"/>
        </a:xfrm>
        <a:prstGeom prst="rect">
          <a:avLst/>
        </a:prstGeom>
        <a:gradFill>
          <a:gsLst>
            <a:gs pos="0">
              <a:srgbClr val="9EF193">
                <a:alpha val="49804"/>
              </a:srgbClr>
            </a:gs>
            <a:gs pos="72000">
              <a:srgbClr val="9EF193"/>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xdr:from>
      <xdr:col>70</xdr:col>
      <xdr:colOff>9525</xdr:colOff>
      <xdr:row>8</xdr:row>
      <xdr:rowOff>123825</xdr:rowOff>
    </xdr:from>
    <xdr:to>
      <xdr:col>70</xdr:col>
      <xdr:colOff>571500</xdr:colOff>
      <xdr:row>12</xdr:row>
      <xdr:rowOff>9525</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41719500" y="1343025"/>
          <a:ext cx="561975" cy="495300"/>
        </a:xfrm>
        <a:prstGeom prst="rect">
          <a:avLst/>
        </a:prstGeom>
        <a:gradFill>
          <a:gsLst>
            <a:gs pos="0">
              <a:srgbClr val="02E8D2">
                <a:alpha val="49804"/>
              </a:srgbClr>
            </a:gs>
            <a:gs pos="72000">
              <a:srgbClr val="02E8D2"/>
            </a:gs>
          </a:gsLst>
          <a:lin ang="48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xdr:from>
      <xdr:col>70</xdr:col>
      <xdr:colOff>9525</xdr:colOff>
      <xdr:row>13</xdr:row>
      <xdr:rowOff>57150</xdr:rowOff>
    </xdr:from>
    <xdr:to>
      <xdr:col>70</xdr:col>
      <xdr:colOff>571500</xdr:colOff>
      <xdr:row>16</xdr:row>
      <xdr:rowOff>95250</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41719500" y="2038350"/>
          <a:ext cx="561975" cy="495300"/>
        </a:xfrm>
        <a:prstGeom prst="rect">
          <a:avLst/>
        </a:prstGeom>
        <a:gradFill>
          <a:gsLst>
            <a:gs pos="0">
              <a:srgbClr val="15C2FF">
                <a:alpha val="49804"/>
              </a:srgbClr>
            </a:gs>
            <a:gs pos="72000">
              <a:srgbClr val="15C2FF"/>
            </a:gs>
          </a:gsLst>
          <a:lin ang="108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xdr:from>
      <xdr:col>70</xdr:col>
      <xdr:colOff>9525</xdr:colOff>
      <xdr:row>17</xdr:row>
      <xdr:rowOff>104775</xdr:rowOff>
    </xdr:from>
    <xdr:to>
      <xdr:col>70</xdr:col>
      <xdr:colOff>571500</xdr:colOff>
      <xdr:row>20</xdr:row>
      <xdr:rowOff>123825</xdr:rowOff>
    </xdr:to>
    <xdr:sp macro="" textlink="">
      <xdr:nvSpPr>
        <xdr:cNvPr id="7" name="Rectangle 6">
          <a:extLst>
            <a:ext uri="{FF2B5EF4-FFF2-40B4-BE49-F238E27FC236}">
              <a16:creationId xmlns:a16="http://schemas.microsoft.com/office/drawing/2014/main" id="{00000000-0008-0000-0600-000007000000}"/>
            </a:ext>
          </a:extLst>
        </xdr:cNvPr>
        <xdr:cNvSpPr/>
      </xdr:nvSpPr>
      <xdr:spPr>
        <a:xfrm>
          <a:off x="41719500" y="2695575"/>
          <a:ext cx="561975" cy="495300"/>
        </a:xfrm>
        <a:prstGeom prst="rect">
          <a:avLst/>
        </a:prstGeom>
        <a:gradFill>
          <a:gsLst>
            <a:gs pos="0">
              <a:srgbClr val="FFFF00">
                <a:alpha val="49804"/>
              </a:srgbClr>
            </a:gs>
            <a:gs pos="72000">
              <a:srgbClr val="FFFF00"/>
            </a:gs>
          </a:gsLst>
          <a:lin ang="13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xdr:from>
      <xdr:col>69</xdr:col>
      <xdr:colOff>590550</xdr:colOff>
      <xdr:row>26</xdr:row>
      <xdr:rowOff>38100</xdr:rowOff>
    </xdr:from>
    <xdr:to>
      <xdr:col>70</xdr:col>
      <xdr:colOff>542925</xdr:colOff>
      <xdr:row>29</xdr:row>
      <xdr:rowOff>76200</xdr:rowOff>
    </xdr:to>
    <xdr:sp macro="" textlink="">
      <xdr:nvSpPr>
        <xdr:cNvPr id="8" name="Rectangle 7">
          <a:extLst>
            <a:ext uri="{FF2B5EF4-FFF2-40B4-BE49-F238E27FC236}">
              <a16:creationId xmlns:a16="http://schemas.microsoft.com/office/drawing/2014/main" id="{00000000-0008-0000-0600-000008000000}"/>
            </a:ext>
          </a:extLst>
        </xdr:cNvPr>
        <xdr:cNvSpPr/>
      </xdr:nvSpPr>
      <xdr:spPr>
        <a:xfrm>
          <a:off x="41690925" y="4019550"/>
          <a:ext cx="561975" cy="495300"/>
        </a:xfrm>
        <a:prstGeom prst="rect">
          <a:avLst/>
        </a:prstGeom>
        <a:gradFill>
          <a:gsLst>
            <a:gs pos="0">
              <a:srgbClr val="FA6148">
                <a:alpha val="49804"/>
              </a:srgbClr>
            </a:gs>
            <a:gs pos="72000">
              <a:srgbClr val="FA6148"/>
            </a:gs>
          </a:gsLst>
          <a:lin ang="1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xdr:from>
      <xdr:col>70</xdr:col>
      <xdr:colOff>0</xdr:colOff>
      <xdr:row>21</xdr:row>
      <xdr:rowOff>142875</xdr:rowOff>
    </xdr:from>
    <xdr:to>
      <xdr:col>70</xdr:col>
      <xdr:colOff>561975</xdr:colOff>
      <xdr:row>25</xdr:row>
      <xdr:rowOff>28575</xdr:rowOff>
    </xdr:to>
    <xdr:sp macro="" textlink="">
      <xdr:nvSpPr>
        <xdr:cNvPr id="9" name="Rectangle 8">
          <a:extLst>
            <a:ext uri="{FF2B5EF4-FFF2-40B4-BE49-F238E27FC236}">
              <a16:creationId xmlns:a16="http://schemas.microsoft.com/office/drawing/2014/main" id="{00000000-0008-0000-0600-000009000000}"/>
            </a:ext>
          </a:extLst>
        </xdr:cNvPr>
        <xdr:cNvSpPr/>
      </xdr:nvSpPr>
      <xdr:spPr>
        <a:xfrm>
          <a:off x="41709975" y="3362325"/>
          <a:ext cx="561975" cy="495300"/>
        </a:xfrm>
        <a:prstGeom prst="rect">
          <a:avLst/>
        </a:prstGeom>
        <a:gradFill>
          <a:gsLst>
            <a:gs pos="0">
              <a:srgbClr val="F9ADF5">
                <a:alpha val="49804"/>
              </a:srgbClr>
            </a:gs>
            <a:gs pos="72000">
              <a:srgbClr val="F9ADF5"/>
            </a:gs>
          </a:gsLst>
          <a:lin ang="192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xdr:from>
      <xdr:col>0</xdr:col>
      <xdr:colOff>0</xdr:colOff>
      <xdr:row>0</xdr:row>
      <xdr:rowOff>0</xdr:rowOff>
    </xdr:from>
    <xdr:to>
      <xdr:col>7</xdr:col>
      <xdr:colOff>89647</xdr:colOff>
      <xdr:row>46</xdr:row>
      <xdr:rowOff>14941</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0" y="0"/>
          <a:ext cx="5513294" cy="688788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a:t>
          </a:r>
          <a:r>
            <a:rPr lang="fr-CA" sz="1600" kern="1200" baseline="0"/>
            <a:t> CASH FLOW</a:t>
          </a:r>
          <a:endParaRPr lang="fr-CA" sz="1600" kern="1200"/>
        </a:p>
      </xdr:txBody>
    </xdr:sp>
    <xdr:clientData/>
  </xdr:twoCellAnchor>
  <xdr:twoCellAnchor>
    <xdr:from>
      <xdr:col>7</xdr:col>
      <xdr:colOff>67235</xdr:colOff>
      <xdr:row>0</xdr:row>
      <xdr:rowOff>0</xdr:rowOff>
    </xdr:from>
    <xdr:to>
      <xdr:col>42</xdr:col>
      <xdr:colOff>183776</xdr:colOff>
      <xdr:row>39</xdr:row>
      <xdr:rowOff>127002</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5490882" y="0"/>
          <a:ext cx="22468541" cy="5954061"/>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a:t>
          </a:r>
          <a:r>
            <a:rPr lang="fr-CA" sz="1600" kern="1200" baseline="0"/>
            <a:t> PAPILLON</a:t>
          </a:r>
          <a:endParaRPr lang="fr-CA" sz="1600" kern="1200"/>
        </a:p>
      </xdr:txBody>
    </xdr:sp>
    <xdr:clientData/>
  </xdr:twoCellAnchor>
  <xdr:twoCellAnchor>
    <xdr:from>
      <xdr:col>42</xdr:col>
      <xdr:colOff>515468</xdr:colOff>
      <xdr:row>0</xdr:row>
      <xdr:rowOff>0</xdr:rowOff>
    </xdr:from>
    <xdr:to>
      <xdr:col>51</xdr:col>
      <xdr:colOff>590176</xdr:colOff>
      <xdr:row>46</xdr:row>
      <xdr:rowOff>140824</xdr:rowOff>
    </xdr:to>
    <xdr:sp macro="" textlink="">
      <xdr:nvSpPr>
        <xdr:cNvPr id="11" name="Rectangle 10">
          <a:extLst>
            <a:ext uri="{FF2B5EF4-FFF2-40B4-BE49-F238E27FC236}">
              <a16:creationId xmlns:a16="http://schemas.microsoft.com/office/drawing/2014/main" id="{00000000-0008-0000-0600-00000B000000}"/>
            </a:ext>
          </a:extLst>
        </xdr:cNvPr>
        <xdr:cNvSpPr/>
      </xdr:nvSpPr>
      <xdr:spPr>
        <a:xfrm>
          <a:off x="28291115" y="0"/>
          <a:ext cx="5311590" cy="7013765"/>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a:t>
          </a:r>
          <a:r>
            <a:rPr lang="fr-CA" sz="1600" kern="1200" baseline="0"/>
            <a:t> CAT3</a:t>
          </a:r>
          <a:endParaRPr lang="fr-CA" sz="1600" kern="1200"/>
        </a:p>
      </xdr:txBody>
    </xdr:sp>
    <xdr:clientData/>
  </xdr:twoCellAnchor>
  <xdr:twoCellAnchor>
    <xdr:from>
      <xdr:col>51</xdr:col>
      <xdr:colOff>590183</xdr:colOff>
      <xdr:row>0</xdr:row>
      <xdr:rowOff>0</xdr:rowOff>
    </xdr:from>
    <xdr:to>
      <xdr:col>70</xdr:col>
      <xdr:colOff>74706</xdr:colOff>
      <xdr:row>15</xdr:row>
      <xdr:rowOff>89648</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33602712" y="0"/>
          <a:ext cx="10615700" cy="2330824"/>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a:t>
          </a:r>
          <a:r>
            <a:rPr lang="fr-CA" sz="1600" kern="1200" baseline="0"/>
            <a:t> RÉPARTITION CAT2</a:t>
          </a:r>
          <a:endParaRPr lang="fr-CA" sz="1600" kern="1200"/>
        </a:p>
      </xdr:txBody>
    </xdr:sp>
    <xdr:clientData/>
  </xdr:twoCellAnchor>
  <xdr:twoCellAnchor>
    <xdr:from>
      <xdr:col>70</xdr:col>
      <xdr:colOff>97118</xdr:colOff>
      <xdr:row>0</xdr:row>
      <xdr:rowOff>0</xdr:rowOff>
    </xdr:from>
    <xdr:to>
      <xdr:col>82</xdr:col>
      <xdr:colOff>231587</xdr:colOff>
      <xdr:row>14</xdr:row>
      <xdr:rowOff>138951</xdr:rowOff>
    </xdr:to>
    <xdr:sp macro="" textlink="">
      <xdr:nvSpPr>
        <xdr:cNvPr id="13" name="Rectangle 12">
          <a:extLst>
            <a:ext uri="{FF2B5EF4-FFF2-40B4-BE49-F238E27FC236}">
              <a16:creationId xmlns:a16="http://schemas.microsoft.com/office/drawing/2014/main" id="{00000000-0008-0000-0600-00000D000000}"/>
            </a:ext>
          </a:extLst>
        </xdr:cNvPr>
        <xdr:cNvSpPr/>
      </xdr:nvSpPr>
      <xdr:spPr>
        <a:xfrm>
          <a:off x="44240824" y="0"/>
          <a:ext cx="7761939" cy="2230716"/>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a:t>
          </a:r>
          <a:r>
            <a:rPr lang="fr-CA" sz="1600" kern="1200" baseline="0"/>
            <a:t> RATIO CAT2</a:t>
          </a:r>
          <a:endParaRPr lang="fr-CA" sz="1600" kern="1200"/>
        </a:p>
      </xdr:txBody>
    </xdr:sp>
    <xdr:clientData/>
  </xdr:twoCellAnchor>
  <xdr:twoCellAnchor>
    <xdr:from>
      <xdr:col>82</xdr:col>
      <xdr:colOff>515471</xdr:colOff>
      <xdr:row>0</xdr:row>
      <xdr:rowOff>0</xdr:rowOff>
    </xdr:from>
    <xdr:to>
      <xdr:col>87</xdr:col>
      <xdr:colOff>112059</xdr:colOff>
      <xdr:row>5</xdr:row>
      <xdr:rowOff>97117</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52129765" y="0"/>
          <a:ext cx="2540000" cy="844176"/>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a:t>
          </a:r>
          <a:r>
            <a:rPr lang="fr-CA" sz="1600" kern="1200" baseline="0"/>
            <a:t> INCOME/Dépense</a:t>
          </a:r>
          <a:endParaRPr lang="fr-CA" sz="1600" kern="1200"/>
        </a:p>
      </xdr:txBody>
    </xdr:sp>
    <xdr:clientData/>
  </xdr:twoCellAnchor>
  <xdr:twoCellAnchor>
    <xdr:from>
      <xdr:col>88</xdr:col>
      <xdr:colOff>488577</xdr:colOff>
      <xdr:row>0</xdr:row>
      <xdr:rowOff>0</xdr:rowOff>
    </xdr:from>
    <xdr:to>
      <xdr:col>120</xdr:col>
      <xdr:colOff>291354</xdr:colOff>
      <xdr:row>17</xdr:row>
      <xdr:rowOff>89646</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56226636" y="0"/>
          <a:ext cx="18397071" cy="2629646"/>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RÉGLETTE</a:t>
          </a:r>
        </a:p>
      </xdr:txBody>
    </xdr:sp>
    <xdr:clientData/>
  </xdr:twoCellAnchor>
  <xdr:twoCellAnchor>
    <xdr:from>
      <xdr:col>150</xdr:col>
      <xdr:colOff>473637</xdr:colOff>
      <xdr:row>0</xdr:row>
      <xdr:rowOff>0</xdr:rowOff>
    </xdr:from>
    <xdr:to>
      <xdr:col>177</xdr:col>
      <xdr:colOff>44824</xdr:colOff>
      <xdr:row>125</xdr:row>
      <xdr:rowOff>124011</xdr:rowOff>
    </xdr:to>
    <xdr:sp macro="" textlink="">
      <xdr:nvSpPr>
        <xdr:cNvPr id="17" name="Rectangle 16">
          <a:extLst>
            <a:ext uri="{FF2B5EF4-FFF2-40B4-BE49-F238E27FC236}">
              <a16:creationId xmlns:a16="http://schemas.microsoft.com/office/drawing/2014/main" id="{00000000-0008-0000-0600-000011000000}"/>
            </a:ext>
          </a:extLst>
        </xdr:cNvPr>
        <xdr:cNvSpPr/>
      </xdr:nvSpPr>
      <xdr:spPr>
        <a:xfrm>
          <a:off x="90875225" y="0"/>
          <a:ext cx="16275423" cy="1880048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600" kern="1200"/>
            <a:t>INVESTMENT STRATEGY GRAPH</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6350</xdr:rowOff>
    </xdr:from>
    <xdr:to>
      <xdr:col>24</xdr:col>
      <xdr:colOff>463550</xdr:colOff>
      <xdr:row>256</xdr:row>
      <xdr:rowOff>101600</xdr:rowOff>
    </xdr:to>
    <xdr:sp macro="" textlink="">
      <xdr:nvSpPr>
        <xdr:cNvPr id="2" name="Rectangle 1">
          <a:extLst>
            <a:ext uri="{FF2B5EF4-FFF2-40B4-BE49-F238E27FC236}">
              <a16:creationId xmlns:a16="http://schemas.microsoft.com/office/drawing/2014/main" id="{E69E3C10-776B-8C8C-0160-A605C092CF73}"/>
            </a:ext>
          </a:extLst>
        </xdr:cNvPr>
        <xdr:cNvSpPr/>
      </xdr:nvSpPr>
      <xdr:spPr>
        <a:xfrm>
          <a:off x="0" y="6350"/>
          <a:ext cx="15144750" cy="37719000"/>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6500"/>
            <a:t>LIBRARY</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79</xdr:col>
      <xdr:colOff>0</xdr:colOff>
      <xdr:row>160</xdr:row>
      <xdr:rowOff>0</xdr:rowOff>
    </xdr:to>
    <xdr:sp macro="" textlink="">
      <xdr:nvSpPr>
        <xdr:cNvPr id="4" name="Rectangle 3">
          <a:extLst>
            <a:ext uri="{FF2B5EF4-FFF2-40B4-BE49-F238E27FC236}">
              <a16:creationId xmlns:a16="http://schemas.microsoft.com/office/drawing/2014/main" id="{00000000-0008-0000-0800-000004000000}"/>
            </a:ext>
          </a:extLst>
        </xdr:cNvPr>
        <xdr:cNvSpPr/>
      </xdr:nvSpPr>
      <xdr:spPr>
        <a:xfrm>
          <a:off x="0" y="0"/>
          <a:ext cx="45402500" cy="23706667"/>
        </a:xfrm>
        <a:prstGeom prst="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CA" sz="1100">
            <a:solidFill>
              <a:srgbClr val="AADCD7"/>
            </a:solidFill>
          </a:endParaRPr>
        </a:p>
      </xdr:txBody>
    </xdr:sp>
    <xdr:clientData/>
  </xdr:twoCellAnchor>
  <xdr:twoCellAnchor>
    <xdr:from>
      <xdr:col>10</xdr:col>
      <xdr:colOff>293686</xdr:colOff>
      <xdr:row>29</xdr:row>
      <xdr:rowOff>103188</xdr:rowOff>
    </xdr:from>
    <xdr:to>
      <xdr:col>12</xdr:col>
      <xdr:colOff>39687</xdr:colOff>
      <xdr:row>31</xdr:row>
      <xdr:rowOff>7938</xdr:rowOff>
    </xdr:to>
    <xdr:sp macro="" textlink="#REF!">
      <xdr:nvSpPr>
        <xdr:cNvPr id="33" name="Rectangle 32">
          <a:extLst>
            <a:ext uri="{FF2B5EF4-FFF2-40B4-BE49-F238E27FC236}">
              <a16:creationId xmlns:a16="http://schemas.microsoft.com/office/drawing/2014/main" id="{00000000-0008-0000-0800-000021000000}"/>
            </a:ext>
          </a:extLst>
        </xdr:cNvPr>
        <xdr:cNvSpPr/>
      </xdr:nvSpPr>
      <xdr:spPr>
        <a:xfrm>
          <a:off x="6961186" y="4246563"/>
          <a:ext cx="857251" cy="190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fld id="{5AEA1628-1CED-4AA8-BE93-9F1183D46AAE}" type="TxLink">
            <a:rPr lang="en-US" sz="1100" b="0" i="0" u="none" strike="noStrike">
              <a:solidFill>
                <a:schemeClr val="bg1">
                  <a:lumMod val="50000"/>
                </a:schemeClr>
              </a:solidFill>
              <a:latin typeface="+mn-lt"/>
              <a:cs typeface="Arial"/>
            </a:rPr>
            <a:pPr algn="l"/>
            <a:t> </a:t>
          </a:fld>
          <a:endParaRPr lang="fr-CA" sz="1100">
            <a:solidFill>
              <a:schemeClr val="bg1">
                <a:lumMod val="50000"/>
              </a:schemeClr>
            </a:solidFill>
            <a:latin typeface="+mn-lt"/>
          </a:endParaRPr>
        </a:p>
      </xdr:txBody>
    </xdr:sp>
    <xdr:clientData/>
  </xdr:twoCellAnchor>
  <xdr:twoCellAnchor>
    <xdr:from>
      <xdr:col>27</xdr:col>
      <xdr:colOff>541629</xdr:colOff>
      <xdr:row>68</xdr:row>
      <xdr:rowOff>62011</xdr:rowOff>
    </xdr:from>
    <xdr:to>
      <xdr:col>30</xdr:col>
      <xdr:colOff>446694</xdr:colOff>
      <xdr:row>70</xdr:row>
      <xdr:rowOff>13957</xdr:rowOff>
    </xdr:to>
    <xdr:sp macro="" textlink="ControlChart!R20">
      <xdr:nvSpPr>
        <xdr:cNvPr id="23" name="Rectangle 22">
          <a:extLst>
            <a:ext uri="{FF2B5EF4-FFF2-40B4-BE49-F238E27FC236}">
              <a16:creationId xmlns:a16="http://schemas.microsoft.com/office/drawing/2014/main" id="{00000000-0008-0000-0800-000017000000}"/>
            </a:ext>
          </a:extLst>
        </xdr:cNvPr>
        <xdr:cNvSpPr/>
      </xdr:nvSpPr>
      <xdr:spPr>
        <a:xfrm>
          <a:off x="16776462" y="10137344"/>
          <a:ext cx="1587815" cy="248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36C04D9-BB4F-4C90-BC6E-68549B4E3B64}" type="TxLink">
            <a:rPr lang="en-US" sz="900" b="0" i="0" u="none" strike="noStrike">
              <a:solidFill>
                <a:srgbClr val="C54EF8"/>
              </a:solidFill>
              <a:latin typeface="Arial"/>
              <a:cs typeface="Arial"/>
            </a:rPr>
            <a:pPr algn="ctr"/>
            <a:t>Répartition Category3</a:t>
          </a:fld>
          <a:endParaRPr lang="fr-CA" sz="1100">
            <a:solidFill>
              <a:srgbClr val="C54EF8"/>
            </a:solidFill>
          </a:endParaRPr>
        </a:p>
      </xdr:txBody>
    </xdr:sp>
    <xdr:clientData fLocksWithSheet="0"/>
  </xdr:twoCellAnchor>
  <xdr:twoCellAnchor editAs="absolute">
    <xdr:from>
      <xdr:col>53</xdr:col>
      <xdr:colOff>108866</xdr:colOff>
      <xdr:row>78</xdr:row>
      <xdr:rowOff>111902</xdr:rowOff>
    </xdr:from>
    <xdr:to>
      <xdr:col>78</xdr:col>
      <xdr:colOff>544285</xdr:colOff>
      <xdr:row>147</xdr:row>
      <xdr:rowOff>74839</xdr:rowOff>
    </xdr:to>
    <xdr:grpSp>
      <xdr:nvGrpSpPr>
        <xdr:cNvPr id="5860" name="Group 5859">
          <a:extLst>
            <a:ext uri="{FF2B5EF4-FFF2-40B4-BE49-F238E27FC236}">
              <a16:creationId xmlns:a16="http://schemas.microsoft.com/office/drawing/2014/main" id="{2A73D636-552D-CB62-DCF2-E2FFA80DEDC1}"/>
            </a:ext>
          </a:extLst>
        </xdr:cNvPr>
        <xdr:cNvGrpSpPr/>
      </xdr:nvGrpSpPr>
      <xdr:grpSpPr>
        <a:xfrm>
          <a:off x="30927533" y="11668902"/>
          <a:ext cx="14458335" cy="10186437"/>
          <a:chOff x="30927533" y="11668902"/>
          <a:chExt cx="14458335" cy="10186437"/>
        </a:xfrm>
      </xdr:grpSpPr>
      <xdr:grpSp>
        <xdr:nvGrpSpPr>
          <xdr:cNvPr id="5923" name="Group 5922">
            <a:extLst>
              <a:ext uri="{FF2B5EF4-FFF2-40B4-BE49-F238E27FC236}">
                <a16:creationId xmlns:a16="http://schemas.microsoft.com/office/drawing/2014/main" id="{00000000-0008-0000-0800-000023170000}"/>
              </a:ext>
            </a:extLst>
          </xdr:cNvPr>
          <xdr:cNvGrpSpPr/>
        </xdr:nvGrpSpPr>
        <xdr:grpSpPr>
          <a:xfrm>
            <a:off x="30970197" y="11668902"/>
            <a:ext cx="12332860" cy="2535463"/>
            <a:chOff x="30988537" y="11708212"/>
            <a:chExt cx="12331191" cy="2535104"/>
          </a:xfrm>
        </xdr:grpSpPr>
        <xdr:grpSp>
          <xdr:nvGrpSpPr>
            <xdr:cNvPr id="5921" name="Group 5920">
              <a:extLst>
                <a:ext uri="{FF2B5EF4-FFF2-40B4-BE49-F238E27FC236}">
                  <a16:creationId xmlns:a16="http://schemas.microsoft.com/office/drawing/2014/main" id="{00000000-0008-0000-0800-000021170000}"/>
                </a:ext>
              </a:extLst>
            </xdr:cNvPr>
            <xdr:cNvGrpSpPr/>
          </xdr:nvGrpSpPr>
          <xdr:grpSpPr>
            <a:xfrm>
              <a:off x="30988537" y="12132625"/>
              <a:ext cx="12331191" cy="2110691"/>
              <a:chOff x="30988537" y="12132625"/>
              <a:chExt cx="12331191" cy="2110691"/>
            </a:xfrm>
          </xdr:grpSpPr>
          <xdr:grpSp>
            <xdr:nvGrpSpPr>
              <xdr:cNvPr id="43" name="Group 42">
                <a:extLst>
                  <a:ext uri="{FF2B5EF4-FFF2-40B4-BE49-F238E27FC236}">
                    <a16:creationId xmlns:a16="http://schemas.microsoft.com/office/drawing/2014/main" id="{00000000-0008-0000-0800-00002B000000}"/>
                  </a:ext>
                </a:extLst>
              </xdr:cNvPr>
              <xdr:cNvGrpSpPr/>
            </xdr:nvGrpSpPr>
            <xdr:grpSpPr>
              <a:xfrm>
                <a:off x="33483783" y="12132953"/>
                <a:ext cx="2370116" cy="2110035"/>
                <a:chOff x="31246995" y="13117780"/>
                <a:chExt cx="1895502" cy="2213354"/>
              </a:xfrm>
            </xdr:grpSpPr>
            <xdr:sp macro="" textlink="">
              <xdr:nvSpPr>
                <xdr:cNvPr id="5506" name="Rectangle: Rounded Corners 5505">
                  <a:extLst>
                    <a:ext uri="{FF2B5EF4-FFF2-40B4-BE49-F238E27FC236}">
                      <a16:creationId xmlns:a16="http://schemas.microsoft.com/office/drawing/2014/main" id="{00000000-0008-0000-0800-000082150000}"/>
                    </a:ext>
                  </a:extLst>
                </xdr:cNvPr>
                <xdr:cNvSpPr>
                  <a:spLocks noChangeAspect="1"/>
                </xdr:cNvSpPr>
              </xdr:nvSpPr>
              <xdr:spPr>
                <a:xfrm>
                  <a:off x="31246995" y="13117780"/>
                  <a:ext cx="1895502" cy="2213354"/>
                </a:xfrm>
                <a:prstGeom prst="roundRect">
                  <a:avLst/>
                </a:prstGeom>
                <a:solidFill>
                  <a:schemeClr val="tx1">
                    <a:alpha val="97000"/>
                  </a:schemeClr>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539" name="Chart 5538">
                  <a:extLst>
                    <a:ext uri="{FF2B5EF4-FFF2-40B4-BE49-F238E27FC236}">
                      <a16:creationId xmlns:a16="http://schemas.microsoft.com/office/drawing/2014/main" id="{00000000-0008-0000-0800-0000A3150000}"/>
                    </a:ext>
                  </a:extLst>
                </xdr:cNvPr>
                <xdr:cNvGraphicFramePr>
                  <a:graphicFrameLocks/>
                </xdr:cNvGraphicFramePr>
              </xdr:nvGraphicFramePr>
              <xdr:xfrm>
                <a:off x="31302306" y="13378720"/>
                <a:ext cx="1799088" cy="1776528"/>
              </xdr:xfrm>
              <a:graphic>
                <a:graphicData uri="http://schemas.openxmlformats.org/drawingml/2006/chart">
                  <c:chart xmlns:c="http://schemas.openxmlformats.org/drawingml/2006/chart" xmlns:r="http://schemas.openxmlformats.org/officeDocument/2006/relationships" r:id="rId1"/>
                </a:graphicData>
              </a:graphic>
            </xdr:graphicFrame>
            <xdr:sp macro="" textlink="ControlChart_Budget2!$CY$14">
              <xdr:nvSpPr>
                <xdr:cNvPr id="5509" name="Rectangle 5508">
                  <a:extLst>
                    <a:ext uri="{FF2B5EF4-FFF2-40B4-BE49-F238E27FC236}">
                      <a16:creationId xmlns:a16="http://schemas.microsoft.com/office/drawing/2014/main" id="{00000000-0008-0000-0800-000085150000}"/>
                    </a:ext>
                  </a:extLst>
                </xdr:cNvPr>
                <xdr:cNvSpPr/>
              </xdr:nvSpPr>
              <xdr:spPr>
                <a:xfrm>
                  <a:off x="31588591" y="14392702"/>
                  <a:ext cx="1217175" cy="5395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B8FFAEE-8EFA-4057-84BC-3AFCB17ECA1B}" type="TxLink">
                    <a:rPr lang="en-US" sz="1600" b="0" i="0" u="none" strike="noStrike" kern="1200">
                      <a:solidFill>
                        <a:schemeClr val="bg1"/>
                      </a:solidFill>
                      <a:latin typeface="Aptos Narrow" panose="020B0004020202020204" pitchFamily="34" charset="0"/>
                      <a:cs typeface="Arial"/>
                    </a:rPr>
                    <a:pPr algn="ctr"/>
                    <a:t>0%</a:t>
                  </a:fld>
                  <a:endParaRPr lang="fr-CA" sz="1600" kern="1200">
                    <a:solidFill>
                      <a:schemeClr val="bg1"/>
                    </a:solidFill>
                    <a:latin typeface="Aptos Narrow" panose="020B0004020202020204" pitchFamily="34" charset="0"/>
                  </a:endParaRPr>
                </a:p>
              </xdr:txBody>
            </xdr:sp>
            <xdr:sp macro="" textlink="ControlChart_Budget2!$CY$15">
              <xdr:nvSpPr>
                <xdr:cNvPr id="5510" name="Rectangle 5509">
                  <a:extLst>
                    <a:ext uri="{FF2B5EF4-FFF2-40B4-BE49-F238E27FC236}">
                      <a16:creationId xmlns:a16="http://schemas.microsoft.com/office/drawing/2014/main" id="{00000000-0008-0000-0800-000086150000}"/>
                    </a:ext>
                  </a:extLst>
                </xdr:cNvPr>
                <xdr:cNvSpPr/>
              </xdr:nvSpPr>
              <xdr:spPr>
                <a:xfrm>
                  <a:off x="31588590" y="14700181"/>
                  <a:ext cx="1217175" cy="5330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3C047CC-7297-4983-B9B1-41EE27CAA8B7}" type="TxLink">
                    <a:rPr lang="en-US" sz="1600" b="0" i="0" u="none" strike="noStrike" kern="1200">
                      <a:solidFill>
                        <a:srgbClr val="AADCD7"/>
                      </a:solidFill>
                      <a:latin typeface="Aptos Narrow" panose="020B0004020202020204" pitchFamily="34" charset="0"/>
                      <a:cs typeface="Arial"/>
                    </a:rPr>
                    <a:pPr algn="ctr"/>
                    <a:t> </a:t>
                  </a:fld>
                  <a:endParaRPr lang="fr-CA" sz="16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24" name="B2Q2" hidden="1">
                      <a:extLst>
                        <a:ext uri="{63B3BB69-23CF-44E3-9099-C40C66FF867C}">
                          <a14:compatExt spid="_x0000_s5161"/>
                        </a:ext>
                        <a:ext uri="{FF2B5EF4-FFF2-40B4-BE49-F238E27FC236}">
                          <a16:creationId xmlns:a16="http://schemas.microsoft.com/office/drawing/2014/main" id="{00000000-0008-0000-0800-000018000000}"/>
                        </a:ext>
                      </a:extLst>
                    </xdr:cNvPr>
                    <xdr:cNvSpPr/>
                  </xdr:nvSpPr>
                  <xdr:spPr bwMode="auto">
                    <a:xfrm>
                      <a:off x="31419275" y="13183333"/>
                      <a:ext cx="786503" cy="233624"/>
                    </a:xfrm>
                    <a:prstGeom prst="rect">
                      <a:avLst/>
                    </a:prstGeom>
                    <a:noFill/>
                    <a:ln>
                      <a:noFill/>
                    </a:ln>
                    <a:extLst>
                      <a:ext uri="{91240B29-F687-4F45-9708-019B960494DF}">
                        <a14:hiddenLine w="9525">
                          <a:noFill/>
                          <a:miter lim="800000"/>
                          <a:headEnd/>
                          <a:tailEnd/>
                        </a14:hiddenLine>
                      </a:ext>
                    </a:extLst>
                  </xdr:spPr>
                </xdr:sp>
              </mc:Choice>
              <mc:Fallback/>
            </mc:AlternateContent>
            <xdr:sp macro="" textlink="ControlChart_Budget2!$F$18">
              <xdr:nvSpPr>
                <xdr:cNvPr id="5508" name="Rectangle 5507">
                  <a:extLst>
                    <a:ext uri="{FF2B5EF4-FFF2-40B4-BE49-F238E27FC236}">
                      <a16:creationId xmlns:a16="http://schemas.microsoft.com/office/drawing/2014/main" id="{00000000-0008-0000-0800-000084150000}"/>
                    </a:ext>
                  </a:extLst>
                </xdr:cNvPr>
                <xdr:cNvSpPr/>
              </xdr:nvSpPr>
              <xdr:spPr>
                <a:xfrm>
                  <a:off x="32156400" y="13198504"/>
                  <a:ext cx="925261" cy="2032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B14D180C-BF36-4925-A8B8-009E4A6E71CA}" type="TxLink">
                    <a:rPr lang="en-US" sz="1200" b="0" i="0" u="none" strike="noStrike" kern="1200">
                      <a:solidFill>
                        <a:srgbClr val="AADCD7"/>
                      </a:solidFill>
                      <a:latin typeface="Aptos Narrow" panose="020B0004020202020204" pitchFamily="34" charset="0"/>
                      <a:cs typeface="Arial"/>
                    </a:rPr>
                    <a:pPr algn="l"/>
                    <a:t>2026 Qtr1</a:t>
                  </a:fld>
                  <a:endParaRPr lang="fr-CA" sz="1200" kern="1200">
                    <a:solidFill>
                      <a:srgbClr val="AADCD7"/>
                    </a:solidFill>
                    <a:latin typeface="Aptos Narrow" panose="020B0004020202020204" pitchFamily="34" charset="0"/>
                  </a:endParaRPr>
                </a:p>
              </xdr:txBody>
            </xdr:sp>
          </xdr:grpSp>
          <xdr:grpSp>
            <xdr:nvGrpSpPr>
              <xdr:cNvPr id="5444" name="Group 5443">
                <a:extLst>
                  <a:ext uri="{FF2B5EF4-FFF2-40B4-BE49-F238E27FC236}">
                    <a16:creationId xmlns:a16="http://schemas.microsoft.com/office/drawing/2014/main" id="{00000000-0008-0000-0800-000044150000}"/>
                  </a:ext>
                </a:extLst>
              </xdr:cNvPr>
              <xdr:cNvGrpSpPr/>
            </xdr:nvGrpSpPr>
            <xdr:grpSpPr>
              <a:xfrm>
                <a:off x="35979028" y="12132625"/>
                <a:ext cx="2370117" cy="2110691"/>
                <a:chOff x="33372782" y="13117433"/>
                <a:chExt cx="1895503" cy="2214042"/>
              </a:xfrm>
            </xdr:grpSpPr>
            <xdr:sp macro="" textlink="">
              <xdr:nvSpPr>
                <xdr:cNvPr id="5500" name="Rectangle: Rounded Corners 5499">
                  <a:extLst>
                    <a:ext uri="{FF2B5EF4-FFF2-40B4-BE49-F238E27FC236}">
                      <a16:creationId xmlns:a16="http://schemas.microsoft.com/office/drawing/2014/main" id="{00000000-0008-0000-0800-00007C150000}"/>
                    </a:ext>
                  </a:extLst>
                </xdr:cNvPr>
                <xdr:cNvSpPr>
                  <a:spLocks noChangeAspect="1"/>
                </xdr:cNvSpPr>
              </xdr:nvSpPr>
              <xdr:spPr>
                <a:xfrm>
                  <a:off x="33372782" y="13117433"/>
                  <a:ext cx="1895503" cy="2214042"/>
                </a:xfrm>
                <a:prstGeom prst="roundRect">
                  <a:avLst/>
                </a:prstGeom>
                <a:solidFill>
                  <a:schemeClr val="tx1">
                    <a:alpha val="97000"/>
                  </a:schemeClr>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540" name="Chart 5539">
                  <a:extLst>
                    <a:ext uri="{FF2B5EF4-FFF2-40B4-BE49-F238E27FC236}">
                      <a16:creationId xmlns:a16="http://schemas.microsoft.com/office/drawing/2014/main" id="{00000000-0008-0000-0800-0000A4150000}"/>
                    </a:ext>
                  </a:extLst>
                </xdr:cNvPr>
                <xdr:cNvGraphicFramePr>
                  <a:graphicFrameLocks/>
                </xdr:cNvGraphicFramePr>
              </xdr:nvGraphicFramePr>
              <xdr:xfrm>
                <a:off x="33419822" y="13370610"/>
                <a:ext cx="1759284" cy="1776526"/>
              </xdr:xfrm>
              <a:graphic>
                <a:graphicData uri="http://schemas.openxmlformats.org/drawingml/2006/chart">
                  <c:chart xmlns:c="http://schemas.openxmlformats.org/drawingml/2006/chart" xmlns:r="http://schemas.openxmlformats.org/officeDocument/2006/relationships" r:id="rId2"/>
                </a:graphicData>
              </a:graphic>
            </xdr:graphicFrame>
            <xdr:sp macro="" textlink="ControlChart_Budget2!$CY$28">
              <xdr:nvSpPr>
                <xdr:cNvPr id="5503" name="Rectangle 5502">
                  <a:extLst>
                    <a:ext uri="{FF2B5EF4-FFF2-40B4-BE49-F238E27FC236}">
                      <a16:creationId xmlns:a16="http://schemas.microsoft.com/office/drawing/2014/main" id="{00000000-0008-0000-0800-00007F150000}"/>
                    </a:ext>
                  </a:extLst>
                </xdr:cNvPr>
                <xdr:cNvSpPr/>
              </xdr:nvSpPr>
              <xdr:spPr>
                <a:xfrm>
                  <a:off x="33709851" y="14403609"/>
                  <a:ext cx="1220681" cy="5330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0E41E73-78EB-4493-B224-3313C794589A}" type="TxLink">
                    <a:rPr lang="en-US" sz="1600" b="0" i="0" u="none" strike="noStrike" kern="1200">
                      <a:solidFill>
                        <a:schemeClr val="bg1"/>
                      </a:solidFill>
                      <a:latin typeface="Aptos Narrow" panose="020B0004020202020204" pitchFamily="34" charset="0"/>
                      <a:cs typeface="Arial"/>
                    </a:rPr>
                    <a:pPr algn="ctr"/>
                    <a:t> </a:t>
                  </a:fld>
                  <a:endParaRPr lang="fr-CA" sz="1600" kern="1200">
                    <a:solidFill>
                      <a:schemeClr val="bg1"/>
                    </a:solidFill>
                    <a:latin typeface="Aptos Narrow" panose="020B0004020202020204" pitchFamily="34" charset="0"/>
                  </a:endParaRPr>
                </a:p>
              </xdr:txBody>
            </xdr:sp>
            <xdr:sp macro="" textlink="ControlChart_Budget2!$CY$29">
              <xdr:nvSpPr>
                <xdr:cNvPr id="5504" name="Rectangle 5503">
                  <a:extLst>
                    <a:ext uri="{FF2B5EF4-FFF2-40B4-BE49-F238E27FC236}">
                      <a16:creationId xmlns:a16="http://schemas.microsoft.com/office/drawing/2014/main" id="{00000000-0008-0000-0800-000080150000}"/>
                    </a:ext>
                  </a:extLst>
                </xdr:cNvPr>
                <xdr:cNvSpPr/>
              </xdr:nvSpPr>
              <xdr:spPr>
                <a:xfrm>
                  <a:off x="33716084" y="14700182"/>
                  <a:ext cx="1220681" cy="5330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0AAF03-7441-4C53-88A7-136F7B4212C4}" type="TxLink">
                    <a:rPr lang="en-US" sz="1600" b="0" i="0" u="none" strike="noStrike" kern="1200">
                      <a:solidFill>
                        <a:srgbClr val="AADCD7"/>
                      </a:solidFill>
                      <a:latin typeface="Aptos SemiBold" panose="020F0502020204030204" pitchFamily="34" charset="0"/>
                      <a:cs typeface="Arial"/>
                    </a:rPr>
                    <a:pPr algn="ctr"/>
                    <a:t> </a:t>
                  </a:fld>
                  <a:endParaRPr lang="fr-CA" sz="1600" kern="1200">
                    <a:solidFill>
                      <a:srgbClr val="AADCD7"/>
                    </a:solidFill>
                    <a:latin typeface="Aptos SemiBold" panose="020F0502020204030204" pitchFamily="34" charset="0"/>
                  </a:endParaRPr>
                </a:p>
              </xdr:txBody>
            </xdr:sp>
            <mc:AlternateContent xmlns:mc="http://schemas.openxmlformats.org/markup-compatibility/2006">
              <mc:Choice xmlns:a14="http://schemas.microsoft.com/office/drawing/2010/main" Requires="a14">
                <xdr:sp macro="" textlink="">
                  <xdr:nvSpPr>
                    <xdr:cNvPr id="18" name="B2Q3" hidden="1">
                      <a:extLst>
                        <a:ext uri="{63B3BB69-23CF-44E3-9099-C40C66FF867C}">
                          <a14:compatExt spid="_x0000_s5162"/>
                        </a:ext>
                        <a:ext uri="{FF2B5EF4-FFF2-40B4-BE49-F238E27FC236}">
                          <a16:creationId xmlns:a16="http://schemas.microsoft.com/office/drawing/2014/main" id="{00000000-0008-0000-0800-000012000000}"/>
                        </a:ext>
                      </a:extLst>
                    </xdr:cNvPr>
                    <xdr:cNvSpPr/>
                  </xdr:nvSpPr>
                  <xdr:spPr bwMode="auto">
                    <a:xfrm>
                      <a:off x="33592399" y="13170635"/>
                      <a:ext cx="788095" cy="233626"/>
                    </a:xfrm>
                    <a:prstGeom prst="rect">
                      <a:avLst/>
                    </a:prstGeom>
                    <a:noFill/>
                    <a:ln>
                      <a:noFill/>
                    </a:ln>
                    <a:extLst>
                      <a:ext uri="{91240B29-F687-4F45-9708-019B960494DF}">
                        <a14:hiddenLine w="9525">
                          <a:noFill/>
                          <a:miter lim="800000"/>
                          <a:headEnd/>
                          <a:tailEnd/>
                        </a14:hiddenLine>
                      </a:ext>
                    </a:extLst>
                  </xdr:spPr>
                </xdr:sp>
              </mc:Choice>
              <mc:Fallback/>
            </mc:AlternateContent>
            <xdr:sp macro="" textlink="ControlChart_Budget2!$F$19">
              <xdr:nvSpPr>
                <xdr:cNvPr id="5502" name="Rectangle 5501">
                  <a:extLst>
                    <a:ext uri="{FF2B5EF4-FFF2-40B4-BE49-F238E27FC236}">
                      <a16:creationId xmlns:a16="http://schemas.microsoft.com/office/drawing/2014/main" id="{00000000-0008-0000-0800-00007E150000}"/>
                    </a:ext>
                  </a:extLst>
                </xdr:cNvPr>
                <xdr:cNvSpPr/>
              </xdr:nvSpPr>
              <xdr:spPr>
                <a:xfrm>
                  <a:off x="34302700" y="13186684"/>
                  <a:ext cx="918687" cy="20152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E635E163-79DF-45D6-9A86-1C9FF8330735}" type="TxLink">
                    <a:rPr lang="en-US" sz="1200" b="0" i="0" u="none" strike="noStrike" kern="1200">
                      <a:solidFill>
                        <a:srgbClr val="AADCD7"/>
                      </a:solidFill>
                      <a:latin typeface="Aptos Narrow" panose="020B0004020202020204" pitchFamily="34" charset="0"/>
                      <a:cs typeface="Arial"/>
                    </a:rPr>
                    <a:pPr algn="l"/>
                    <a:t> </a:t>
                  </a:fld>
                  <a:endParaRPr lang="fr-CA" sz="1200" kern="1200">
                    <a:solidFill>
                      <a:srgbClr val="AADCD7"/>
                    </a:solidFill>
                    <a:latin typeface="Aptos Narrow" panose="020B0004020202020204" pitchFamily="34" charset="0"/>
                  </a:endParaRPr>
                </a:p>
              </xdr:txBody>
            </xdr:sp>
          </xdr:grpSp>
          <xdr:grpSp>
            <xdr:nvGrpSpPr>
              <xdr:cNvPr id="5452" name="Group 5451">
                <a:extLst>
                  <a:ext uri="{FF2B5EF4-FFF2-40B4-BE49-F238E27FC236}">
                    <a16:creationId xmlns:a16="http://schemas.microsoft.com/office/drawing/2014/main" id="{00000000-0008-0000-0800-00004C150000}"/>
                  </a:ext>
                </a:extLst>
              </xdr:cNvPr>
              <xdr:cNvGrpSpPr/>
            </xdr:nvGrpSpPr>
            <xdr:grpSpPr>
              <a:xfrm>
                <a:off x="38474274" y="12132625"/>
                <a:ext cx="2360163" cy="2110691"/>
                <a:chOff x="35513230" y="13117434"/>
                <a:chExt cx="1887542" cy="2214042"/>
              </a:xfrm>
            </xdr:grpSpPr>
            <xdr:sp macro="" textlink="">
              <xdr:nvSpPr>
                <xdr:cNvPr id="5494" name="Rectangle: Rounded Corners 5493">
                  <a:extLst>
                    <a:ext uri="{FF2B5EF4-FFF2-40B4-BE49-F238E27FC236}">
                      <a16:creationId xmlns:a16="http://schemas.microsoft.com/office/drawing/2014/main" id="{00000000-0008-0000-0800-000076150000}"/>
                    </a:ext>
                  </a:extLst>
                </xdr:cNvPr>
                <xdr:cNvSpPr>
                  <a:spLocks noChangeAspect="1"/>
                </xdr:cNvSpPr>
              </xdr:nvSpPr>
              <xdr:spPr>
                <a:xfrm>
                  <a:off x="35513230" y="13117434"/>
                  <a:ext cx="1887542" cy="2214042"/>
                </a:xfrm>
                <a:prstGeom prst="roundRect">
                  <a:avLst/>
                </a:prstGeom>
                <a:solidFill>
                  <a:schemeClr val="tx1">
                    <a:alpha val="97000"/>
                  </a:schemeClr>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541" name="Chart 5540">
                  <a:extLst>
                    <a:ext uri="{FF2B5EF4-FFF2-40B4-BE49-F238E27FC236}">
                      <a16:creationId xmlns:a16="http://schemas.microsoft.com/office/drawing/2014/main" id="{00000000-0008-0000-0800-0000A5150000}"/>
                    </a:ext>
                  </a:extLst>
                </xdr:cNvPr>
                <xdr:cNvGraphicFramePr>
                  <a:graphicFrameLocks/>
                </xdr:cNvGraphicFramePr>
              </xdr:nvGraphicFramePr>
              <xdr:xfrm>
                <a:off x="35545292" y="13403056"/>
                <a:ext cx="1791126" cy="1752191"/>
              </xdr:xfrm>
              <a:graphic>
                <a:graphicData uri="http://schemas.openxmlformats.org/drawingml/2006/chart">
                  <c:chart xmlns:c="http://schemas.openxmlformats.org/drawingml/2006/chart" xmlns:r="http://schemas.openxmlformats.org/officeDocument/2006/relationships" r:id="rId3"/>
                </a:graphicData>
              </a:graphic>
            </xdr:graphicFrame>
            <xdr:sp macro="" textlink="ControlChart_Budget2!$CY$40">
              <xdr:nvSpPr>
                <xdr:cNvPr id="5497" name="Rectangle 5496">
                  <a:extLst>
                    <a:ext uri="{FF2B5EF4-FFF2-40B4-BE49-F238E27FC236}">
                      <a16:creationId xmlns:a16="http://schemas.microsoft.com/office/drawing/2014/main" id="{00000000-0008-0000-0800-000079150000}"/>
                    </a:ext>
                  </a:extLst>
                </xdr:cNvPr>
                <xdr:cNvSpPr/>
              </xdr:nvSpPr>
              <xdr:spPr>
                <a:xfrm>
                  <a:off x="35859899" y="14395956"/>
                  <a:ext cx="1212064" cy="5330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62A8F96-5F1A-4222-B663-675E31995547}" type="TxLink">
                    <a:rPr lang="en-US" sz="1600" b="0" i="0" u="none" strike="noStrike" kern="1200">
                      <a:solidFill>
                        <a:schemeClr val="bg1"/>
                      </a:solidFill>
                      <a:latin typeface="Aptos Narrow" panose="020B0004020202020204" pitchFamily="34" charset="0"/>
                      <a:cs typeface="Arial"/>
                    </a:rPr>
                    <a:pPr algn="ctr"/>
                    <a:t> </a:t>
                  </a:fld>
                  <a:endParaRPr lang="fr-CA" sz="1600" kern="1200">
                    <a:solidFill>
                      <a:schemeClr val="bg1"/>
                    </a:solidFill>
                    <a:latin typeface="Aptos Narrow" panose="020B0004020202020204" pitchFamily="34" charset="0"/>
                  </a:endParaRPr>
                </a:p>
              </xdr:txBody>
            </xdr:sp>
            <xdr:sp macro="" textlink="ControlChart_Budget2!$CY$41">
              <xdr:nvSpPr>
                <xdr:cNvPr id="5498" name="Rectangle 5497">
                  <a:extLst>
                    <a:ext uri="{FF2B5EF4-FFF2-40B4-BE49-F238E27FC236}">
                      <a16:creationId xmlns:a16="http://schemas.microsoft.com/office/drawing/2014/main" id="{00000000-0008-0000-0800-00007A150000}"/>
                    </a:ext>
                  </a:extLst>
                </xdr:cNvPr>
                <xdr:cNvSpPr/>
              </xdr:nvSpPr>
              <xdr:spPr>
                <a:xfrm>
                  <a:off x="35828871" y="14700182"/>
                  <a:ext cx="1212064" cy="5330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066757A-9714-4606-89A9-0385FA25B3D4}" type="TxLink">
                    <a:rPr lang="en-US" sz="1600" b="0" i="0" u="none" strike="noStrike" kern="1200">
                      <a:solidFill>
                        <a:srgbClr val="AADCD7"/>
                      </a:solidFill>
                      <a:latin typeface="Aptos Narrow" panose="020B0004020202020204" pitchFamily="34" charset="0"/>
                      <a:cs typeface="Arial"/>
                    </a:rPr>
                    <a:pPr algn="ctr"/>
                    <a:t> </a:t>
                  </a:fld>
                  <a:endParaRPr lang="fr-CA" sz="16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7" name="B2Q4" hidden="1">
                      <a:extLst>
                        <a:ext uri="{63B3BB69-23CF-44E3-9099-C40C66FF867C}">
                          <a14:compatExt spid="_x0000_s5163"/>
                        </a:ext>
                        <a:ext uri="{FF2B5EF4-FFF2-40B4-BE49-F238E27FC236}">
                          <a16:creationId xmlns:a16="http://schemas.microsoft.com/office/drawing/2014/main" id="{00000000-0008-0000-0800-000007000000}"/>
                        </a:ext>
                      </a:extLst>
                    </xdr:cNvPr>
                    <xdr:cNvSpPr/>
                  </xdr:nvSpPr>
                  <xdr:spPr bwMode="auto">
                    <a:xfrm>
                      <a:off x="35701854" y="13169012"/>
                      <a:ext cx="786503" cy="23687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ControlChart_Budget2!$F$20">
              <xdr:nvSpPr>
                <xdr:cNvPr id="5496" name="Rectangle 5495">
                  <a:extLst>
                    <a:ext uri="{FF2B5EF4-FFF2-40B4-BE49-F238E27FC236}">
                      <a16:creationId xmlns:a16="http://schemas.microsoft.com/office/drawing/2014/main" id="{00000000-0008-0000-0800-000078150000}"/>
                    </a:ext>
                  </a:extLst>
                </xdr:cNvPr>
                <xdr:cNvSpPr/>
              </xdr:nvSpPr>
              <xdr:spPr>
                <a:xfrm>
                  <a:off x="36417250" y="13181213"/>
                  <a:ext cx="961621" cy="2124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E599DF8-8F6B-4A98-AC16-AB034280EEF7}" type="TxLink">
                    <a:rPr lang="en-US" sz="1200" b="0" i="0" u="none" strike="noStrike" kern="1200">
                      <a:solidFill>
                        <a:srgbClr val="AADCD7"/>
                      </a:solidFill>
                      <a:latin typeface="Aptos Narrow" panose="020B0004020202020204" pitchFamily="34" charset="0"/>
                      <a:cs typeface="Arial"/>
                    </a:rPr>
                    <a:pPr algn="l"/>
                    <a:t> </a:t>
                  </a:fld>
                  <a:endParaRPr lang="fr-CA" sz="1200" kern="1200">
                    <a:solidFill>
                      <a:srgbClr val="AADCD7"/>
                    </a:solidFill>
                    <a:latin typeface="Aptos Narrow" panose="020B0004020202020204" pitchFamily="34" charset="0"/>
                  </a:endParaRPr>
                </a:p>
              </xdr:txBody>
            </xdr:sp>
          </xdr:grpSp>
          <xdr:grpSp>
            <xdr:nvGrpSpPr>
              <xdr:cNvPr id="5460" name="Group 5459">
                <a:extLst>
                  <a:ext uri="{FF2B5EF4-FFF2-40B4-BE49-F238E27FC236}">
                    <a16:creationId xmlns:a16="http://schemas.microsoft.com/office/drawing/2014/main" id="{00000000-0008-0000-0800-000054150000}"/>
                  </a:ext>
                </a:extLst>
              </xdr:cNvPr>
              <xdr:cNvGrpSpPr/>
            </xdr:nvGrpSpPr>
            <xdr:grpSpPr>
              <a:xfrm>
                <a:off x="40959565" y="12132625"/>
                <a:ext cx="2360163" cy="2110691"/>
                <a:chOff x="37639010" y="13117434"/>
                <a:chExt cx="1887542" cy="2214042"/>
              </a:xfrm>
            </xdr:grpSpPr>
            <xdr:sp macro="" textlink="">
              <xdr:nvSpPr>
                <xdr:cNvPr id="5488" name="Rectangle: Rounded Corners 5487">
                  <a:extLst>
                    <a:ext uri="{FF2B5EF4-FFF2-40B4-BE49-F238E27FC236}">
                      <a16:creationId xmlns:a16="http://schemas.microsoft.com/office/drawing/2014/main" id="{00000000-0008-0000-0800-000070150000}"/>
                    </a:ext>
                  </a:extLst>
                </xdr:cNvPr>
                <xdr:cNvSpPr>
                  <a:spLocks noChangeAspect="1"/>
                </xdr:cNvSpPr>
              </xdr:nvSpPr>
              <xdr:spPr>
                <a:xfrm>
                  <a:off x="37639010" y="13117434"/>
                  <a:ext cx="1887542" cy="2214042"/>
                </a:xfrm>
                <a:prstGeom prst="roundRect">
                  <a:avLst/>
                </a:prstGeom>
                <a:solidFill>
                  <a:schemeClr val="tx1">
                    <a:alpha val="97000"/>
                  </a:schemeClr>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542" name="Chart 5541">
                  <a:extLst>
                    <a:ext uri="{FF2B5EF4-FFF2-40B4-BE49-F238E27FC236}">
                      <a16:creationId xmlns:a16="http://schemas.microsoft.com/office/drawing/2014/main" id="{00000000-0008-0000-0800-0000A6150000}"/>
                    </a:ext>
                  </a:extLst>
                </xdr:cNvPr>
                <xdr:cNvGraphicFramePr>
                  <a:graphicFrameLocks/>
                </xdr:cNvGraphicFramePr>
              </xdr:nvGraphicFramePr>
              <xdr:xfrm>
                <a:off x="37686682" y="13378721"/>
                <a:ext cx="1783165" cy="1800861"/>
              </xdr:xfrm>
              <a:graphic>
                <a:graphicData uri="http://schemas.openxmlformats.org/drawingml/2006/chart">
                  <c:chart xmlns:c="http://schemas.openxmlformats.org/drawingml/2006/chart" xmlns:r="http://schemas.openxmlformats.org/officeDocument/2006/relationships" r:id="rId4"/>
                </a:graphicData>
              </a:graphic>
            </xdr:graphicFrame>
            <xdr:sp macro="" textlink="ControlChart_Budget2!$CY$53">
              <xdr:nvSpPr>
                <xdr:cNvPr id="5491" name="Rectangle 5490">
                  <a:extLst>
                    <a:ext uri="{FF2B5EF4-FFF2-40B4-BE49-F238E27FC236}">
                      <a16:creationId xmlns:a16="http://schemas.microsoft.com/office/drawing/2014/main" id="{00000000-0008-0000-0800-000073150000}"/>
                    </a:ext>
                  </a:extLst>
                </xdr:cNvPr>
                <xdr:cNvSpPr/>
              </xdr:nvSpPr>
              <xdr:spPr>
                <a:xfrm>
                  <a:off x="37974974" y="14395956"/>
                  <a:ext cx="1215554" cy="5330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A040526-D98D-4147-8933-C1A56F3F08F6}" type="TxLink">
                    <a:rPr lang="en-US" sz="1600" b="0" i="0" u="none" strike="noStrike" kern="1200">
                      <a:solidFill>
                        <a:schemeClr val="bg1"/>
                      </a:solidFill>
                      <a:latin typeface="Aptos Narrow" panose="020B0004020202020204" pitchFamily="34" charset="0"/>
                      <a:cs typeface="Arial"/>
                    </a:rPr>
                    <a:pPr algn="ctr"/>
                    <a:t> </a:t>
                  </a:fld>
                  <a:endParaRPr lang="fr-CA" sz="1600" kern="1200">
                    <a:solidFill>
                      <a:schemeClr val="bg1"/>
                    </a:solidFill>
                    <a:latin typeface="Aptos Narrow" panose="020B0004020202020204" pitchFamily="34" charset="0"/>
                  </a:endParaRPr>
                </a:p>
              </xdr:txBody>
            </xdr:sp>
            <xdr:sp macro="" textlink="ControlChart_Budget2!$CY$54">
              <xdr:nvSpPr>
                <xdr:cNvPr id="5492" name="Rectangle 5491">
                  <a:extLst>
                    <a:ext uri="{FF2B5EF4-FFF2-40B4-BE49-F238E27FC236}">
                      <a16:creationId xmlns:a16="http://schemas.microsoft.com/office/drawing/2014/main" id="{00000000-0008-0000-0800-000074150000}"/>
                    </a:ext>
                  </a:extLst>
                </xdr:cNvPr>
                <xdr:cNvSpPr/>
              </xdr:nvSpPr>
              <xdr:spPr>
                <a:xfrm>
                  <a:off x="38006003" y="14700182"/>
                  <a:ext cx="1215554" cy="5330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664119E-AB1F-4803-B8A6-CA87652B3A1E}" type="TxLink">
                    <a:rPr lang="en-US" sz="1600" b="0" i="0" u="none" strike="noStrike" kern="1200">
                      <a:solidFill>
                        <a:srgbClr val="AADCD7"/>
                      </a:solidFill>
                      <a:latin typeface="Aptos Narrow" panose="020B0004020202020204" pitchFamily="34" charset="0"/>
                      <a:cs typeface="Arial"/>
                    </a:rPr>
                    <a:pPr algn="ctr"/>
                    <a:t> </a:t>
                  </a:fld>
                  <a:endParaRPr lang="fr-CA" sz="16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3" name="B2Q5" hidden="1">
                      <a:extLst>
                        <a:ext uri="{63B3BB69-23CF-44E3-9099-C40C66FF867C}">
                          <a14:compatExt spid="_x0000_s5164"/>
                        </a:ext>
                        <a:ext uri="{FF2B5EF4-FFF2-40B4-BE49-F238E27FC236}">
                          <a16:creationId xmlns:a16="http://schemas.microsoft.com/office/drawing/2014/main" id="{00000000-0008-0000-0800-000003000000}"/>
                        </a:ext>
                      </a:extLst>
                    </xdr:cNvPr>
                    <xdr:cNvSpPr/>
                  </xdr:nvSpPr>
                  <xdr:spPr bwMode="auto">
                    <a:xfrm>
                      <a:off x="37782966" y="13162663"/>
                      <a:ext cx="794463" cy="23687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ControlChart_Budget2!$F$21">
              <xdr:nvSpPr>
                <xdr:cNvPr id="5490" name="Rectangle 5489">
                  <a:extLst>
                    <a:ext uri="{FF2B5EF4-FFF2-40B4-BE49-F238E27FC236}">
                      <a16:creationId xmlns:a16="http://schemas.microsoft.com/office/drawing/2014/main" id="{00000000-0008-0000-0800-000072150000}"/>
                    </a:ext>
                  </a:extLst>
                </xdr:cNvPr>
                <xdr:cNvSpPr/>
              </xdr:nvSpPr>
              <xdr:spPr>
                <a:xfrm>
                  <a:off x="38550850" y="13189023"/>
                  <a:ext cx="948636" cy="1841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533289B4-CFA4-4DE3-825B-8FFE2E8B4F21}" type="TxLink">
                    <a:rPr lang="en-US" sz="1200" b="0" i="0" u="none" strike="noStrike" kern="1200">
                      <a:solidFill>
                        <a:srgbClr val="AADCD7"/>
                      </a:solidFill>
                      <a:latin typeface="Aptos Narrow" panose="020B0004020202020204" pitchFamily="34" charset="0"/>
                      <a:cs typeface="Arial"/>
                    </a:rPr>
                    <a:pPr algn="l"/>
                    <a:t> </a:t>
                  </a:fld>
                  <a:endParaRPr lang="fr-CA" sz="1200" kern="1200">
                    <a:solidFill>
                      <a:srgbClr val="AADCD7"/>
                    </a:solidFill>
                    <a:latin typeface="Aptos Narrow" panose="020B0004020202020204" pitchFamily="34" charset="0"/>
                  </a:endParaRPr>
                </a:p>
              </xdr:txBody>
            </xdr:sp>
          </xdr:grpSp>
          <xdr:grpSp>
            <xdr:nvGrpSpPr>
              <xdr:cNvPr id="42" name="Group 41">
                <a:extLst>
                  <a:ext uri="{FF2B5EF4-FFF2-40B4-BE49-F238E27FC236}">
                    <a16:creationId xmlns:a16="http://schemas.microsoft.com/office/drawing/2014/main" id="{00000000-0008-0000-0800-00002A000000}"/>
                  </a:ext>
                </a:extLst>
              </xdr:cNvPr>
              <xdr:cNvGrpSpPr/>
            </xdr:nvGrpSpPr>
            <xdr:grpSpPr>
              <a:xfrm>
                <a:off x="30988537" y="12132625"/>
                <a:ext cx="2370117" cy="2110691"/>
                <a:chOff x="29114515" y="13117434"/>
                <a:chExt cx="1895503" cy="2214042"/>
              </a:xfrm>
            </xdr:grpSpPr>
            <xdr:sp macro="" textlink="">
              <xdr:nvSpPr>
                <xdr:cNvPr id="5512" name="Rectangle: Rounded Corners 5511">
                  <a:extLst>
                    <a:ext uri="{FF2B5EF4-FFF2-40B4-BE49-F238E27FC236}">
                      <a16:creationId xmlns:a16="http://schemas.microsoft.com/office/drawing/2014/main" id="{00000000-0008-0000-0800-000088150000}"/>
                    </a:ext>
                  </a:extLst>
                </xdr:cNvPr>
                <xdr:cNvSpPr>
                  <a:spLocks noChangeAspect="1"/>
                </xdr:cNvSpPr>
              </xdr:nvSpPr>
              <xdr:spPr>
                <a:xfrm>
                  <a:off x="29114515" y="13117434"/>
                  <a:ext cx="1895503" cy="2214042"/>
                </a:xfrm>
                <a:prstGeom prst="roundRect">
                  <a:avLst/>
                </a:prstGeom>
                <a:solidFill>
                  <a:schemeClr val="tx1">
                    <a:alpha val="97000"/>
                  </a:schemeClr>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538" name="Chart 5537">
                  <a:extLst>
                    <a:ext uri="{FF2B5EF4-FFF2-40B4-BE49-F238E27FC236}">
                      <a16:creationId xmlns:a16="http://schemas.microsoft.com/office/drawing/2014/main" id="{00000000-0008-0000-0800-0000A2150000}"/>
                    </a:ext>
                  </a:extLst>
                </xdr:cNvPr>
                <xdr:cNvGraphicFramePr>
                  <a:graphicFrameLocks/>
                </xdr:cNvGraphicFramePr>
              </xdr:nvGraphicFramePr>
              <xdr:xfrm>
                <a:off x="29176842" y="13394944"/>
                <a:ext cx="1799087" cy="1752190"/>
              </xdr:xfrm>
              <a:graphic>
                <a:graphicData uri="http://schemas.openxmlformats.org/drawingml/2006/chart">
                  <c:chart xmlns:c="http://schemas.openxmlformats.org/drawingml/2006/chart" xmlns:r="http://schemas.openxmlformats.org/officeDocument/2006/relationships" r:id="rId5"/>
                </a:graphicData>
              </a:graphic>
            </xdr:graphicFrame>
            <xdr:sp macro="" textlink="ControlChart_Budget2!$DB$5">
              <xdr:nvSpPr>
                <xdr:cNvPr id="5514" name="Rectangle 5513">
                  <a:extLst>
                    <a:ext uri="{FF2B5EF4-FFF2-40B4-BE49-F238E27FC236}">
                      <a16:creationId xmlns:a16="http://schemas.microsoft.com/office/drawing/2014/main" id="{00000000-0008-0000-0800-00008A150000}"/>
                    </a:ext>
                  </a:extLst>
                </xdr:cNvPr>
                <xdr:cNvSpPr/>
              </xdr:nvSpPr>
              <xdr:spPr>
                <a:xfrm>
                  <a:off x="29453869" y="14392703"/>
                  <a:ext cx="1220139" cy="5395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0198A8A-92FB-482C-91B7-43C0E129AD00}" type="TxLink">
                    <a:rPr lang="en-US" sz="1600" b="0" i="0" u="none" strike="noStrike" kern="1200">
                      <a:solidFill>
                        <a:schemeClr val="bg1"/>
                      </a:solidFill>
                      <a:latin typeface="Aptos Narrow" panose="020B0004020202020204" pitchFamily="34" charset="0"/>
                      <a:cs typeface="Arial"/>
                    </a:rPr>
                    <a:pPr algn="ctr"/>
                    <a:t>10%</a:t>
                  </a:fld>
                  <a:endParaRPr lang="fr-CA" sz="1600" kern="1200">
                    <a:solidFill>
                      <a:schemeClr val="bg1"/>
                    </a:solidFill>
                    <a:latin typeface="Aptos Narrow" panose="020B0004020202020204" pitchFamily="34" charset="0"/>
                  </a:endParaRPr>
                </a:p>
              </xdr:txBody>
            </xdr:sp>
            <xdr:sp macro="" textlink="ControlChart_Budget2!$CY$10">
              <xdr:nvSpPr>
                <xdr:cNvPr id="5515" name="Rectangle 5514">
                  <a:extLst>
                    <a:ext uri="{FF2B5EF4-FFF2-40B4-BE49-F238E27FC236}">
                      <a16:creationId xmlns:a16="http://schemas.microsoft.com/office/drawing/2014/main" id="{00000000-0008-0000-0800-00008B150000}"/>
                    </a:ext>
                  </a:extLst>
                </xdr:cNvPr>
                <xdr:cNvSpPr/>
              </xdr:nvSpPr>
              <xdr:spPr>
                <a:xfrm>
                  <a:off x="29453868" y="14696929"/>
                  <a:ext cx="1220139" cy="5395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75FF975-5D9B-4F0F-89E1-BFD6C7B467D1}" type="TxLink">
                    <a:rPr lang="en-US" sz="1600" b="0" i="0" u="none" strike="noStrike" kern="1200">
                      <a:solidFill>
                        <a:srgbClr val="AADCD7"/>
                      </a:solidFill>
                      <a:latin typeface="Aptos Narrow" panose="020B0004020202020204" pitchFamily="34" charset="0"/>
                      <a:cs typeface="Arial"/>
                    </a:rPr>
                    <a:pPr algn="ctr"/>
                    <a:t>Good</a:t>
                  </a:fld>
                  <a:endParaRPr lang="en-US" sz="16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25" name="B2Q1" hidden="1">
                      <a:extLst>
                        <a:ext uri="{63B3BB69-23CF-44E3-9099-C40C66FF867C}">
                          <a14:compatExt spid="_x0000_s5160"/>
                        </a:ext>
                        <a:ext uri="{FF2B5EF4-FFF2-40B4-BE49-F238E27FC236}">
                          <a16:creationId xmlns:a16="http://schemas.microsoft.com/office/drawing/2014/main" id="{00000000-0008-0000-0800-000019000000}"/>
                        </a:ext>
                      </a:extLst>
                    </xdr:cNvPr>
                    <xdr:cNvSpPr/>
                  </xdr:nvSpPr>
                  <xdr:spPr bwMode="auto">
                    <a:xfrm>
                      <a:off x="29317950" y="13188950"/>
                      <a:ext cx="781050" cy="215899"/>
                    </a:xfrm>
                    <a:prstGeom prst="rect">
                      <a:avLst/>
                    </a:prstGeom>
                    <a:noFill/>
                    <a:ln>
                      <a:noFill/>
                    </a:ln>
                    <a:extLst>
                      <a:ext uri="{91240B29-F687-4F45-9708-019B960494DF}">
                        <a14:hiddenLine w="9525">
                          <a:noFill/>
                          <a:miter lim="800000"/>
                          <a:headEnd/>
                          <a:tailEnd/>
                        </a14:hiddenLine>
                      </a:ext>
                    </a:extLst>
                  </xdr:spPr>
                </xdr:sp>
              </mc:Choice>
              <mc:Fallback/>
            </mc:AlternateContent>
            <xdr:sp macro="" textlink="ControlChart_Budget2!$F$17">
              <xdr:nvSpPr>
                <xdr:cNvPr id="5516" name="Rectangle 5515">
                  <a:extLst>
                    <a:ext uri="{FF2B5EF4-FFF2-40B4-BE49-F238E27FC236}">
                      <a16:creationId xmlns:a16="http://schemas.microsoft.com/office/drawing/2014/main" id="{00000000-0008-0000-0800-00008C150000}"/>
                    </a:ext>
                  </a:extLst>
                </xdr:cNvPr>
                <xdr:cNvSpPr/>
              </xdr:nvSpPr>
              <xdr:spPr>
                <a:xfrm>
                  <a:off x="30016450" y="13203251"/>
                  <a:ext cx="930606" cy="1872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C18BACF-86D8-4336-BAB9-BE0CF70EACC6}" type="TxLink">
                    <a:rPr lang="en-US" sz="1200" b="0" i="0" u="none" strike="noStrike" kern="1200">
                      <a:solidFill>
                        <a:srgbClr val="AADCD7"/>
                      </a:solidFill>
                      <a:latin typeface="Aptos Narrow" panose="020B0004020202020204" pitchFamily="34" charset="0"/>
                      <a:cs typeface="Arial"/>
                    </a:rPr>
                    <a:pPr algn="l"/>
                    <a:t>2025 Qtr1</a:t>
                  </a:fld>
                  <a:endParaRPr lang="fr-CA" sz="1200" kern="1200">
                    <a:solidFill>
                      <a:srgbClr val="AADCD7"/>
                    </a:solidFill>
                    <a:latin typeface="Aptos Narrow" panose="020B0004020202020204" pitchFamily="34" charset="0"/>
                  </a:endParaRPr>
                </a:p>
              </xdr:txBody>
            </xdr:sp>
          </xdr:grpSp>
        </xdr:grpSp>
        <xdr:grpSp>
          <xdr:nvGrpSpPr>
            <xdr:cNvPr id="5922" name="Group 5921">
              <a:extLst>
                <a:ext uri="{FF2B5EF4-FFF2-40B4-BE49-F238E27FC236}">
                  <a16:creationId xmlns:a16="http://schemas.microsoft.com/office/drawing/2014/main" id="{00000000-0008-0000-0800-000022170000}"/>
                </a:ext>
              </a:extLst>
            </xdr:cNvPr>
            <xdr:cNvGrpSpPr/>
          </xdr:nvGrpSpPr>
          <xdr:grpSpPr>
            <a:xfrm>
              <a:off x="31403608" y="11708212"/>
              <a:ext cx="11497081" cy="304675"/>
              <a:chOff x="31403608" y="11708212"/>
              <a:chExt cx="11497081" cy="304675"/>
            </a:xfrm>
          </xdr:grpSpPr>
          <xdr:sp macro="" textlink="ControlChart_Budget2!CX1">
            <xdr:nvSpPr>
              <xdr:cNvPr id="5610" name="Rectangle: Rounded Corners 5609">
                <a:extLst>
                  <a:ext uri="{FF2B5EF4-FFF2-40B4-BE49-F238E27FC236}">
                    <a16:creationId xmlns:a16="http://schemas.microsoft.com/office/drawing/2014/main" id="{00000000-0008-0000-0800-0000EA150000}"/>
                  </a:ext>
                </a:extLst>
              </xdr:cNvPr>
              <xdr:cNvSpPr/>
            </xdr:nvSpPr>
            <xdr:spPr>
              <a:xfrm>
                <a:off x="31403608" y="11708212"/>
                <a:ext cx="1583815" cy="304675"/>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FC0F58B-01B6-4357-9B06-84032D63CC8D}" type="TxLink">
                  <a:rPr lang="en-US" altLang="ja-JP"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2!CX16">
            <xdr:nvSpPr>
              <xdr:cNvPr id="5611" name="Rectangle: Rounded Corners 5610">
                <a:extLst>
                  <a:ext uri="{FF2B5EF4-FFF2-40B4-BE49-F238E27FC236}">
                    <a16:creationId xmlns:a16="http://schemas.microsoft.com/office/drawing/2014/main" id="{00000000-0008-0000-0800-0000EB150000}"/>
                  </a:ext>
                </a:extLst>
              </xdr:cNvPr>
              <xdr:cNvSpPr/>
            </xdr:nvSpPr>
            <xdr:spPr>
              <a:xfrm>
                <a:off x="33881924" y="11708212"/>
                <a:ext cx="1583815" cy="304675"/>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4C39F19-90D8-41F5-8469-F1FE2DCB9C29}"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2!CX27">
            <xdr:nvSpPr>
              <xdr:cNvPr id="5612" name="Rectangle: Rounded Corners 5611">
                <a:extLst>
                  <a:ext uri="{FF2B5EF4-FFF2-40B4-BE49-F238E27FC236}">
                    <a16:creationId xmlns:a16="http://schemas.microsoft.com/office/drawing/2014/main" id="{00000000-0008-0000-0800-0000EC150000}"/>
                  </a:ext>
                </a:extLst>
              </xdr:cNvPr>
              <xdr:cNvSpPr/>
            </xdr:nvSpPr>
            <xdr:spPr>
              <a:xfrm>
                <a:off x="36360240" y="11708212"/>
                <a:ext cx="1583815" cy="304675"/>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018FBEC-4F2A-4F92-85BF-0BEBCEB017CE}"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2!CX42">
            <xdr:nvSpPr>
              <xdr:cNvPr id="5613" name="Rectangle: Rounded Corners 5612">
                <a:extLst>
                  <a:ext uri="{FF2B5EF4-FFF2-40B4-BE49-F238E27FC236}">
                    <a16:creationId xmlns:a16="http://schemas.microsoft.com/office/drawing/2014/main" id="{00000000-0008-0000-0800-0000ED150000}"/>
                  </a:ext>
                </a:extLst>
              </xdr:cNvPr>
              <xdr:cNvSpPr/>
            </xdr:nvSpPr>
            <xdr:spPr>
              <a:xfrm>
                <a:off x="38838556" y="11708212"/>
                <a:ext cx="1583815" cy="304675"/>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C136276-095C-4E81-863D-B0E706473EED}"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2!CX55">
            <xdr:nvSpPr>
              <xdr:cNvPr id="5614" name="Rectangle: Rounded Corners 5613">
                <a:extLst>
                  <a:ext uri="{FF2B5EF4-FFF2-40B4-BE49-F238E27FC236}">
                    <a16:creationId xmlns:a16="http://schemas.microsoft.com/office/drawing/2014/main" id="{00000000-0008-0000-0800-0000EE150000}"/>
                  </a:ext>
                </a:extLst>
              </xdr:cNvPr>
              <xdr:cNvSpPr/>
            </xdr:nvSpPr>
            <xdr:spPr>
              <a:xfrm>
                <a:off x="41316874" y="11708212"/>
                <a:ext cx="1583815" cy="304675"/>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ADD20BF-EFB1-4C45-93FB-480F7754E8E9}"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grpSp>
      </xdr:grpSp>
      <xdr:grpSp>
        <xdr:nvGrpSpPr>
          <xdr:cNvPr id="5993" name="Group 5992">
            <a:extLst>
              <a:ext uri="{FF2B5EF4-FFF2-40B4-BE49-F238E27FC236}">
                <a16:creationId xmlns:a16="http://schemas.microsoft.com/office/drawing/2014/main" id="{00000000-0008-0000-0800-000069170000}"/>
              </a:ext>
            </a:extLst>
          </xdr:cNvPr>
          <xdr:cNvGrpSpPr/>
        </xdr:nvGrpSpPr>
        <xdr:grpSpPr>
          <a:xfrm>
            <a:off x="30927533" y="14334928"/>
            <a:ext cx="12673637" cy="7265260"/>
            <a:chOff x="31083260" y="13861228"/>
            <a:chExt cx="12731740" cy="7006460"/>
          </a:xfrm>
        </xdr:grpSpPr>
        <xdr:grpSp>
          <xdr:nvGrpSpPr>
            <xdr:cNvPr id="5982" name="Group 5981">
              <a:extLst>
                <a:ext uri="{FF2B5EF4-FFF2-40B4-BE49-F238E27FC236}">
                  <a16:creationId xmlns:a16="http://schemas.microsoft.com/office/drawing/2014/main" id="{00000000-0008-0000-0800-00005E170000}"/>
                </a:ext>
              </a:extLst>
            </xdr:cNvPr>
            <xdr:cNvGrpSpPr/>
          </xdr:nvGrpSpPr>
          <xdr:grpSpPr>
            <a:xfrm>
              <a:off x="35372431" y="13863096"/>
              <a:ext cx="4109743" cy="2155509"/>
              <a:chOff x="35683185" y="13899364"/>
              <a:chExt cx="4367053" cy="2162182"/>
            </a:xfrm>
          </xdr:grpSpPr>
          <xdr:sp macro="" textlink="">
            <xdr:nvSpPr>
              <xdr:cNvPr id="5459" name="Rectangle: Rounded Corners 5458">
                <a:extLst>
                  <a:ext uri="{FF2B5EF4-FFF2-40B4-BE49-F238E27FC236}">
                    <a16:creationId xmlns:a16="http://schemas.microsoft.com/office/drawing/2014/main" id="{00000000-0008-0000-0800-000053150000}"/>
                  </a:ext>
                </a:extLst>
              </xdr:cNvPr>
              <xdr:cNvSpPr/>
            </xdr:nvSpPr>
            <xdr:spPr>
              <a:xfrm>
                <a:off x="35683185" y="13899364"/>
                <a:ext cx="4367053" cy="2162182"/>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AT6">
            <xdr:nvSpPr>
              <xdr:cNvPr id="5462" name="Rectangle 5461">
                <a:extLst>
                  <a:ext uri="{FF2B5EF4-FFF2-40B4-BE49-F238E27FC236}">
                    <a16:creationId xmlns:a16="http://schemas.microsoft.com/office/drawing/2014/main" id="{00000000-0008-0000-0800-000056150000}"/>
                  </a:ext>
                </a:extLst>
              </xdr:cNvPr>
              <xdr:cNvSpPr/>
            </xdr:nvSpPr>
            <xdr:spPr>
              <a:xfrm>
                <a:off x="36681413" y="13968764"/>
                <a:ext cx="2263012" cy="2187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FDBE451-7190-42C4-88B2-1158FE37EEA3}"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2!AX27">
            <xdr:nvSpPr>
              <xdr:cNvPr id="5465" name="Rectangle 5464">
                <a:extLst>
                  <a:ext uri="{FF2B5EF4-FFF2-40B4-BE49-F238E27FC236}">
                    <a16:creationId xmlns:a16="http://schemas.microsoft.com/office/drawing/2014/main" id="{00000000-0008-0000-0800-000059150000}"/>
                  </a:ext>
                </a:extLst>
              </xdr:cNvPr>
              <xdr:cNvSpPr/>
            </xdr:nvSpPr>
            <xdr:spPr>
              <a:xfrm>
                <a:off x="38246367" y="13999485"/>
                <a:ext cx="698058" cy="2187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8D49E040-E150-49F4-A4FA-7D6833376182}"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2!AW27">
            <xdr:nvSpPr>
              <xdr:cNvPr id="5466" name="Rectangle 5465">
                <a:extLst>
                  <a:ext uri="{FF2B5EF4-FFF2-40B4-BE49-F238E27FC236}">
                    <a16:creationId xmlns:a16="http://schemas.microsoft.com/office/drawing/2014/main" id="{00000000-0008-0000-0800-00005A150000}"/>
                  </a:ext>
                </a:extLst>
              </xdr:cNvPr>
              <xdr:cNvSpPr/>
            </xdr:nvSpPr>
            <xdr:spPr>
              <a:xfrm>
                <a:off x="38944424" y="13999485"/>
                <a:ext cx="847792" cy="2187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4C0DEC2-46EB-4818-B56A-6B4C24B91ADF}"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graphicFrame macro="">
            <xdr:nvGraphicFramePr>
              <xdr:cNvPr id="5525" name="B2CH">
                <a:extLst>
                  <a:ext uri="{FF2B5EF4-FFF2-40B4-BE49-F238E27FC236}">
                    <a16:creationId xmlns:a16="http://schemas.microsoft.com/office/drawing/2014/main" id="{00000000-0008-0000-0800-000095150000}"/>
                  </a:ext>
                </a:extLst>
              </xdr:cNvPr>
              <xdr:cNvGraphicFramePr>
                <a:graphicFrameLocks/>
              </xdr:cNvGraphicFramePr>
            </xdr:nvGraphicFramePr>
            <xdr:xfrm>
              <a:off x="36267929" y="14310036"/>
              <a:ext cx="3650513" cy="1632154"/>
            </xdr:xfrm>
            <a:graphic>
              <a:graphicData uri="http://schemas.openxmlformats.org/drawingml/2006/chart">
                <c:chart xmlns:c="http://schemas.openxmlformats.org/drawingml/2006/chart" xmlns:r="http://schemas.openxmlformats.org/officeDocument/2006/relationships" r:id="rId6"/>
              </a:graphicData>
            </a:graphic>
          </xdr:graphicFrame>
          <xdr:sp macro="" textlink="ControlChart_Budget2!AT22">
            <xdr:nvSpPr>
              <xdr:cNvPr id="5461" name="Rectangle 5460">
                <a:extLst>
                  <a:ext uri="{FF2B5EF4-FFF2-40B4-BE49-F238E27FC236}">
                    <a16:creationId xmlns:a16="http://schemas.microsoft.com/office/drawing/2014/main" id="{00000000-0008-0000-0800-000055150000}"/>
                  </a:ext>
                </a:extLst>
              </xdr:cNvPr>
              <xdr:cNvSpPr/>
            </xdr:nvSpPr>
            <xdr:spPr>
              <a:xfrm>
                <a:off x="36681413" y="15791597"/>
                <a:ext cx="2263012" cy="2210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581B9EB-67A7-4171-8C1D-4E118378A807}" type="TxLink">
                  <a:rPr lang="en-US" sz="1200" b="0" i="0" u="none" strike="noStrike" kern="1200">
                    <a:solidFill>
                      <a:srgbClr val="AADCD7"/>
                    </a:solidFill>
                    <a:latin typeface="Aptos Narrow" panose="020B0004020202020204" pitchFamily="34" charset="0"/>
                    <a:cs typeface="Arial"/>
                  </a:rPr>
                  <a:pPr algn="ctr"/>
                  <a:t>Category3</a:t>
                </a:fld>
                <a:endParaRPr lang="fr-CA" sz="1200" kern="1200">
                  <a:solidFill>
                    <a:srgbClr val="AADCD7"/>
                  </a:solidFill>
                  <a:latin typeface="Aptos Narrow" panose="020B0004020202020204" pitchFamily="34" charset="0"/>
                </a:endParaRPr>
              </a:p>
            </xdr:txBody>
          </xdr:sp>
          <xdr:sp macro="" textlink="ControlChart_Budget2!AT27">
            <xdr:nvSpPr>
              <xdr:cNvPr id="5463" name="Rectangle 5462">
                <a:extLst>
                  <a:ext uri="{FF2B5EF4-FFF2-40B4-BE49-F238E27FC236}">
                    <a16:creationId xmlns:a16="http://schemas.microsoft.com/office/drawing/2014/main" id="{00000000-0008-0000-0800-000057150000}"/>
                  </a:ext>
                </a:extLst>
              </xdr:cNvPr>
              <xdr:cNvSpPr/>
            </xdr:nvSpPr>
            <xdr:spPr>
              <a:xfrm>
                <a:off x="35877730" y="14198115"/>
                <a:ext cx="1923414" cy="2210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F0B8CC0-010C-460D-9E6A-D491EA2A890D}"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2!AV27">
            <xdr:nvSpPr>
              <xdr:cNvPr id="5464" name="Rectangle 5463">
                <a:extLst>
                  <a:ext uri="{FF2B5EF4-FFF2-40B4-BE49-F238E27FC236}">
                    <a16:creationId xmlns:a16="http://schemas.microsoft.com/office/drawing/2014/main" id="{00000000-0008-0000-0800-000058150000}"/>
                  </a:ext>
                </a:extLst>
              </xdr:cNvPr>
              <xdr:cNvSpPr/>
            </xdr:nvSpPr>
            <xdr:spPr>
              <a:xfrm>
                <a:off x="37702824" y="14231280"/>
                <a:ext cx="1339922" cy="2187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6CB9F6D-8076-49F8-868A-9333067ACDA8}"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pic macro="[0]!Chart_Analyse.ShapeAI31">
            <xdr:nvPicPr>
              <xdr:cNvPr id="5961" name="SHA I31" descr="Branching diagram outline">
                <a:extLst>
                  <a:ext uri="{FF2B5EF4-FFF2-40B4-BE49-F238E27FC236}">
                    <a16:creationId xmlns:a16="http://schemas.microsoft.com/office/drawing/2014/main" id="{00000000-0008-0000-0800-000049170000}"/>
                  </a:ext>
                </a:extLst>
              </xdr:cNvPr>
              <xdr:cNvPicPr>
                <a:picLocks/>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35772679" y="14432559"/>
                <a:ext cx="485825" cy="458615"/>
              </a:xfrm>
              <a:prstGeom prst="rect">
                <a:avLst/>
              </a:prstGeom>
            </xdr:spPr>
          </xdr:pic>
          <xdr:pic macro="[0]!Chart_Analyse.ShapeAI33">
            <xdr:nvPicPr>
              <xdr:cNvPr id="5962" name="SHA I33" descr="Arrow circle outline">
                <a:extLst>
                  <a:ext uri="{FF2B5EF4-FFF2-40B4-BE49-F238E27FC236}">
                    <a16:creationId xmlns:a16="http://schemas.microsoft.com/office/drawing/2014/main" id="{00000000-0008-0000-0800-00004A170000}"/>
                  </a:ext>
                </a:extLst>
              </xdr:cNvPr>
              <xdr:cNvPicPr>
                <a:picLocks/>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5772679" y="15371759"/>
                <a:ext cx="485825" cy="458615"/>
              </a:xfrm>
              <a:prstGeom prst="rect">
                <a:avLst/>
              </a:prstGeom>
            </xdr:spPr>
          </xdr:pic>
          <xdr:pic macro="[0]!Chart_Analyse.ShapeAI32">
            <xdr:nvPicPr>
              <xdr:cNvPr id="5963" name="SHA I32" descr="Circular flowchart outline">
                <a:extLst>
                  <a:ext uri="{FF2B5EF4-FFF2-40B4-BE49-F238E27FC236}">
                    <a16:creationId xmlns:a16="http://schemas.microsoft.com/office/drawing/2014/main" id="{00000000-0008-0000-0800-00004B170000}"/>
                  </a:ext>
                </a:extLst>
              </xdr:cNvPr>
              <xdr:cNvPicPr>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5772679" y="14914173"/>
                <a:ext cx="485825" cy="458615"/>
              </a:xfrm>
              <a:prstGeom prst="rect">
                <a:avLst/>
              </a:prstGeom>
            </xdr:spPr>
          </xdr:pic>
        </xdr:grpSp>
        <xdr:grpSp>
          <xdr:nvGrpSpPr>
            <xdr:cNvPr id="5983" name="Group 5982">
              <a:extLst>
                <a:ext uri="{FF2B5EF4-FFF2-40B4-BE49-F238E27FC236}">
                  <a16:creationId xmlns:a16="http://schemas.microsoft.com/office/drawing/2014/main" id="{00000000-0008-0000-0800-00005F170000}"/>
                </a:ext>
              </a:extLst>
            </xdr:cNvPr>
            <xdr:cNvGrpSpPr/>
          </xdr:nvGrpSpPr>
          <xdr:grpSpPr>
            <a:xfrm>
              <a:off x="39626261" y="13863576"/>
              <a:ext cx="4141114" cy="2154549"/>
              <a:chOff x="40157521" y="13921612"/>
              <a:chExt cx="4370090" cy="2161158"/>
            </a:xfrm>
          </xdr:grpSpPr>
          <xdr:sp macro="" textlink="">
            <xdr:nvSpPr>
              <xdr:cNvPr id="5451" name="Rectangle: Rounded Corners 5450">
                <a:extLst>
                  <a:ext uri="{FF2B5EF4-FFF2-40B4-BE49-F238E27FC236}">
                    <a16:creationId xmlns:a16="http://schemas.microsoft.com/office/drawing/2014/main" id="{00000000-0008-0000-0800-00004B150000}"/>
                  </a:ext>
                </a:extLst>
              </xdr:cNvPr>
              <xdr:cNvSpPr/>
            </xdr:nvSpPr>
            <xdr:spPr>
              <a:xfrm>
                <a:off x="40157521" y="13921612"/>
                <a:ext cx="4370090" cy="2161158"/>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AT6">
            <xdr:nvSpPr>
              <xdr:cNvPr id="5454" name="Rectangle 5453">
                <a:extLst>
                  <a:ext uri="{FF2B5EF4-FFF2-40B4-BE49-F238E27FC236}">
                    <a16:creationId xmlns:a16="http://schemas.microsoft.com/office/drawing/2014/main" id="{00000000-0008-0000-0800-00004E150000}"/>
                  </a:ext>
                </a:extLst>
              </xdr:cNvPr>
              <xdr:cNvSpPr/>
            </xdr:nvSpPr>
            <xdr:spPr>
              <a:xfrm>
                <a:off x="41103299" y="13989071"/>
                <a:ext cx="2266437" cy="2184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DE005F0-23F2-4366-86AA-44D4BD6202E0}"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2!AX36">
            <xdr:nvSpPr>
              <xdr:cNvPr id="5457" name="Rectangle 5456">
                <a:extLst>
                  <a:ext uri="{FF2B5EF4-FFF2-40B4-BE49-F238E27FC236}">
                    <a16:creationId xmlns:a16="http://schemas.microsoft.com/office/drawing/2014/main" id="{00000000-0008-0000-0800-000051150000}"/>
                  </a:ext>
                </a:extLst>
              </xdr:cNvPr>
              <xdr:cNvSpPr/>
            </xdr:nvSpPr>
            <xdr:spPr>
              <a:xfrm>
                <a:off x="42670622" y="14019751"/>
                <a:ext cx="699115" cy="2184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CB90BB7-D93E-4EB5-A8A6-25D74E1F2D87}"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2!AW36">
            <xdr:nvSpPr>
              <xdr:cNvPr id="5458" name="Rectangle 5457">
                <a:extLst>
                  <a:ext uri="{FF2B5EF4-FFF2-40B4-BE49-F238E27FC236}">
                    <a16:creationId xmlns:a16="http://schemas.microsoft.com/office/drawing/2014/main" id="{00000000-0008-0000-0800-000052150000}"/>
                  </a:ext>
                </a:extLst>
              </xdr:cNvPr>
              <xdr:cNvSpPr/>
            </xdr:nvSpPr>
            <xdr:spPr>
              <a:xfrm>
                <a:off x="43369735" y="14019751"/>
                <a:ext cx="849075" cy="2184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2AD5EEB0-B48D-4748-AA95-E6E4FC77AAFB}"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graphicFrame macro="">
            <xdr:nvGraphicFramePr>
              <xdr:cNvPr id="5526" name="B2LO">
                <a:extLst>
                  <a:ext uri="{FF2B5EF4-FFF2-40B4-BE49-F238E27FC236}">
                    <a16:creationId xmlns:a16="http://schemas.microsoft.com/office/drawing/2014/main" id="{00000000-0008-0000-0800-000096150000}"/>
                  </a:ext>
                </a:extLst>
              </xdr:cNvPr>
              <xdr:cNvGraphicFramePr>
                <a:graphicFrameLocks/>
              </xdr:cNvGraphicFramePr>
            </xdr:nvGraphicFramePr>
            <xdr:xfrm>
              <a:off x="40792144" y="14323572"/>
              <a:ext cx="3555408" cy="1623345"/>
            </xdr:xfrm>
            <a:graphic>
              <a:graphicData uri="http://schemas.openxmlformats.org/drawingml/2006/chart">
                <c:chart xmlns:c="http://schemas.openxmlformats.org/drawingml/2006/chart" xmlns:r="http://schemas.openxmlformats.org/officeDocument/2006/relationships" r:id="rId13"/>
              </a:graphicData>
            </a:graphic>
          </xdr:graphicFrame>
          <xdr:sp macro="" textlink="ControlChart_Budget2!AT31">
            <xdr:nvSpPr>
              <xdr:cNvPr id="5453" name="Rectangle 5452">
                <a:extLst>
                  <a:ext uri="{FF2B5EF4-FFF2-40B4-BE49-F238E27FC236}">
                    <a16:creationId xmlns:a16="http://schemas.microsoft.com/office/drawing/2014/main" id="{00000000-0008-0000-0800-00004D150000}"/>
                  </a:ext>
                </a:extLst>
              </xdr:cNvPr>
              <xdr:cNvSpPr/>
            </xdr:nvSpPr>
            <xdr:spPr>
              <a:xfrm>
                <a:off x="41103299" y="15809418"/>
                <a:ext cx="2266437" cy="22075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6A6ECF9-C9B8-42C5-B95B-66CA9CB2DDAF}" type="TxLink">
                  <a:rPr lang="en-US" sz="1200" b="0" i="0" u="none" strike="noStrike" kern="1200">
                    <a:solidFill>
                      <a:srgbClr val="AADCD7"/>
                    </a:solidFill>
                    <a:latin typeface="Aptos Narrow" panose="020B0004020202020204" pitchFamily="34" charset="0"/>
                    <a:cs typeface="Arial"/>
                  </a:rPr>
                  <a:pPr algn="ctr"/>
                  <a:t>Category4</a:t>
                </a:fld>
                <a:endParaRPr lang="fr-CA" sz="1200" kern="1200">
                  <a:solidFill>
                    <a:srgbClr val="AADCD7"/>
                  </a:solidFill>
                  <a:latin typeface="Aptos Narrow" panose="020B0004020202020204" pitchFamily="34" charset="0"/>
                </a:endParaRPr>
              </a:p>
            </xdr:txBody>
          </xdr:sp>
          <xdr:sp macro="" textlink="ControlChart_Budget2!AT36">
            <xdr:nvSpPr>
              <xdr:cNvPr id="5455" name="Rectangle 5454">
                <a:extLst>
                  <a:ext uri="{FF2B5EF4-FFF2-40B4-BE49-F238E27FC236}">
                    <a16:creationId xmlns:a16="http://schemas.microsoft.com/office/drawing/2014/main" id="{00000000-0008-0000-0800-00004F150000}"/>
                  </a:ext>
                </a:extLst>
              </xdr:cNvPr>
              <xdr:cNvSpPr/>
            </xdr:nvSpPr>
            <xdr:spPr>
              <a:xfrm>
                <a:off x="40298402" y="14218111"/>
                <a:ext cx="1926324" cy="2207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EC865644-B122-47C5-A589-C4C6F5BF75B7}"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2!AV36">
            <xdr:nvSpPr>
              <xdr:cNvPr id="5456" name="Rectangle 5455">
                <a:extLst>
                  <a:ext uri="{FF2B5EF4-FFF2-40B4-BE49-F238E27FC236}">
                    <a16:creationId xmlns:a16="http://schemas.microsoft.com/office/drawing/2014/main" id="{00000000-0008-0000-0800-000050150000}"/>
                  </a:ext>
                </a:extLst>
              </xdr:cNvPr>
              <xdr:cNvSpPr/>
            </xdr:nvSpPr>
            <xdr:spPr>
              <a:xfrm>
                <a:off x="42126257" y="14251230"/>
                <a:ext cx="1341949" cy="2184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B3C30F72-3446-46AB-B1A0-1BD163853A42}"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pic macro="[0]!Chart_Analyse.ShapeAI41">
            <xdr:nvPicPr>
              <xdr:cNvPr id="5964" name="SHA I41" descr="Branching diagram outline">
                <a:extLst>
                  <a:ext uri="{FF2B5EF4-FFF2-40B4-BE49-F238E27FC236}">
                    <a16:creationId xmlns:a16="http://schemas.microsoft.com/office/drawing/2014/main" id="{00000000-0008-0000-0800-00004C170000}"/>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40284439" y="14410347"/>
                <a:ext cx="482480" cy="458602"/>
              </a:xfrm>
              <a:prstGeom prst="rect">
                <a:avLst/>
              </a:prstGeom>
            </xdr:spPr>
          </xdr:pic>
          <xdr:pic macro="[0]!Chart_Analyse.ShapeAI43">
            <xdr:nvPicPr>
              <xdr:cNvPr id="5965" name="SHA I43" descr="Arrow circle outline">
                <a:extLst>
                  <a:ext uri="{FF2B5EF4-FFF2-40B4-BE49-F238E27FC236}">
                    <a16:creationId xmlns:a16="http://schemas.microsoft.com/office/drawing/2014/main" id="{00000000-0008-0000-0800-00004D170000}"/>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0284439" y="15349534"/>
                <a:ext cx="482480" cy="458602"/>
              </a:xfrm>
              <a:prstGeom prst="rect">
                <a:avLst/>
              </a:prstGeom>
            </xdr:spPr>
          </xdr:pic>
          <xdr:pic macro="[0]!Chart_Analyse.ShapeAI42">
            <xdr:nvPicPr>
              <xdr:cNvPr id="5966" name="SHA I42" descr="Circular flowchart outline">
                <a:extLst>
                  <a:ext uri="{FF2B5EF4-FFF2-40B4-BE49-F238E27FC236}">
                    <a16:creationId xmlns:a16="http://schemas.microsoft.com/office/drawing/2014/main" id="{00000000-0008-0000-0800-00004E170000}"/>
                  </a:ext>
                </a:extLst>
              </xdr:cNvPr>
              <xdr:cNvPicPr>
                <a:picLocks/>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40284439" y="14891948"/>
                <a:ext cx="482480" cy="458602"/>
              </a:xfrm>
              <a:prstGeom prst="rect">
                <a:avLst/>
              </a:prstGeom>
            </xdr:spPr>
          </xdr:pic>
        </xdr:grpSp>
        <xdr:grpSp>
          <xdr:nvGrpSpPr>
            <xdr:cNvPr id="5986" name="Group 5985">
              <a:extLst>
                <a:ext uri="{FF2B5EF4-FFF2-40B4-BE49-F238E27FC236}">
                  <a16:creationId xmlns:a16="http://schemas.microsoft.com/office/drawing/2014/main" id="{00000000-0008-0000-0800-000062170000}"/>
                </a:ext>
              </a:extLst>
            </xdr:cNvPr>
            <xdr:cNvGrpSpPr/>
          </xdr:nvGrpSpPr>
          <xdr:grpSpPr>
            <a:xfrm>
              <a:off x="31092916" y="16116929"/>
              <a:ext cx="4125773" cy="2145644"/>
              <a:chOff x="31230545" y="16114067"/>
              <a:chExt cx="4370089" cy="2146013"/>
            </a:xfrm>
          </xdr:grpSpPr>
          <xdr:sp macro="" textlink="">
            <xdr:nvSpPr>
              <xdr:cNvPr id="5344" name="Rectangle: Rounded Corners 5343">
                <a:extLst>
                  <a:ext uri="{FF2B5EF4-FFF2-40B4-BE49-F238E27FC236}">
                    <a16:creationId xmlns:a16="http://schemas.microsoft.com/office/drawing/2014/main" id="{00000000-0008-0000-0800-0000E0140000}"/>
                  </a:ext>
                </a:extLst>
              </xdr:cNvPr>
              <xdr:cNvSpPr/>
            </xdr:nvSpPr>
            <xdr:spPr>
              <a:xfrm>
                <a:off x="31230545" y="16114067"/>
                <a:ext cx="4370089" cy="2146013"/>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AT6">
            <xdr:nvSpPr>
              <xdr:cNvPr id="5347" name="Rectangle 5346">
                <a:extLst>
                  <a:ext uri="{FF2B5EF4-FFF2-40B4-BE49-F238E27FC236}">
                    <a16:creationId xmlns:a16="http://schemas.microsoft.com/office/drawing/2014/main" id="{00000000-0008-0000-0800-0000E3140000}"/>
                  </a:ext>
                </a:extLst>
              </xdr:cNvPr>
              <xdr:cNvSpPr/>
            </xdr:nvSpPr>
            <xdr:spPr>
              <a:xfrm>
                <a:off x="32352608" y="16172242"/>
                <a:ext cx="2263006" cy="2182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C06F652-1253-4831-866F-ABBC745925BE}"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2!AX63">
            <xdr:nvSpPr>
              <xdr:cNvPr id="5352" name="Rectangle 5351">
                <a:extLst>
                  <a:ext uri="{FF2B5EF4-FFF2-40B4-BE49-F238E27FC236}">
                    <a16:creationId xmlns:a16="http://schemas.microsoft.com/office/drawing/2014/main" id="{00000000-0008-0000-0800-0000E8140000}"/>
                  </a:ext>
                </a:extLst>
              </xdr:cNvPr>
              <xdr:cNvSpPr/>
            </xdr:nvSpPr>
            <xdr:spPr>
              <a:xfrm>
                <a:off x="33917558" y="16202895"/>
                <a:ext cx="698056" cy="2182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FAA8820B-C007-45CD-A536-66E6E00881DF}"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2!AW63">
            <xdr:nvSpPr>
              <xdr:cNvPr id="5353" name="Rectangle 5352">
                <a:extLst>
                  <a:ext uri="{FF2B5EF4-FFF2-40B4-BE49-F238E27FC236}">
                    <a16:creationId xmlns:a16="http://schemas.microsoft.com/office/drawing/2014/main" id="{00000000-0008-0000-0800-0000E9140000}"/>
                  </a:ext>
                </a:extLst>
              </xdr:cNvPr>
              <xdr:cNvSpPr/>
            </xdr:nvSpPr>
            <xdr:spPr>
              <a:xfrm>
                <a:off x="34615613" y="16202895"/>
                <a:ext cx="847789" cy="2182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0A15896-4D85-4682-A754-8BC19396D2ED}"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graphicFrame macro="">
            <xdr:nvGraphicFramePr>
              <xdr:cNvPr id="5527" name="B2VO">
                <a:extLst>
                  <a:ext uri="{FF2B5EF4-FFF2-40B4-BE49-F238E27FC236}">
                    <a16:creationId xmlns:a16="http://schemas.microsoft.com/office/drawing/2014/main" id="{00000000-0008-0000-0800-000097150000}"/>
                  </a:ext>
                </a:extLst>
              </xdr:cNvPr>
              <xdr:cNvGraphicFramePr>
                <a:graphicFrameLocks/>
              </xdr:cNvGraphicFramePr>
            </xdr:nvGraphicFramePr>
            <xdr:xfrm>
              <a:off x="31894793" y="16511578"/>
              <a:ext cx="3534043" cy="1614833"/>
            </xdr:xfrm>
            <a:graphic>
              <a:graphicData uri="http://schemas.openxmlformats.org/drawingml/2006/chart">
                <c:chart xmlns:c="http://schemas.openxmlformats.org/drawingml/2006/chart" xmlns:r="http://schemas.openxmlformats.org/officeDocument/2006/relationships" r:id="rId20"/>
              </a:graphicData>
            </a:graphic>
          </xdr:graphicFrame>
          <xdr:sp macro="" textlink="ControlChart_Budget2!AT58">
            <xdr:nvSpPr>
              <xdr:cNvPr id="5346" name="Rectangle 5345">
                <a:extLst>
                  <a:ext uri="{FF2B5EF4-FFF2-40B4-BE49-F238E27FC236}">
                    <a16:creationId xmlns:a16="http://schemas.microsoft.com/office/drawing/2014/main" id="{00000000-0008-0000-0800-0000E2140000}"/>
                  </a:ext>
                </a:extLst>
              </xdr:cNvPr>
              <xdr:cNvSpPr/>
            </xdr:nvSpPr>
            <xdr:spPr>
              <a:xfrm>
                <a:off x="32352608" y="17990954"/>
                <a:ext cx="2263006" cy="2205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00D9C67-DE8E-452E-B523-8FA22CE9EE82}" type="TxLink">
                  <a:rPr lang="en-US" sz="1200" b="0" i="0" u="none" strike="noStrike" kern="1200">
                    <a:solidFill>
                      <a:srgbClr val="AADCD7"/>
                    </a:solidFill>
                    <a:latin typeface="Aptos Narrow" panose="020B0004020202020204" pitchFamily="34" charset="0"/>
                    <a:cs typeface="Arial"/>
                  </a:rPr>
                  <a:pPr algn="ctr"/>
                  <a:t>Category7</a:t>
                </a:fld>
                <a:endParaRPr lang="fr-CA" sz="1200" kern="1200">
                  <a:solidFill>
                    <a:srgbClr val="AADCD7"/>
                  </a:solidFill>
                  <a:latin typeface="Aptos Narrow" panose="020B0004020202020204" pitchFamily="34" charset="0"/>
                </a:endParaRPr>
              </a:p>
            </xdr:txBody>
          </xdr:sp>
          <xdr:sp macro="" textlink="ControlChart_Budget2!AT63">
            <xdr:nvSpPr>
              <xdr:cNvPr id="5348" name="Rectangle 5347">
                <a:extLst>
                  <a:ext uri="{FF2B5EF4-FFF2-40B4-BE49-F238E27FC236}">
                    <a16:creationId xmlns:a16="http://schemas.microsoft.com/office/drawing/2014/main" id="{00000000-0008-0000-0800-0000E4140000}"/>
                  </a:ext>
                </a:extLst>
              </xdr:cNvPr>
              <xdr:cNvSpPr/>
            </xdr:nvSpPr>
            <xdr:spPr>
              <a:xfrm>
                <a:off x="31548929" y="16401075"/>
                <a:ext cx="1923408" cy="2205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A2B27875-F5D7-4B49-8299-77BF04AED633}"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2!AV63">
            <xdr:nvSpPr>
              <xdr:cNvPr id="5349" name="Rectangle 5348">
                <a:extLst>
                  <a:ext uri="{FF2B5EF4-FFF2-40B4-BE49-F238E27FC236}">
                    <a16:creationId xmlns:a16="http://schemas.microsoft.com/office/drawing/2014/main" id="{00000000-0008-0000-0800-0000E5140000}"/>
                  </a:ext>
                </a:extLst>
              </xdr:cNvPr>
              <xdr:cNvSpPr/>
            </xdr:nvSpPr>
            <xdr:spPr>
              <a:xfrm>
                <a:off x="33374017" y="16434165"/>
                <a:ext cx="1339917" cy="2182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C88D8FB-37D8-47CC-88BF-547525A5951F}"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pic macro="[0]!Chart_Analyse.ShapeAI71">
            <xdr:nvPicPr>
              <xdr:cNvPr id="5967" name="SHA I71" descr="Branching diagram outline">
                <a:extLst>
                  <a:ext uri="{FF2B5EF4-FFF2-40B4-BE49-F238E27FC236}">
                    <a16:creationId xmlns:a16="http://schemas.microsoft.com/office/drawing/2014/main" id="{00000000-0008-0000-0800-00004F170000}"/>
                  </a:ext>
                </a:extLst>
              </xdr:cNvPr>
              <xdr:cNvPicPr>
                <a:picLocks/>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rot="10800000">
                <a:off x="31379255" y="16604008"/>
                <a:ext cx="484274" cy="457279"/>
              </a:xfrm>
              <a:prstGeom prst="rect">
                <a:avLst/>
              </a:prstGeom>
            </xdr:spPr>
          </xdr:pic>
          <xdr:pic macro="[0]!Chart_Analyse.ShapeAI73">
            <xdr:nvPicPr>
              <xdr:cNvPr id="5968" name="SHA I73" descr="Arrow circle outline">
                <a:extLst>
                  <a:ext uri="{FF2B5EF4-FFF2-40B4-BE49-F238E27FC236}">
                    <a16:creationId xmlns:a16="http://schemas.microsoft.com/office/drawing/2014/main" id="{00000000-0008-0000-0800-000050170000}"/>
                  </a:ext>
                </a:extLst>
              </xdr:cNvPr>
              <xdr:cNvPicPr>
                <a:picLocks/>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31379254" y="17541872"/>
                <a:ext cx="484274" cy="457279"/>
              </a:xfrm>
              <a:prstGeom prst="rect">
                <a:avLst/>
              </a:prstGeom>
            </xdr:spPr>
          </xdr:pic>
          <xdr:pic macro="[0]!Chart_Analyse.ShapeAI72">
            <xdr:nvPicPr>
              <xdr:cNvPr id="5969" name="SHA I72" descr="Circular flowchart outline">
                <a:extLst>
                  <a:ext uri="{FF2B5EF4-FFF2-40B4-BE49-F238E27FC236}">
                    <a16:creationId xmlns:a16="http://schemas.microsoft.com/office/drawing/2014/main" id="{00000000-0008-0000-0800-000051170000}"/>
                  </a:ext>
                </a:extLst>
              </xdr:cNvPr>
              <xdr:cNvPicPr>
                <a:picLocks/>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31379254" y="17084286"/>
                <a:ext cx="484274" cy="457279"/>
              </a:xfrm>
              <a:prstGeom prst="rect">
                <a:avLst/>
              </a:prstGeom>
            </xdr:spPr>
          </xdr:pic>
        </xdr:grpSp>
        <xdr:grpSp>
          <xdr:nvGrpSpPr>
            <xdr:cNvPr id="5987" name="Group 5986">
              <a:extLst>
                <a:ext uri="{FF2B5EF4-FFF2-40B4-BE49-F238E27FC236}">
                  <a16:creationId xmlns:a16="http://schemas.microsoft.com/office/drawing/2014/main" id="{00000000-0008-0000-0800-000063170000}"/>
                </a:ext>
              </a:extLst>
            </xdr:cNvPr>
            <xdr:cNvGrpSpPr/>
          </xdr:nvGrpSpPr>
          <xdr:grpSpPr>
            <a:xfrm>
              <a:off x="35342580" y="16116929"/>
              <a:ext cx="4166473" cy="2145644"/>
              <a:chOff x="35700784" y="16128149"/>
              <a:chExt cx="4357541" cy="2146013"/>
            </a:xfrm>
          </xdr:grpSpPr>
          <xdr:sp macro="" textlink="">
            <xdr:nvSpPr>
              <xdr:cNvPr id="5356" name="Rectangle: Rounded Corners 5355">
                <a:extLst>
                  <a:ext uri="{FF2B5EF4-FFF2-40B4-BE49-F238E27FC236}">
                    <a16:creationId xmlns:a16="http://schemas.microsoft.com/office/drawing/2014/main" id="{00000000-0008-0000-0800-0000EC140000}"/>
                  </a:ext>
                </a:extLst>
              </xdr:cNvPr>
              <xdr:cNvSpPr/>
            </xdr:nvSpPr>
            <xdr:spPr>
              <a:xfrm>
                <a:off x="35700784" y="16128149"/>
                <a:ext cx="4357541" cy="2146013"/>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AT6">
            <xdr:nvSpPr>
              <xdr:cNvPr id="5360" name="Rectangle 5359">
                <a:extLst>
                  <a:ext uri="{FF2B5EF4-FFF2-40B4-BE49-F238E27FC236}">
                    <a16:creationId xmlns:a16="http://schemas.microsoft.com/office/drawing/2014/main" id="{00000000-0008-0000-0800-0000F0140000}"/>
                  </a:ext>
                </a:extLst>
              </xdr:cNvPr>
              <xdr:cNvSpPr/>
            </xdr:nvSpPr>
            <xdr:spPr>
              <a:xfrm>
                <a:off x="36728200" y="16171466"/>
                <a:ext cx="2263034" cy="2182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812E6A1-BA8B-467B-8372-AF2266656DEE}"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2!AX45">
            <xdr:nvSpPr>
              <xdr:cNvPr id="5441" name="Rectangle 5440">
                <a:extLst>
                  <a:ext uri="{FF2B5EF4-FFF2-40B4-BE49-F238E27FC236}">
                    <a16:creationId xmlns:a16="http://schemas.microsoft.com/office/drawing/2014/main" id="{00000000-0008-0000-0800-000041150000}"/>
                  </a:ext>
                </a:extLst>
              </xdr:cNvPr>
              <xdr:cNvSpPr/>
            </xdr:nvSpPr>
            <xdr:spPr>
              <a:xfrm>
                <a:off x="38293168" y="16202119"/>
                <a:ext cx="698065" cy="2182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5BF812C-C631-43CD-A5FC-7980B40937BF}"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2!AW45">
            <xdr:nvSpPr>
              <xdr:cNvPr id="5442" name="Rectangle 5441">
                <a:extLst>
                  <a:ext uri="{FF2B5EF4-FFF2-40B4-BE49-F238E27FC236}">
                    <a16:creationId xmlns:a16="http://schemas.microsoft.com/office/drawing/2014/main" id="{00000000-0008-0000-0800-000042150000}"/>
                  </a:ext>
                </a:extLst>
              </xdr:cNvPr>
              <xdr:cNvSpPr/>
            </xdr:nvSpPr>
            <xdr:spPr>
              <a:xfrm>
                <a:off x="38991233" y="16202119"/>
                <a:ext cx="847799" cy="2182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710C6EC-6B50-49BB-B618-40248F0225A7}"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graphicFrame macro="">
            <xdr:nvGraphicFramePr>
              <xdr:cNvPr id="5528" name="B2NE">
                <a:extLst>
                  <a:ext uri="{FF2B5EF4-FFF2-40B4-BE49-F238E27FC236}">
                    <a16:creationId xmlns:a16="http://schemas.microsoft.com/office/drawing/2014/main" id="{00000000-0008-0000-0800-000098150000}"/>
                  </a:ext>
                </a:extLst>
              </xdr:cNvPr>
              <xdr:cNvGraphicFramePr>
                <a:graphicFrameLocks/>
              </xdr:cNvGraphicFramePr>
            </xdr:nvGraphicFramePr>
            <xdr:xfrm>
              <a:off x="36307835" y="16537997"/>
              <a:ext cx="3591993" cy="1588252"/>
            </xdr:xfrm>
            <a:graphic>
              <a:graphicData uri="http://schemas.openxmlformats.org/drawingml/2006/chart">
                <c:chart xmlns:c="http://schemas.openxmlformats.org/drawingml/2006/chart" xmlns:r="http://schemas.openxmlformats.org/officeDocument/2006/relationships" r:id="rId27"/>
              </a:graphicData>
            </a:graphic>
          </xdr:graphicFrame>
          <xdr:sp macro="" textlink="ControlChart_Budget2!AT40">
            <xdr:nvSpPr>
              <xdr:cNvPr id="5358" name="Rectangle 5357">
                <a:extLst>
                  <a:ext uri="{FF2B5EF4-FFF2-40B4-BE49-F238E27FC236}">
                    <a16:creationId xmlns:a16="http://schemas.microsoft.com/office/drawing/2014/main" id="{00000000-0008-0000-0800-0000EE140000}"/>
                  </a:ext>
                </a:extLst>
              </xdr:cNvPr>
              <xdr:cNvSpPr/>
            </xdr:nvSpPr>
            <xdr:spPr>
              <a:xfrm>
                <a:off x="36728200" y="17990179"/>
                <a:ext cx="2263034" cy="2205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7C8131A-1ED2-424D-821B-094B77E37550}" type="TxLink">
                  <a:rPr lang="en-US" sz="1200" b="0" i="0" u="none" strike="noStrike" kern="1200">
                    <a:solidFill>
                      <a:srgbClr val="AADCD7"/>
                    </a:solidFill>
                    <a:latin typeface="Aptos Narrow" panose="020B0004020202020204" pitchFamily="34" charset="0"/>
                    <a:cs typeface="Arial"/>
                  </a:rPr>
                  <a:pPr algn="ctr"/>
                  <a:t>Category5</a:t>
                </a:fld>
                <a:endParaRPr lang="fr-CA" sz="1200" kern="1200">
                  <a:solidFill>
                    <a:srgbClr val="AADCD7"/>
                  </a:solidFill>
                  <a:latin typeface="Aptos Narrow" panose="020B0004020202020204" pitchFamily="34" charset="0"/>
                </a:endParaRPr>
              </a:p>
            </xdr:txBody>
          </xdr:sp>
          <xdr:sp macro="" textlink="ControlChart_Budget2!AT45">
            <xdr:nvSpPr>
              <xdr:cNvPr id="5364" name="Rectangle 5363">
                <a:extLst>
                  <a:ext uri="{FF2B5EF4-FFF2-40B4-BE49-F238E27FC236}">
                    <a16:creationId xmlns:a16="http://schemas.microsoft.com/office/drawing/2014/main" id="{00000000-0008-0000-0800-0000F4140000}"/>
                  </a:ext>
                </a:extLst>
              </xdr:cNvPr>
              <xdr:cNvSpPr/>
            </xdr:nvSpPr>
            <xdr:spPr>
              <a:xfrm>
                <a:off x="35924509" y="16400300"/>
                <a:ext cx="1923433" cy="2205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AE0622-1156-4B9D-9739-B77F304A0187}"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2!AV45">
            <xdr:nvSpPr>
              <xdr:cNvPr id="5440" name="Rectangle 5439">
                <a:extLst>
                  <a:ext uri="{FF2B5EF4-FFF2-40B4-BE49-F238E27FC236}">
                    <a16:creationId xmlns:a16="http://schemas.microsoft.com/office/drawing/2014/main" id="{00000000-0008-0000-0800-000040150000}"/>
                  </a:ext>
                </a:extLst>
              </xdr:cNvPr>
              <xdr:cNvSpPr/>
            </xdr:nvSpPr>
            <xdr:spPr>
              <a:xfrm>
                <a:off x="37749621" y="16433389"/>
                <a:ext cx="1339934" cy="2182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3D88E8E-39BE-4B31-B8BD-44E6DB22C597}"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pic macro="[0]!Chart_Analyse.ShapeAI51">
            <xdr:nvPicPr>
              <xdr:cNvPr id="5970" name="SHA I51" descr="Branching diagram outline">
                <a:extLst>
                  <a:ext uri="{FF2B5EF4-FFF2-40B4-BE49-F238E27FC236}">
                    <a16:creationId xmlns:a16="http://schemas.microsoft.com/office/drawing/2014/main" id="{00000000-0008-0000-0800-000052170000}"/>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8"/>
                  </a:ext>
                </a:extLst>
              </a:blip>
              <a:stretch>
                <a:fillRect/>
              </a:stretch>
            </xdr:blipFill>
            <xdr:spPr>
              <a:xfrm rot="10800000">
                <a:off x="35797145" y="16597659"/>
                <a:ext cx="478166" cy="457279"/>
              </a:xfrm>
              <a:prstGeom prst="rect">
                <a:avLst/>
              </a:prstGeom>
            </xdr:spPr>
          </xdr:pic>
          <xdr:pic macro="[0]!Chart_Analyse.ShapeAI53">
            <xdr:nvPicPr>
              <xdr:cNvPr id="5971" name="SHA I53" descr="Arrow circle outline">
                <a:extLst>
                  <a:ext uri="{FF2B5EF4-FFF2-40B4-BE49-F238E27FC236}">
                    <a16:creationId xmlns:a16="http://schemas.microsoft.com/office/drawing/2014/main" id="{00000000-0008-0000-0800-000053170000}"/>
                  </a:ext>
                </a:extLst>
              </xdr:cNvPr>
              <xdr:cNvPicPr>
                <a:picLocks/>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797145" y="17535523"/>
                <a:ext cx="478166" cy="457279"/>
              </a:xfrm>
              <a:prstGeom prst="rect">
                <a:avLst/>
              </a:prstGeom>
            </xdr:spPr>
          </xdr:pic>
          <xdr:pic macro="[0]!Chart_Analyse.ShapeAI52">
            <xdr:nvPicPr>
              <xdr:cNvPr id="5972" name="SHA I52" descr="Circular flowchart outline">
                <a:extLst>
                  <a:ext uri="{FF2B5EF4-FFF2-40B4-BE49-F238E27FC236}">
                    <a16:creationId xmlns:a16="http://schemas.microsoft.com/office/drawing/2014/main" id="{00000000-0008-0000-0800-000054170000}"/>
                  </a:ext>
                </a:extLst>
              </xdr:cNvPr>
              <xdr:cNvPicPr>
                <a:picLocks/>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35797145" y="17077937"/>
                <a:ext cx="478166" cy="457279"/>
              </a:xfrm>
              <a:prstGeom prst="rect">
                <a:avLst/>
              </a:prstGeom>
            </xdr:spPr>
          </xdr:pic>
        </xdr:grpSp>
        <xdr:grpSp>
          <xdr:nvGrpSpPr>
            <xdr:cNvPr id="5988" name="Group 5987">
              <a:extLst>
                <a:ext uri="{FF2B5EF4-FFF2-40B4-BE49-F238E27FC236}">
                  <a16:creationId xmlns:a16="http://schemas.microsoft.com/office/drawing/2014/main" id="{00000000-0008-0000-0800-000064170000}"/>
                </a:ext>
              </a:extLst>
            </xdr:cNvPr>
            <xdr:cNvGrpSpPr/>
          </xdr:nvGrpSpPr>
          <xdr:grpSpPr>
            <a:xfrm>
              <a:off x="39652161" y="16127755"/>
              <a:ext cx="4139027" cy="2160245"/>
              <a:chOff x="40160343" y="16148858"/>
              <a:chExt cx="4370090" cy="2138084"/>
            </a:xfrm>
          </xdr:grpSpPr>
          <xdr:sp macro="" textlink="">
            <xdr:nvSpPr>
              <xdr:cNvPr id="5443" name="Rectangle: Rounded Corners 5442">
                <a:extLst>
                  <a:ext uri="{FF2B5EF4-FFF2-40B4-BE49-F238E27FC236}">
                    <a16:creationId xmlns:a16="http://schemas.microsoft.com/office/drawing/2014/main" id="{00000000-0008-0000-0800-000043150000}"/>
                  </a:ext>
                </a:extLst>
              </xdr:cNvPr>
              <xdr:cNvSpPr/>
            </xdr:nvSpPr>
            <xdr:spPr>
              <a:xfrm>
                <a:off x="40160343" y="16148858"/>
                <a:ext cx="4370090" cy="2138084"/>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AT6">
            <xdr:nvSpPr>
              <xdr:cNvPr id="5446" name="Rectangle 5445">
                <a:extLst>
                  <a:ext uri="{FF2B5EF4-FFF2-40B4-BE49-F238E27FC236}">
                    <a16:creationId xmlns:a16="http://schemas.microsoft.com/office/drawing/2014/main" id="{00000000-0008-0000-0800-000046150000}"/>
                  </a:ext>
                </a:extLst>
              </xdr:cNvPr>
              <xdr:cNvSpPr/>
            </xdr:nvSpPr>
            <xdr:spPr>
              <a:xfrm>
                <a:off x="41160071" y="16190405"/>
                <a:ext cx="2266437" cy="2184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FD0E51B-3FCD-4090-86B6-ADB814900C16}"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2!AX54">
            <xdr:nvSpPr>
              <xdr:cNvPr id="5449" name="Rectangle 5448">
                <a:extLst>
                  <a:ext uri="{FF2B5EF4-FFF2-40B4-BE49-F238E27FC236}">
                    <a16:creationId xmlns:a16="http://schemas.microsoft.com/office/drawing/2014/main" id="{00000000-0008-0000-0800-000049150000}"/>
                  </a:ext>
                </a:extLst>
              </xdr:cNvPr>
              <xdr:cNvSpPr/>
            </xdr:nvSpPr>
            <xdr:spPr>
              <a:xfrm>
                <a:off x="42727393" y="16221081"/>
                <a:ext cx="699115" cy="2184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EC666BD-6C61-4E26-8B57-0913CBB252A8}"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2!AW54">
            <xdr:nvSpPr>
              <xdr:cNvPr id="5450" name="Rectangle 5449">
                <a:extLst>
                  <a:ext uri="{FF2B5EF4-FFF2-40B4-BE49-F238E27FC236}">
                    <a16:creationId xmlns:a16="http://schemas.microsoft.com/office/drawing/2014/main" id="{00000000-0008-0000-0800-00004A150000}"/>
                  </a:ext>
                </a:extLst>
              </xdr:cNvPr>
              <xdr:cNvSpPr/>
            </xdr:nvSpPr>
            <xdr:spPr>
              <a:xfrm>
                <a:off x="43426506" y="16221081"/>
                <a:ext cx="849075" cy="2184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A7774AA-B490-4F41-B5B8-A6C9C01E7AA3}"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graphicFrame macro="">
            <xdr:nvGraphicFramePr>
              <xdr:cNvPr id="5529" name="B2SE">
                <a:extLst>
                  <a:ext uri="{FF2B5EF4-FFF2-40B4-BE49-F238E27FC236}">
                    <a16:creationId xmlns:a16="http://schemas.microsoft.com/office/drawing/2014/main" id="{00000000-0008-0000-0800-000099150000}"/>
                  </a:ext>
                </a:extLst>
              </xdr:cNvPr>
              <xdr:cNvGraphicFramePr>
                <a:graphicFrameLocks/>
              </xdr:cNvGraphicFramePr>
            </xdr:nvGraphicFramePr>
            <xdr:xfrm>
              <a:off x="40776315" y="16550086"/>
              <a:ext cx="3571255" cy="1595869"/>
            </xdr:xfrm>
            <a:graphic>
              <a:graphicData uri="http://schemas.openxmlformats.org/drawingml/2006/chart">
                <c:chart xmlns:c="http://schemas.openxmlformats.org/drawingml/2006/chart" xmlns:r="http://schemas.openxmlformats.org/officeDocument/2006/relationships" r:id="rId33"/>
              </a:graphicData>
            </a:graphic>
          </xdr:graphicFrame>
          <xdr:sp macro="" textlink="ControlChart_Budget2!AT49">
            <xdr:nvSpPr>
              <xdr:cNvPr id="5445" name="Rectangle 5444">
                <a:extLst>
                  <a:ext uri="{FF2B5EF4-FFF2-40B4-BE49-F238E27FC236}">
                    <a16:creationId xmlns:a16="http://schemas.microsoft.com/office/drawing/2014/main" id="{00000000-0008-0000-0800-000045150000}"/>
                  </a:ext>
                </a:extLst>
              </xdr:cNvPr>
              <xdr:cNvSpPr/>
            </xdr:nvSpPr>
            <xdr:spPr>
              <a:xfrm>
                <a:off x="41160071" y="18010565"/>
                <a:ext cx="2266437" cy="2207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6DAC0F0-D202-4BD2-9568-61D05BC2D7CE}" type="TxLink">
                  <a:rPr lang="en-US" sz="1200" b="0" i="0" u="none" strike="noStrike" kern="1200">
                    <a:solidFill>
                      <a:srgbClr val="AADCD7"/>
                    </a:solidFill>
                    <a:latin typeface="Aptos Narrow" panose="020B0004020202020204" pitchFamily="34" charset="0"/>
                    <a:cs typeface="Arial"/>
                  </a:rPr>
                  <a:pPr algn="ctr"/>
                  <a:t>Category6</a:t>
                </a:fld>
                <a:endParaRPr lang="fr-CA" sz="1200" kern="1200">
                  <a:solidFill>
                    <a:srgbClr val="AADCD7"/>
                  </a:solidFill>
                  <a:latin typeface="Aptos Narrow" panose="020B0004020202020204" pitchFamily="34" charset="0"/>
                </a:endParaRPr>
              </a:p>
            </xdr:txBody>
          </xdr:sp>
          <xdr:sp macro="" textlink="ControlChart_Budget2!AT54">
            <xdr:nvSpPr>
              <xdr:cNvPr id="5447" name="Rectangle 5446">
                <a:extLst>
                  <a:ext uri="{FF2B5EF4-FFF2-40B4-BE49-F238E27FC236}">
                    <a16:creationId xmlns:a16="http://schemas.microsoft.com/office/drawing/2014/main" id="{00000000-0008-0000-0800-000047150000}"/>
                  </a:ext>
                </a:extLst>
              </xdr:cNvPr>
              <xdr:cNvSpPr/>
            </xdr:nvSpPr>
            <xdr:spPr>
              <a:xfrm>
                <a:off x="40355173" y="16419420"/>
                <a:ext cx="1926324" cy="22073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81D1C8EE-03A0-4B9C-92C1-C8E87396BD15}"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2!AV54">
            <xdr:nvSpPr>
              <xdr:cNvPr id="5448" name="Rectangle 5447">
                <a:extLst>
                  <a:ext uri="{FF2B5EF4-FFF2-40B4-BE49-F238E27FC236}">
                    <a16:creationId xmlns:a16="http://schemas.microsoft.com/office/drawing/2014/main" id="{00000000-0008-0000-0800-000048150000}"/>
                  </a:ext>
                </a:extLst>
              </xdr:cNvPr>
              <xdr:cNvSpPr/>
            </xdr:nvSpPr>
            <xdr:spPr>
              <a:xfrm>
                <a:off x="42183028" y="16452537"/>
                <a:ext cx="1341949" cy="21847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BAAD98A2-C4EC-433F-99EA-76068C017233}"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pic macro="[0]!Chart_Analyse.ShapeAI61">
            <xdr:nvPicPr>
              <xdr:cNvPr id="5973" name="SHA I61" descr="Branching diagram outline">
                <a:extLst>
                  <a:ext uri="{FF2B5EF4-FFF2-40B4-BE49-F238E27FC236}">
                    <a16:creationId xmlns:a16="http://schemas.microsoft.com/office/drawing/2014/main" id="{00000000-0008-0000-0800-000055170000}"/>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8"/>
                  </a:ext>
                </a:extLst>
              </a:blip>
              <a:stretch>
                <a:fillRect/>
              </a:stretch>
            </xdr:blipFill>
            <xdr:spPr>
              <a:xfrm rot="10800000">
                <a:off x="40265268" y="16643703"/>
                <a:ext cx="482723" cy="452510"/>
              </a:xfrm>
              <a:prstGeom prst="rect">
                <a:avLst/>
              </a:prstGeom>
            </xdr:spPr>
          </xdr:pic>
          <xdr:pic macro="[0]!Chart_Analyse.ShapeAI63">
            <xdr:nvPicPr>
              <xdr:cNvPr id="5974" name="SHA I63" descr="Arrow circle outline">
                <a:extLst>
                  <a:ext uri="{FF2B5EF4-FFF2-40B4-BE49-F238E27FC236}">
                    <a16:creationId xmlns:a16="http://schemas.microsoft.com/office/drawing/2014/main" id="{00000000-0008-0000-0800-000056170000}"/>
                  </a:ext>
                </a:extLst>
              </xdr:cNvPr>
              <xdr:cNvPicPr>
                <a:picLocks/>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0265268" y="17576799"/>
                <a:ext cx="482723" cy="452439"/>
              </a:xfrm>
              <a:prstGeom prst="rect">
                <a:avLst/>
              </a:prstGeom>
            </xdr:spPr>
          </xdr:pic>
          <xdr:pic macro="[0]!Chart_Analyse.ShapeAI62">
            <xdr:nvPicPr>
              <xdr:cNvPr id="5975" name="SHA I62" descr="Circular flowchart outline">
                <a:extLst>
                  <a:ext uri="{FF2B5EF4-FFF2-40B4-BE49-F238E27FC236}">
                    <a16:creationId xmlns:a16="http://schemas.microsoft.com/office/drawing/2014/main" id="{00000000-0008-0000-0800-000057170000}"/>
                  </a:ext>
                </a:extLst>
              </xdr:cNvPr>
              <xdr:cNvPicPr>
                <a:picLocks/>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40265268" y="17119211"/>
                <a:ext cx="482723" cy="452510"/>
              </a:xfrm>
              <a:prstGeom prst="rect">
                <a:avLst/>
              </a:prstGeom>
            </xdr:spPr>
          </xdr:pic>
        </xdr:grpSp>
        <xdr:grpSp>
          <xdr:nvGrpSpPr>
            <xdr:cNvPr id="5989" name="Group 5988">
              <a:extLst>
                <a:ext uri="{FF2B5EF4-FFF2-40B4-BE49-F238E27FC236}">
                  <a16:creationId xmlns:a16="http://schemas.microsoft.com/office/drawing/2014/main" id="{00000000-0008-0000-0800-000065170000}"/>
                </a:ext>
              </a:extLst>
            </xdr:cNvPr>
            <xdr:cNvGrpSpPr/>
          </xdr:nvGrpSpPr>
          <xdr:grpSpPr>
            <a:xfrm>
              <a:off x="39644285" y="18446750"/>
              <a:ext cx="4170715" cy="2420938"/>
              <a:chOff x="40165834" y="18362546"/>
              <a:chExt cx="4359112" cy="2119409"/>
            </a:xfrm>
          </xdr:grpSpPr>
          <xdr:sp macro="" textlink="">
            <xdr:nvSpPr>
              <xdr:cNvPr id="5475" name="Rectangle: Rounded Corners 5474">
                <a:extLst>
                  <a:ext uri="{FF2B5EF4-FFF2-40B4-BE49-F238E27FC236}">
                    <a16:creationId xmlns:a16="http://schemas.microsoft.com/office/drawing/2014/main" id="{00000000-0008-0000-0800-000063150000}"/>
                  </a:ext>
                </a:extLst>
              </xdr:cNvPr>
              <xdr:cNvSpPr/>
            </xdr:nvSpPr>
            <xdr:spPr>
              <a:xfrm>
                <a:off x="40165834" y="18362546"/>
                <a:ext cx="4359112" cy="2119409"/>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AT6">
            <xdr:nvSpPr>
              <xdr:cNvPr id="5478" name="Rectangle 5477">
                <a:extLst>
                  <a:ext uri="{FF2B5EF4-FFF2-40B4-BE49-F238E27FC236}">
                    <a16:creationId xmlns:a16="http://schemas.microsoft.com/office/drawing/2014/main" id="{00000000-0008-0000-0800-000066150000}"/>
                  </a:ext>
                </a:extLst>
              </xdr:cNvPr>
              <xdr:cNvSpPr/>
            </xdr:nvSpPr>
            <xdr:spPr>
              <a:xfrm>
                <a:off x="41183261" y="18386499"/>
                <a:ext cx="2266471" cy="21844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C6D64C14-FBA6-4827-985C-AE4464BCC9B6}"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2!AX8">
            <xdr:nvSpPr>
              <xdr:cNvPr id="5481" name="Rectangle 5480">
                <a:extLst>
                  <a:ext uri="{FF2B5EF4-FFF2-40B4-BE49-F238E27FC236}">
                    <a16:creationId xmlns:a16="http://schemas.microsoft.com/office/drawing/2014/main" id="{00000000-0008-0000-0800-000069150000}"/>
                  </a:ext>
                </a:extLst>
              </xdr:cNvPr>
              <xdr:cNvSpPr/>
            </xdr:nvSpPr>
            <xdr:spPr>
              <a:xfrm>
                <a:off x="42750607" y="18417173"/>
                <a:ext cx="699125" cy="21844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81E2D29-1B3F-4E8F-9540-23796EB77E77}"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2!AW8">
            <xdr:nvSpPr>
              <xdr:cNvPr id="5482" name="Rectangle 5481">
                <a:extLst>
                  <a:ext uri="{FF2B5EF4-FFF2-40B4-BE49-F238E27FC236}">
                    <a16:creationId xmlns:a16="http://schemas.microsoft.com/office/drawing/2014/main" id="{00000000-0008-0000-0800-00006A150000}"/>
                  </a:ext>
                </a:extLst>
              </xdr:cNvPr>
              <xdr:cNvSpPr/>
            </xdr:nvSpPr>
            <xdr:spPr>
              <a:xfrm>
                <a:off x="43449731" y="18417173"/>
                <a:ext cx="849087" cy="21844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A1CC7FD-192B-4248-AC2A-4D821B0088F6}"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graphicFrame macro="">
            <xdr:nvGraphicFramePr>
              <xdr:cNvPr id="5530" name="B2AB">
                <a:extLst>
                  <a:ext uri="{FF2B5EF4-FFF2-40B4-BE49-F238E27FC236}">
                    <a16:creationId xmlns:a16="http://schemas.microsoft.com/office/drawing/2014/main" id="{00000000-0008-0000-0800-00009A150000}"/>
                  </a:ext>
                </a:extLst>
              </xdr:cNvPr>
              <xdr:cNvGraphicFramePr>
                <a:graphicFrameLocks/>
              </xdr:cNvGraphicFramePr>
            </xdr:nvGraphicFramePr>
            <xdr:xfrm>
              <a:off x="40736700" y="18744768"/>
              <a:ext cx="3638837" cy="1588478"/>
            </xdr:xfrm>
            <a:graphic>
              <a:graphicData uri="http://schemas.openxmlformats.org/drawingml/2006/chart">
                <c:chart xmlns:c="http://schemas.openxmlformats.org/drawingml/2006/chart" xmlns:r="http://schemas.openxmlformats.org/officeDocument/2006/relationships" r:id="rId36"/>
              </a:graphicData>
            </a:graphic>
          </xdr:graphicFrame>
          <xdr:sp macro="" textlink="ControlChart_Budget2!AT3">
            <xdr:nvSpPr>
              <xdr:cNvPr id="5477" name="Rectangle 5476">
                <a:extLst>
                  <a:ext uri="{FF2B5EF4-FFF2-40B4-BE49-F238E27FC236}">
                    <a16:creationId xmlns:a16="http://schemas.microsoft.com/office/drawing/2014/main" id="{00000000-0008-0000-0800-000065150000}"/>
                  </a:ext>
                </a:extLst>
              </xdr:cNvPr>
              <xdr:cNvSpPr/>
            </xdr:nvSpPr>
            <xdr:spPr>
              <a:xfrm>
                <a:off x="41183261" y="20206463"/>
                <a:ext cx="2266471" cy="2207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D77AA74-2E42-452C-8390-7C643E5BBFB8}" type="TxLink">
                  <a:rPr lang="en-US" sz="1200" b="0" i="0" u="none" strike="noStrike" kern="1200">
                    <a:solidFill>
                      <a:srgbClr val="AADCD7"/>
                    </a:solidFill>
                    <a:latin typeface="Aptos Narrow" panose="020B0004020202020204" pitchFamily="34" charset="0"/>
                    <a:cs typeface="Arial"/>
                  </a:rPr>
                  <a:pPr algn="ctr"/>
                  <a:t>Category1</a:t>
                </a:fld>
                <a:endParaRPr lang="fr-CA" sz="1200" kern="1200">
                  <a:solidFill>
                    <a:srgbClr val="AADCD7"/>
                  </a:solidFill>
                  <a:latin typeface="Aptos Narrow" panose="020B0004020202020204" pitchFamily="34" charset="0"/>
                </a:endParaRPr>
              </a:p>
            </xdr:txBody>
          </xdr:sp>
          <xdr:sp macro="" textlink="ControlChart_Budget2!AT8">
            <xdr:nvSpPr>
              <xdr:cNvPr id="5479" name="Rectangle 5478">
                <a:extLst>
                  <a:ext uri="{FF2B5EF4-FFF2-40B4-BE49-F238E27FC236}">
                    <a16:creationId xmlns:a16="http://schemas.microsoft.com/office/drawing/2014/main" id="{00000000-0008-0000-0800-000067150000}"/>
                  </a:ext>
                </a:extLst>
              </xdr:cNvPr>
              <xdr:cNvSpPr/>
            </xdr:nvSpPr>
            <xdr:spPr>
              <a:xfrm>
                <a:off x="40378350" y="18615489"/>
                <a:ext cx="1926354" cy="2207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412CD66-AD4A-4064-8F94-627466354332}"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2!AV8">
            <xdr:nvSpPr>
              <xdr:cNvPr id="5480" name="Rectangle 5479">
                <a:extLst>
                  <a:ext uri="{FF2B5EF4-FFF2-40B4-BE49-F238E27FC236}">
                    <a16:creationId xmlns:a16="http://schemas.microsoft.com/office/drawing/2014/main" id="{00000000-0008-0000-0800-000068150000}"/>
                  </a:ext>
                </a:extLst>
              </xdr:cNvPr>
              <xdr:cNvSpPr/>
            </xdr:nvSpPr>
            <xdr:spPr>
              <a:xfrm>
                <a:off x="42206233" y="18648602"/>
                <a:ext cx="1341970" cy="2184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50AC9DC-3740-4AC5-8EE3-25055E236F36}"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pic macro="[0]!Chart_Analyse.ShapeAI11">
            <xdr:nvPicPr>
              <xdr:cNvPr id="5976" name="SHA I11" descr="Branching diagram outline">
                <a:extLst>
                  <a:ext uri="{FF2B5EF4-FFF2-40B4-BE49-F238E27FC236}">
                    <a16:creationId xmlns:a16="http://schemas.microsoft.com/office/drawing/2014/main" id="{00000000-0008-0000-0800-000058170000}"/>
                  </a:ext>
                </a:extLst>
              </xdr:cNvPr>
              <xdr:cNvPicPr>
                <a:picLocks/>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rot="10800000">
                <a:off x="40278095" y="18915535"/>
                <a:ext cx="476122" cy="380952"/>
              </a:xfrm>
              <a:prstGeom prst="rect">
                <a:avLst/>
              </a:prstGeom>
            </xdr:spPr>
          </xdr:pic>
          <xdr:pic macro="[0]!Chart_Analyse.ShapeAI13">
            <xdr:nvPicPr>
              <xdr:cNvPr id="5977" name="SHA I13" descr="Arrow circle outline">
                <a:extLst>
                  <a:ext uri="{FF2B5EF4-FFF2-40B4-BE49-F238E27FC236}">
                    <a16:creationId xmlns:a16="http://schemas.microsoft.com/office/drawing/2014/main" id="{00000000-0008-0000-0800-000059170000}"/>
                  </a:ext>
                </a:extLst>
              </xdr:cNvPr>
              <xdr:cNvPicPr>
                <a:picLocks/>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40278095" y="19777074"/>
                <a:ext cx="476122" cy="380952"/>
              </a:xfrm>
              <a:prstGeom prst="rect">
                <a:avLst/>
              </a:prstGeom>
            </xdr:spPr>
          </xdr:pic>
          <xdr:pic macro="[0]!Chart_Analyse.ShapeAI12">
            <xdr:nvPicPr>
              <xdr:cNvPr id="5978" name="SHA I12" descr="Circular flowchart outline">
                <a:extLst>
                  <a:ext uri="{FF2B5EF4-FFF2-40B4-BE49-F238E27FC236}">
                    <a16:creationId xmlns:a16="http://schemas.microsoft.com/office/drawing/2014/main" id="{00000000-0008-0000-0800-00005A170000}"/>
                  </a:ext>
                </a:extLst>
              </xdr:cNvPr>
              <xdr:cNvPicPr>
                <a:picLocks/>
              </xdr:cNvPicPr>
            </xdr:nvPicPr>
            <xdr:blipFill>
              <a:blip xmlns:r="http://schemas.openxmlformats.org/officeDocument/2006/relationships" r:embed="rId41">
                <a:extLst>
                  <a:ext uri="{96DAC541-7B7A-43D3-8B79-37D633B846F1}">
                    <asvg:svgBlip xmlns:asvg="http://schemas.microsoft.com/office/drawing/2016/SVG/main" r:embed="rId42"/>
                  </a:ext>
                </a:extLst>
              </a:blip>
              <a:stretch>
                <a:fillRect/>
              </a:stretch>
            </xdr:blipFill>
            <xdr:spPr>
              <a:xfrm>
                <a:off x="40278095" y="19319487"/>
                <a:ext cx="476122" cy="380952"/>
              </a:xfrm>
              <a:prstGeom prst="rect">
                <a:avLst/>
              </a:prstGeom>
            </xdr:spPr>
          </xdr:pic>
        </xdr:grpSp>
        <xdr:grpSp>
          <xdr:nvGrpSpPr>
            <xdr:cNvPr id="5981" name="Group 5980">
              <a:extLst>
                <a:ext uri="{FF2B5EF4-FFF2-40B4-BE49-F238E27FC236}">
                  <a16:creationId xmlns:a16="http://schemas.microsoft.com/office/drawing/2014/main" id="{00000000-0008-0000-0800-00005D170000}"/>
                </a:ext>
              </a:extLst>
            </xdr:cNvPr>
            <xdr:cNvGrpSpPr/>
          </xdr:nvGrpSpPr>
          <xdr:grpSpPr>
            <a:xfrm>
              <a:off x="31083260" y="13861228"/>
              <a:ext cx="4145084" cy="2153954"/>
              <a:chOff x="31232427" y="13869970"/>
              <a:chExt cx="4370089" cy="2154878"/>
            </a:xfrm>
          </xdr:grpSpPr>
          <xdr:sp macro="" textlink="">
            <xdr:nvSpPr>
              <xdr:cNvPr id="5467" name="Rectangle: Rounded Corners 5466">
                <a:extLst>
                  <a:ext uri="{FF2B5EF4-FFF2-40B4-BE49-F238E27FC236}">
                    <a16:creationId xmlns:a16="http://schemas.microsoft.com/office/drawing/2014/main" id="{00000000-0008-0000-0800-00005B150000}"/>
                  </a:ext>
                </a:extLst>
              </xdr:cNvPr>
              <xdr:cNvSpPr/>
            </xdr:nvSpPr>
            <xdr:spPr>
              <a:xfrm>
                <a:off x="31232427" y="13869970"/>
                <a:ext cx="4370089" cy="2154878"/>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AX18">
            <xdr:nvSpPr>
              <xdr:cNvPr id="5473" name="Rectangle 5472">
                <a:extLst>
                  <a:ext uri="{FF2B5EF4-FFF2-40B4-BE49-F238E27FC236}">
                    <a16:creationId xmlns:a16="http://schemas.microsoft.com/office/drawing/2014/main" id="{00000000-0008-0000-0800-000061150000}"/>
                  </a:ext>
                </a:extLst>
              </xdr:cNvPr>
              <xdr:cNvSpPr/>
            </xdr:nvSpPr>
            <xdr:spPr>
              <a:xfrm>
                <a:off x="33767986" y="13969586"/>
                <a:ext cx="698056" cy="2182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5D4E4038-603A-40EA-881F-2D8F538BF39B}"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2!AW18">
            <xdr:nvSpPr>
              <xdr:cNvPr id="5474" name="Rectangle 5473">
                <a:extLst>
                  <a:ext uri="{FF2B5EF4-FFF2-40B4-BE49-F238E27FC236}">
                    <a16:creationId xmlns:a16="http://schemas.microsoft.com/office/drawing/2014/main" id="{00000000-0008-0000-0800-000062150000}"/>
                  </a:ext>
                </a:extLst>
              </xdr:cNvPr>
              <xdr:cNvSpPr/>
            </xdr:nvSpPr>
            <xdr:spPr>
              <a:xfrm>
                <a:off x="34466041" y="13969586"/>
                <a:ext cx="847789" cy="2182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65E2621-0B5B-4BE9-AF64-BCD2F7B35368}"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graphicFrame macro="">
            <xdr:nvGraphicFramePr>
              <xdr:cNvPr id="5524" name="B2AL">
                <a:extLst>
                  <a:ext uri="{FF2B5EF4-FFF2-40B4-BE49-F238E27FC236}">
                    <a16:creationId xmlns:a16="http://schemas.microsoft.com/office/drawing/2014/main" id="{00000000-0008-0000-0800-000094150000}"/>
                  </a:ext>
                </a:extLst>
              </xdr:cNvPr>
              <xdr:cNvGraphicFramePr>
                <a:graphicFrameLocks/>
              </xdr:cNvGraphicFramePr>
            </xdr:nvGraphicFramePr>
            <xdr:xfrm>
              <a:off x="31886887" y="14297092"/>
              <a:ext cx="3476631" cy="1614756"/>
            </xdr:xfrm>
            <a:graphic>
              <a:graphicData uri="http://schemas.openxmlformats.org/drawingml/2006/chart">
                <c:chart xmlns:c="http://schemas.openxmlformats.org/drawingml/2006/chart" xmlns:r="http://schemas.openxmlformats.org/officeDocument/2006/relationships" r:id="rId43"/>
              </a:graphicData>
            </a:graphic>
          </xdr:graphicFrame>
          <xdr:sp macro="" textlink="ControlChart_Budget2!AT13">
            <xdr:nvSpPr>
              <xdr:cNvPr id="5469" name="Rectangle 5468">
                <a:extLst>
                  <a:ext uri="{FF2B5EF4-FFF2-40B4-BE49-F238E27FC236}">
                    <a16:creationId xmlns:a16="http://schemas.microsoft.com/office/drawing/2014/main" id="{00000000-0008-0000-0800-00005D150000}"/>
                  </a:ext>
                </a:extLst>
              </xdr:cNvPr>
              <xdr:cNvSpPr/>
            </xdr:nvSpPr>
            <xdr:spPr>
              <a:xfrm>
                <a:off x="32203036" y="15757239"/>
                <a:ext cx="2263006" cy="22050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0D3B965-0B48-4A69-943C-7F254B0EB461}" type="TxLink">
                  <a:rPr lang="en-US" sz="1200" b="0" i="0" u="none" strike="noStrike" kern="1200">
                    <a:solidFill>
                      <a:srgbClr val="AADCD7"/>
                    </a:solidFill>
                    <a:latin typeface="Aptos Narrow" panose="020B0004020202020204" pitchFamily="34" charset="0"/>
                    <a:cs typeface="Arial"/>
                  </a:rPr>
                  <a:pPr algn="ctr"/>
                  <a:t>Category2</a:t>
                </a:fld>
                <a:endParaRPr lang="fr-CA" sz="1200" kern="1200">
                  <a:solidFill>
                    <a:srgbClr val="AADCD7"/>
                  </a:solidFill>
                  <a:latin typeface="Aptos Narrow" panose="020B0004020202020204" pitchFamily="34" charset="0"/>
                </a:endParaRPr>
              </a:p>
            </xdr:txBody>
          </xdr:sp>
          <xdr:sp macro="" textlink="ControlChart_Budget2!AT18">
            <xdr:nvSpPr>
              <xdr:cNvPr id="5471" name="Rectangle 5470">
                <a:extLst>
                  <a:ext uri="{FF2B5EF4-FFF2-40B4-BE49-F238E27FC236}">
                    <a16:creationId xmlns:a16="http://schemas.microsoft.com/office/drawing/2014/main" id="{00000000-0008-0000-0800-00005F150000}"/>
                  </a:ext>
                </a:extLst>
              </xdr:cNvPr>
              <xdr:cNvSpPr/>
            </xdr:nvSpPr>
            <xdr:spPr>
              <a:xfrm>
                <a:off x="31399356" y="14167722"/>
                <a:ext cx="1923408" cy="2205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E0F8455-B4FF-4B47-AB0D-8E4A7CFF0EFC}"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2!AV18">
            <xdr:nvSpPr>
              <xdr:cNvPr id="5472" name="Rectangle 5471">
                <a:extLst>
                  <a:ext uri="{FF2B5EF4-FFF2-40B4-BE49-F238E27FC236}">
                    <a16:creationId xmlns:a16="http://schemas.microsoft.com/office/drawing/2014/main" id="{00000000-0008-0000-0800-000060150000}"/>
                  </a:ext>
                </a:extLst>
              </xdr:cNvPr>
              <xdr:cNvSpPr/>
            </xdr:nvSpPr>
            <xdr:spPr>
              <a:xfrm>
                <a:off x="33224445" y="14200804"/>
                <a:ext cx="1339917" cy="2182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468EE5E-285F-4311-99A8-64CA7A54C286}"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pic macro="[0]!Chart_Analyse.ShapeAI21">
            <xdr:nvPicPr>
              <xdr:cNvPr id="5948" name="SHA I21" descr="Branching diagram outline">
                <a:extLst>
                  <a:ext uri="{FF2B5EF4-FFF2-40B4-BE49-F238E27FC236}">
                    <a16:creationId xmlns:a16="http://schemas.microsoft.com/office/drawing/2014/main" id="{00000000-0008-0000-0800-00003C170000}"/>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31367683" y="14432190"/>
                <a:ext cx="482018" cy="457396"/>
              </a:xfrm>
              <a:prstGeom prst="rect">
                <a:avLst/>
              </a:prstGeom>
            </xdr:spPr>
          </xdr:pic>
          <xdr:pic macro="[0]!Chart_Analyse.ShapeAI23">
            <xdr:nvPicPr>
              <xdr:cNvPr id="5949" name="SHA I23" descr="Arrow circle outline">
                <a:extLst>
                  <a:ext uri="{FF2B5EF4-FFF2-40B4-BE49-F238E27FC236}">
                    <a16:creationId xmlns:a16="http://schemas.microsoft.com/office/drawing/2014/main" id="{00000000-0008-0000-0800-00003D170000}"/>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44"/>
                  </a:ext>
                </a:extLst>
              </a:blip>
              <a:stretch>
                <a:fillRect/>
              </a:stretch>
            </xdr:blipFill>
            <xdr:spPr>
              <a:xfrm>
                <a:off x="31367683" y="15370171"/>
                <a:ext cx="482018" cy="457396"/>
              </a:xfrm>
              <a:prstGeom prst="rect">
                <a:avLst/>
              </a:prstGeom>
            </xdr:spPr>
          </xdr:pic>
          <xdr:pic macro="[0]!Chart_Analyse.ShapeAI22">
            <xdr:nvPicPr>
              <xdr:cNvPr id="5950" name="SHA I22" descr="Circular flowchart outline">
                <a:extLst>
                  <a:ext uri="{FF2B5EF4-FFF2-40B4-BE49-F238E27FC236}">
                    <a16:creationId xmlns:a16="http://schemas.microsoft.com/office/drawing/2014/main" id="{00000000-0008-0000-0800-00003E170000}"/>
                  </a:ext>
                </a:extLst>
              </xdr:cNvPr>
              <xdr:cNvPicPr>
                <a:picLocks/>
              </xdr:cNvPicPr>
            </xdr:nvPicPr>
            <xdr:blipFill>
              <a:blip xmlns:r="http://schemas.openxmlformats.org/officeDocument/2006/relationships" r:embed="rId31">
                <a:extLst>
                  <a:ext uri="{96DAC541-7B7A-43D3-8B79-37D633B846F1}">
                    <asvg:svgBlip xmlns:asvg="http://schemas.microsoft.com/office/drawing/2016/SVG/main" r:embed="rId45"/>
                  </a:ext>
                </a:extLst>
              </a:blip>
              <a:stretch>
                <a:fillRect/>
              </a:stretch>
            </xdr:blipFill>
            <xdr:spPr>
              <a:xfrm>
                <a:off x="31367683" y="14912584"/>
                <a:ext cx="482018" cy="457396"/>
              </a:xfrm>
              <a:prstGeom prst="rect">
                <a:avLst/>
              </a:prstGeom>
            </xdr:spPr>
          </xdr:pic>
          <xdr:sp macro="" textlink="ControlChart_Budget2!AT6">
            <xdr:nvSpPr>
              <xdr:cNvPr id="5980" name="Rectangle 5979">
                <a:extLst>
                  <a:ext uri="{FF2B5EF4-FFF2-40B4-BE49-F238E27FC236}">
                    <a16:creationId xmlns:a16="http://schemas.microsoft.com/office/drawing/2014/main" id="{00000000-0008-0000-0800-00005C170000}"/>
                  </a:ext>
                </a:extLst>
              </xdr:cNvPr>
              <xdr:cNvSpPr/>
            </xdr:nvSpPr>
            <xdr:spPr>
              <a:xfrm>
                <a:off x="32156998" y="13949077"/>
                <a:ext cx="2263006" cy="2272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DAAF3A1-F666-4870-A2B0-50B654E3728B}"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grpSp>
      </xdr:grpSp>
      <xdr:grpSp>
        <xdr:nvGrpSpPr>
          <xdr:cNvPr id="5998" name="Group 5997">
            <a:extLst>
              <a:ext uri="{FF2B5EF4-FFF2-40B4-BE49-F238E27FC236}">
                <a16:creationId xmlns:a16="http://schemas.microsoft.com/office/drawing/2014/main" id="{00000000-0008-0000-0800-00006E170000}"/>
              </a:ext>
            </a:extLst>
          </xdr:cNvPr>
          <xdr:cNvGrpSpPr/>
        </xdr:nvGrpSpPr>
        <xdr:grpSpPr>
          <a:xfrm>
            <a:off x="43655394" y="14343464"/>
            <a:ext cx="1730474" cy="2330397"/>
            <a:chOff x="43785431" y="14089111"/>
            <a:chExt cx="1734998" cy="2282665"/>
          </a:xfrm>
        </xdr:grpSpPr>
        <xdr:sp macro="" textlink="">
          <xdr:nvSpPr>
            <xdr:cNvPr id="5925" name="Rectangle: Rounded Corners 5924">
              <a:extLst>
                <a:ext uri="{FF2B5EF4-FFF2-40B4-BE49-F238E27FC236}">
                  <a16:creationId xmlns:a16="http://schemas.microsoft.com/office/drawing/2014/main" id="{00000000-0008-0000-0800-000025170000}"/>
                </a:ext>
              </a:extLst>
            </xdr:cNvPr>
            <xdr:cNvSpPr/>
          </xdr:nvSpPr>
          <xdr:spPr>
            <a:xfrm>
              <a:off x="43785431" y="14089111"/>
              <a:ext cx="1641019" cy="2282665"/>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900" kern="1200">
                <a:latin typeface="Aptos Narrow" panose="020B0004020202020204" pitchFamily="34" charset="0"/>
              </a:endParaRPr>
            </a:p>
          </xdr:txBody>
        </xdr:sp>
        <xdr:pic>
          <xdr:nvPicPr>
            <xdr:cNvPr id="5929" name="ICO 11" descr="Branching diagram outline">
              <a:extLst>
                <a:ext uri="{FF2B5EF4-FFF2-40B4-BE49-F238E27FC236}">
                  <a16:creationId xmlns:a16="http://schemas.microsoft.com/office/drawing/2014/main" id="{00000000-0008-0000-0800-00002917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rot="10800000">
              <a:off x="44827791" y="14128164"/>
              <a:ext cx="382316" cy="390554"/>
            </a:xfrm>
            <a:prstGeom prst="rect">
              <a:avLst/>
            </a:prstGeom>
          </xdr:spPr>
        </xdr:pic>
        <xdr:sp macro="" textlink="Library!A229">
          <xdr:nvSpPr>
            <xdr:cNvPr id="5952" name="Rectangle 5951">
              <a:extLst>
                <a:ext uri="{FF2B5EF4-FFF2-40B4-BE49-F238E27FC236}">
                  <a16:creationId xmlns:a16="http://schemas.microsoft.com/office/drawing/2014/main" id="{00000000-0008-0000-0800-000040170000}"/>
                </a:ext>
              </a:extLst>
            </xdr:cNvPr>
            <xdr:cNvSpPr/>
          </xdr:nvSpPr>
          <xdr:spPr>
            <a:xfrm>
              <a:off x="43905715" y="14176829"/>
              <a:ext cx="961572" cy="30117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l"/>
              <a:fld id="{83BE4B0B-5C55-4F40-AB72-5C0579C9113F}" type="TxLink">
                <a:rPr lang="en-US" altLang="ja-JP" sz="1200" b="0" i="0" u="none" strike="noStrike">
                  <a:solidFill>
                    <a:schemeClr val="bg1"/>
                  </a:solidFill>
                  <a:latin typeface="Aptos Narrow" panose="020B0004020202020204" pitchFamily="34" charset="0"/>
                  <a:cs typeface="Arial"/>
                </a:rPr>
                <a:pPr algn="l"/>
                <a:t>Fixed load</a:t>
              </a:fld>
              <a:endParaRPr lang="en-CA" sz="1200" b="0">
                <a:solidFill>
                  <a:schemeClr val="bg1"/>
                </a:solidFill>
                <a:latin typeface="Aptos Narrow" panose="020B0004020202020204" pitchFamily="34" charset="0"/>
              </a:endParaRPr>
            </a:p>
          </xdr:txBody>
        </xdr:sp>
        <xdr:sp macro="" textlink="Library!A230">
          <xdr:nvSpPr>
            <xdr:cNvPr id="5953" name="Rectangle 5952">
              <a:extLst>
                <a:ext uri="{FF2B5EF4-FFF2-40B4-BE49-F238E27FC236}">
                  <a16:creationId xmlns:a16="http://schemas.microsoft.com/office/drawing/2014/main" id="{00000000-0008-0000-0800-000041170000}"/>
                </a:ext>
              </a:extLst>
            </xdr:cNvPr>
            <xdr:cNvSpPr/>
          </xdr:nvSpPr>
          <xdr:spPr>
            <a:xfrm>
              <a:off x="43905714" y="14516702"/>
              <a:ext cx="1562100" cy="467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8AE3854-204D-4DB2-A9EA-45CE1797243D}" type="TxLink">
                <a:rPr lang="en-US" altLang="ja-JP" sz="900" b="0" i="0" u="none" strike="noStrike">
                  <a:solidFill>
                    <a:schemeClr val="bg1"/>
                  </a:solidFill>
                  <a:latin typeface="Aptos Narrow" panose="020B0004020202020204" pitchFamily="34" charset="0"/>
                  <a:cs typeface="Arial"/>
                </a:rPr>
                <a:pPr algn="l"/>
                <a:t>This selection allows you to freeze your budget.</a:t>
              </a:fld>
              <a:endParaRPr lang="en-CA" sz="1200" b="0">
                <a:solidFill>
                  <a:schemeClr val="bg1"/>
                </a:solidFill>
                <a:latin typeface="Aptos Narrow" panose="020B0004020202020204" pitchFamily="34" charset="0"/>
              </a:endParaRPr>
            </a:p>
          </xdr:txBody>
        </xdr:sp>
        <xdr:sp macro="" textlink="Library!A231">
          <xdr:nvSpPr>
            <xdr:cNvPr id="5959" name="Rectangle 5958">
              <a:extLst>
                <a:ext uri="{FF2B5EF4-FFF2-40B4-BE49-F238E27FC236}">
                  <a16:creationId xmlns:a16="http://schemas.microsoft.com/office/drawing/2014/main" id="{00000000-0008-0000-0800-000047170000}"/>
                </a:ext>
              </a:extLst>
            </xdr:cNvPr>
            <xdr:cNvSpPr/>
          </xdr:nvSpPr>
          <xdr:spPr>
            <a:xfrm>
              <a:off x="43905714" y="14984184"/>
              <a:ext cx="1614715" cy="761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F51A218-216C-4448-9F25-305B61B87293}" type="TxLink">
                <a:rPr lang="en-US" altLang="ja-JP" sz="900" b="0" i="0" u="none" strike="noStrike">
                  <a:solidFill>
                    <a:schemeClr val="bg1"/>
                  </a:solidFill>
                  <a:latin typeface="Aptos Narrow" panose="020B0004020202020204" pitchFamily="34" charset="0"/>
                  <a:cs typeface="Arial"/>
                </a:rPr>
                <a:pPr algn="l"/>
                <a:t>After each quarter, savings or surpluses are allocated to shared budgets.</a:t>
              </a:fld>
              <a:endParaRPr lang="en-CA" sz="1200" b="0">
                <a:solidFill>
                  <a:schemeClr val="bg1"/>
                </a:solidFill>
                <a:latin typeface="Aptos Narrow" panose="020B0004020202020204" pitchFamily="34" charset="0"/>
              </a:endParaRPr>
            </a:p>
          </xdr:txBody>
        </xdr:sp>
        <xdr:sp macro="" textlink="Library!A232">
          <xdr:nvSpPr>
            <xdr:cNvPr id="5990" name="Rectangle 5989">
              <a:extLst>
                <a:ext uri="{FF2B5EF4-FFF2-40B4-BE49-F238E27FC236}">
                  <a16:creationId xmlns:a16="http://schemas.microsoft.com/office/drawing/2014/main" id="{00000000-0008-0000-0800-000066170000}"/>
                </a:ext>
              </a:extLst>
            </xdr:cNvPr>
            <xdr:cNvSpPr/>
          </xdr:nvSpPr>
          <xdr:spPr>
            <a:xfrm>
              <a:off x="43905714" y="15740742"/>
              <a:ext cx="1505857" cy="5134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F164542-ABE5-4F67-8D31-032986ED3664}" type="TxLink">
                <a:rPr lang="en-US" altLang="ja-JP" sz="900" b="0" i="0" u="none" strike="noStrike">
                  <a:solidFill>
                    <a:schemeClr val="bg1"/>
                  </a:solidFill>
                  <a:latin typeface="Aptos Narrow" panose="020B0004020202020204" pitchFamily="34" charset="0"/>
                  <a:cs typeface="Arial"/>
                </a:rPr>
                <a:pPr algn="l"/>
                <a:t>Ideal for fixed-charge budgets. </a:t>
              </a:fld>
              <a:endParaRPr lang="en-CA" sz="900" b="0">
                <a:solidFill>
                  <a:schemeClr val="bg1"/>
                </a:solidFill>
                <a:latin typeface="Aptos Narrow" panose="020B0004020202020204" pitchFamily="34" charset="0"/>
              </a:endParaRPr>
            </a:p>
          </xdr:txBody>
        </xdr:sp>
      </xdr:grpSp>
      <xdr:grpSp>
        <xdr:nvGrpSpPr>
          <xdr:cNvPr id="6013" name="Group 6012">
            <a:extLst>
              <a:ext uri="{FF2B5EF4-FFF2-40B4-BE49-F238E27FC236}">
                <a16:creationId xmlns:a16="http://schemas.microsoft.com/office/drawing/2014/main" id="{00000000-0008-0000-0800-00007D170000}"/>
              </a:ext>
            </a:extLst>
          </xdr:cNvPr>
          <xdr:cNvGrpSpPr/>
        </xdr:nvGrpSpPr>
        <xdr:grpSpPr>
          <a:xfrm>
            <a:off x="43648574" y="16767754"/>
            <a:ext cx="1708343" cy="2278651"/>
            <a:chOff x="43778593" y="16463746"/>
            <a:chExt cx="1712809" cy="2231979"/>
          </a:xfrm>
        </xdr:grpSpPr>
        <xdr:grpSp>
          <xdr:nvGrpSpPr>
            <xdr:cNvPr id="5951" name="Group 5950">
              <a:extLst>
                <a:ext uri="{FF2B5EF4-FFF2-40B4-BE49-F238E27FC236}">
                  <a16:creationId xmlns:a16="http://schemas.microsoft.com/office/drawing/2014/main" id="{00000000-0008-0000-0800-00003F170000}"/>
                </a:ext>
              </a:extLst>
            </xdr:cNvPr>
            <xdr:cNvGrpSpPr/>
          </xdr:nvGrpSpPr>
          <xdr:grpSpPr>
            <a:xfrm>
              <a:off x="43778593" y="16463746"/>
              <a:ext cx="1671532" cy="2231979"/>
              <a:chOff x="44045187" y="5572125"/>
              <a:chExt cx="1630363" cy="2301875"/>
            </a:xfrm>
            <a:solidFill>
              <a:schemeClr val="tx1"/>
            </a:solidFill>
          </xdr:grpSpPr>
          <xdr:sp macro="" textlink="">
            <xdr:nvSpPr>
              <xdr:cNvPr id="5960" name="Rectangle: Rounded Corners 5959">
                <a:extLst>
                  <a:ext uri="{FF2B5EF4-FFF2-40B4-BE49-F238E27FC236}">
                    <a16:creationId xmlns:a16="http://schemas.microsoft.com/office/drawing/2014/main" id="{00000000-0008-0000-0800-000048170000}"/>
                  </a:ext>
                </a:extLst>
              </xdr:cNvPr>
              <xdr:cNvSpPr/>
            </xdr:nvSpPr>
            <xdr:spPr>
              <a:xfrm>
                <a:off x="44045187" y="5572125"/>
                <a:ext cx="1630363" cy="2301875"/>
              </a:xfrm>
              <a:prstGeom prst="roundRect">
                <a:avLst/>
              </a:prstGeom>
              <a:grp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900" kern="1200">
                  <a:latin typeface="Aptos Narrow" panose="020B0004020202020204" pitchFamily="34" charset="0"/>
                </a:endParaRPr>
              </a:p>
            </xdr:txBody>
          </xdr:sp>
          <xdr:pic>
            <xdr:nvPicPr>
              <xdr:cNvPr id="5979" name="ICO 12" descr="Circular flowchart outline">
                <a:extLst>
                  <a:ext uri="{FF2B5EF4-FFF2-40B4-BE49-F238E27FC236}">
                    <a16:creationId xmlns:a16="http://schemas.microsoft.com/office/drawing/2014/main" id="{00000000-0008-0000-0800-00005B17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45067690" y="5593868"/>
                <a:ext cx="435658" cy="444480"/>
              </a:xfrm>
              <a:prstGeom prst="rect">
                <a:avLst/>
              </a:prstGeom>
            </xdr:spPr>
          </xdr:pic>
        </xdr:grpSp>
        <xdr:sp macro="" textlink="Library!A233">
          <xdr:nvSpPr>
            <xdr:cNvPr id="6005" name="Rectangle 6004">
              <a:extLst>
                <a:ext uri="{FF2B5EF4-FFF2-40B4-BE49-F238E27FC236}">
                  <a16:creationId xmlns:a16="http://schemas.microsoft.com/office/drawing/2014/main" id="{00000000-0008-0000-0800-000075170000}"/>
                </a:ext>
              </a:extLst>
            </xdr:cNvPr>
            <xdr:cNvSpPr/>
          </xdr:nvSpPr>
          <xdr:spPr>
            <a:xfrm>
              <a:off x="43876687" y="16578942"/>
              <a:ext cx="1288143" cy="308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8A7CF6A-BF27-4FF4-BC48-29A5F3781B12}" type="TxLink">
                <a:rPr lang="en-US" altLang="ja-JP" sz="1200" b="0" i="0" u="none" strike="noStrike">
                  <a:solidFill>
                    <a:schemeClr val="bg1"/>
                  </a:solidFill>
                  <a:latin typeface="Aptos Narrow" panose="020B0004020202020204" pitchFamily="34" charset="0"/>
                  <a:cs typeface="Arial"/>
                </a:rPr>
                <a:pPr algn="l"/>
                <a:t>Regular</a:t>
              </a:fld>
              <a:endParaRPr lang="en-CA" sz="1200" b="0">
                <a:solidFill>
                  <a:schemeClr val="bg1"/>
                </a:solidFill>
                <a:latin typeface="Aptos Narrow" panose="020B0004020202020204" pitchFamily="34" charset="0"/>
              </a:endParaRPr>
            </a:p>
          </xdr:txBody>
        </xdr:sp>
        <xdr:sp macro="" textlink="Library!A234">
          <xdr:nvSpPr>
            <xdr:cNvPr id="6006" name="Rectangle 6005">
              <a:extLst>
                <a:ext uri="{FF2B5EF4-FFF2-40B4-BE49-F238E27FC236}">
                  <a16:creationId xmlns:a16="http://schemas.microsoft.com/office/drawing/2014/main" id="{00000000-0008-0000-0800-000076170000}"/>
                </a:ext>
              </a:extLst>
            </xdr:cNvPr>
            <xdr:cNvSpPr/>
          </xdr:nvSpPr>
          <xdr:spPr>
            <a:xfrm>
              <a:off x="43876687" y="16918816"/>
              <a:ext cx="1562100" cy="467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FDF3193-1C7C-4B6A-9FA6-02F6BFCE2754}" type="TxLink">
                <a:rPr lang="en-US" altLang="ja-JP" sz="900" b="0" i="0" u="none" strike="noStrike">
                  <a:solidFill>
                    <a:schemeClr val="bg1"/>
                  </a:solidFill>
                  <a:latin typeface="Aptos Narrow" panose="020B0004020202020204" pitchFamily="34" charset="0"/>
                  <a:cs typeface="Arial"/>
                </a:rPr>
                <a:pPr algn="l"/>
                <a:t>This selection allows you to connect your budgets.</a:t>
              </a:fld>
              <a:endParaRPr lang="en-CA" sz="1200" b="0">
                <a:solidFill>
                  <a:schemeClr val="bg1"/>
                </a:solidFill>
                <a:latin typeface="Aptos Narrow" panose="020B0004020202020204" pitchFamily="34" charset="0"/>
              </a:endParaRPr>
            </a:p>
          </xdr:txBody>
        </xdr:sp>
        <xdr:sp macro="" textlink="Library!A235">
          <xdr:nvSpPr>
            <xdr:cNvPr id="6011" name="Rectangle 6010">
              <a:extLst>
                <a:ext uri="{FF2B5EF4-FFF2-40B4-BE49-F238E27FC236}">
                  <a16:creationId xmlns:a16="http://schemas.microsoft.com/office/drawing/2014/main" id="{00000000-0008-0000-0800-00007B170000}"/>
                </a:ext>
              </a:extLst>
            </xdr:cNvPr>
            <xdr:cNvSpPr/>
          </xdr:nvSpPr>
          <xdr:spPr>
            <a:xfrm>
              <a:off x="43876687" y="17386298"/>
              <a:ext cx="1614715" cy="761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A21F5D1-44F2-4A59-91EA-D284727F5028}" type="TxLink">
                <a:rPr lang="en-US" altLang="ja-JP" sz="900" b="0" i="0" u="none" strike="noStrike">
                  <a:solidFill>
                    <a:schemeClr val="bg1"/>
                  </a:solidFill>
                  <a:latin typeface="Aptos Narrow" panose="020B0004020202020204" pitchFamily="34" charset="0"/>
                  <a:cs typeface="Arial"/>
                </a:rPr>
                <a:pPr algn="l"/>
                <a:t>After each quarter, savings or surpluses will be allocated proportionally to all shared budgets.</a:t>
              </a:fld>
              <a:endParaRPr lang="en-CA" sz="1200" b="0">
                <a:solidFill>
                  <a:schemeClr val="bg1"/>
                </a:solidFill>
                <a:latin typeface="Aptos Narrow" panose="020B0004020202020204" pitchFamily="34" charset="0"/>
              </a:endParaRPr>
            </a:p>
          </xdr:txBody>
        </xdr:sp>
        <xdr:sp macro="" textlink="Library!A236">
          <xdr:nvSpPr>
            <xdr:cNvPr id="6012" name="Rectangle 6011">
              <a:extLst>
                <a:ext uri="{FF2B5EF4-FFF2-40B4-BE49-F238E27FC236}">
                  <a16:creationId xmlns:a16="http://schemas.microsoft.com/office/drawing/2014/main" id="{00000000-0008-0000-0800-00007C170000}"/>
                </a:ext>
              </a:extLst>
            </xdr:cNvPr>
            <xdr:cNvSpPr/>
          </xdr:nvSpPr>
          <xdr:spPr>
            <a:xfrm>
              <a:off x="43876687" y="18142856"/>
              <a:ext cx="1505857" cy="5134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DE2818C-2DBB-4572-8C82-53DB9D694890}" type="TxLink">
                <a:rPr lang="en-US" altLang="ja-JP" sz="900" b="0" i="0" u="none" strike="noStrike">
                  <a:solidFill>
                    <a:schemeClr val="bg1"/>
                  </a:solidFill>
                  <a:latin typeface="Aptos Narrow" panose="020B0004020202020204" pitchFamily="34" charset="0"/>
                  <a:cs typeface="Arial"/>
                </a:rPr>
                <a:pPr algn="l"/>
                <a:t>Ideal for variable-load budgets.</a:t>
              </a:fld>
              <a:endParaRPr lang="en-CA" sz="900" b="0">
                <a:solidFill>
                  <a:schemeClr val="bg1"/>
                </a:solidFill>
                <a:latin typeface="Aptos Narrow" panose="020B0004020202020204" pitchFamily="34" charset="0"/>
              </a:endParaRPr>
            </a:p>
          </xdr:txBody>
        </xdr:sp>
      </xdr:grpSp>
      <xdr:grpSp>
        <xdr:nvGrpSpPr>
          <xdr:cNvPr id="5537" name="Group 5536">
            <a:extLst>
              <a:ext uri="{FF2B5EF4-FFF2-40B4-BE49-F238E27FC236}">
                <a16:creationId xmlns:a16="http://schemas.microsoft.com/office/drawing/2014/main" id="{00000000-0008-0000-0800-0000A1150000}"/>
              </a:ext>
            </a:extLst>
          </xdr:cNvPr>
          <xdr:cNvGrpSpPr/>
        </xdr:nvGrpSpPr>
        <xdr:grpSpPr>
          <a:xfrm>
            <a:off x="43647525" y="19159635"/>
            <a:ext cx="1662340" cy="2695704"/>
            <a:chOff x="43777542" y="18806636"/>
            <a:chExt cx="1666686" cy="2640489"/>
          </a:xfrm>
        </xdr:grpSpPr>
        <xdr:grpSp>
          <xdr:nvGrpSpPr>
            <xdr:cNvPr id="5984" name="Group 5983">
              <a:extLst>
                <a:ext uri="{FF2B5EF4-FFF2-40B4-BE49-F238E27FC236}">
                  <a16:creationId xmlns:a16="http://schemas.microsoft.com/office/drawing/2014/main" id="{00000000-0008-0000-0800-000060170000}"/>
                </a:ext>
              </a:extLst>
            </xdr:cNvPr>
            <xdr:cNvGrpSpPr/>
          </xdr:nvGrpSpPr>
          <xdr:grpSpPr>
            <a:xfrm>
              <a:off x="43777542" y="18806636"/>
              <a:ext cx="1664690" cy="2640489"/>
              <a:chOff x="44030901" y="7934325"/>
              <a:chExt cx="1644650" cy="2359025"/>
            </a:xfrm>
            <a:solidFill>
              <a:schemeClr val="tx1"/>
            </a:solidFill>
          </xdr:grpSpPr>
          <xdr:sp macro="" textlink="">
            <xdr:nvSpPr>
              <xdr:cNvPr id="5985" name="Rectangle: Rounded Corners 5984">
                <a:extLst>
                  <a:ext uri="{FF2B5EF4-FFF2-40B4-BE49-F238E27FC236}">
                    <a16:creationId xmlns:a16="http://schemas.microsoft.com/office/drawing/2014/main" id="{00000000-0008-0000-0800-000061170000}"/>
                  </a:ext>
                </a:extLst>
              </xdr:cNvPr>
              <xdr:cNvSpPr/>
            </xdr:nvSpPr>
            <xdr:spPr>
              <a:xfrm>
                <a:off x="44030901" y="7934325"/>
                <a:ext cx="1644650" cy="2359025"/>
              </a:xfrm>
              <a:prstGeom prst="roundRect">
                <a:avLst/>
              </a:prstGeom>
              <a:grp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900" kern="1200">
                  <a:latin typeface="Aptos Narrow" panose="020B0004020202020204" pitchFamily="34" charset="0"/>
                </a:endParaRPr>
              </a:p>
            </xdr:txBody>
          </xdr:sp>
          <xdr:pic>
            <xdr:nvPicPr>
              <xdr:cNvPr id="5991" name="ICO 13" descr="Arrow circle outline">
                <a:extLst>
                  <a:ext uri="{FF2B5EF4-FFF2-40B4-BE49-F238E27FC236}">
                    <a16:creationId xmlns:a16="http://schemas.microsoft.com/office/drawing/2014/main" id="{00000000-0008-0000-0800-00006717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45067689" y="7937018"/>
                <a:ext cx="513942" cy="462736"/>
              </a:xfrm>
              <a:prstGeom prst="rect">
                <a:avLst/>
              </a:prstGeom>
            </xdr:spPr>
          </xdr:pic>
        </xdr:grpSp>
        <xdr:sp macro="" textlink="Library!A237">
          <xdr:nvSpPr>
            <xdr:cNvPr id="5533" name="Rectangle 5532">
              <a:extLst>
                <a:ext uri="{FF2B5EF4-FFF2-40B4-BE49-F238E27FC236}">
                  <a16:creationId xmlns:a16="http://schemas.microsoft.com/office/drawing/2014/main" id="{00000000-0008-0000-0800-00009D150000}"/>
                </a:ext>
              </a:extLst>
            </xdr:cNvPr>
            <xdr:cNvSpPr/>
          </xdr:nvSpPr>
          <xdr:spPr>
            <a:xfrm>
              <a:off x="43829513" y="18990127"/>
              <a:ext cx="1288143" cy="308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1D2ABB6-38C1-47E4-9B25-39A62D68919E}" type="TxLink">
                <a:rPr lang="en-US" altLang="ja-JP" sz="1200" b="0" i="0" u="none" strike="noStrike">
                  <a:solidFill>
                    <a:schemeClr val="bg1"/>
                  </a:solidFill>
                  <a:latin typeface="Aptos Narrow" panose="020B0004020202020204" pitchFamily="34" charset="0"/>
                  <a:cs typeface="Arial"/>
                </a:rPr>
                <a:pPr algn="l"/>
                <a:t>Independent</a:t>
              </a:fld>
              <a:endParaRPr lang="en-CA" sz="1200" b="0">
                <a:solidFill>
                  <a:schemeClr val="bg1"/>
                </a:solidFill>
                <a:latin typeface="Aptos Narrow" panose="020B0004020202020204" pitchFamily="34" charset="0"/>
              </a:endParaRPr>
            </a:p>
          </xdr:txBody>
        </xdr:sp>
        <xdr:sp macro="" textlink="Library!A238">
          <xdr:nvSpPr>
            <xdr:cNvPr id="5534" name="Rectangle 5533">
              <a:extLst>
                <a:ext uri="{FF2B5EF4-FFF2-40B4-BE49-F238E27FC236}">
                  <a16:creationId xmlns:a16="http://schemas.microsoft.com/office/drawing/2014/main" id="{00000000-0008-0000-0800-00009E150000}"/>
                </a:ext>
              </a:extLst>
            </xdr:cNvPr>
            <xdr:cNvSpPr/>
          </xdr:nvSpPr>
          <xdr:spPr>
            <a:xfrm>
              <a:off x="43829513" y="19330001"/>
              <a:ext cx="1562100" cy="467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72AD129-7D86-4D00-9BCB-513654AAD94D}" type="TxLink">
                <a:rPr lang="en-US" altLang="ja-JP" sz="900" b="0" i="0" u="none" strike="noStrike">
                  <a:solidFill>
                    <a:schemeClr val="bg1"/>
                  </a:solidFill>
                  <a:latin typeface="Aptos Narrow" panose="020B0004020202020204" pitchFamily="34" charset="0"/>
                  <a:cs typeface="Arial"/>
                </a:rPr>
                <a:pPr algn="l"/>
                <a:t>This selection allows you to isolate your budget.</a:t>
              </a:fld>
              <a:endParaRPr lang="en-CA" sz="1200" b="0">
                <a:solidFill>
                  <a:schemeClr val="bg1"/>
                </a:solidFill>
                <a:latin typeface="Aptos Narrow" panose="020B0004020202020204" pitchFamily="34" charset="0"/>
              </a:endParaRPr>
            </a:p>
          </xdr:txBody>
        </xdr:sp>
        <xdr:sp macro="" textlink="Library!A239">
          <xdr:nvSpPr>
            <xdr:cNvPr id="5535" name="Rectangle 5534">
              <a:extLst>
                <a:ext uri="{FF2B5EF4-FFF2-40B4-BE49-F238E27FC236}">
                  <a16:creationId xmlns:a16="http://schemas.microsoft.com/office/drawing/2014/main" id="{00000000-0008-0000-0800-00009F150000}"/>
                </a:ext>
              </a:extLst>
            </xdr:cNvPr>
            <xdr:cNvSpPr/>
          </xdr:nvSpPr>
          <xdr:spPr>
            <a:xfrm>
              <a:off x="43829513" y="19797483"/>
              <a:ext cx="1614715" cy="761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260AC5A-BF06-4D23-8F52-E2F6C5238AF8}" type="TxLink">
                <a:rPr lang="en-US" altLang="ja-JP" sz="900" b="0" i="0" u="none" strike="noStrike">
                  <a:solidFill>
                    <a:schemeClr val="bg1"/>
                  </a:solidFill>
                  <a:latin typeface="Aptos Narrow" panose="020B0004020202020204" pitchFamily="34" charset="0"/>
                  <a:cs typeface="Arial"/>
                </a:rPr>
                <a:pPr algn="l"/>
                <a:t>After each quarter, savings or surpluses will be redistributed to the selected budget only.</a:t>
              </a:fld>
              <a:endParaRPr lang="en-CA" sz="1200" b="0">
                <a:solidFill>
                  <a:schemeClr val="bg1"/>
                </a:solidFill>
                <a:latin typeface="Aptos Narrow" panose="020B0004020202020204" pitchFamily="34" charset="0"/>
              </a:endParaRPr>
            </a:p>
          </xdr:txBody>
        </xdr:sp>
        <xdr:sp macro="" textlink="Library!A240">
          <xdr:nvSpPr>
            <xdr:cNvPr id="5536" name="Rectangle 5535">
              <a:extLst>
                <a:ext uri="{FF2B5EF4-FFF2-40B4-BE49-F238E27FC236}">
                  <a16:creationId xmlns:a16="http://schemas.microsoft.com/office/drawing/2014/main" id="{00000000-0008-0000-0800-0000A0150000}"/>
                </a:ext>
              </a:extLst>
            </xdr:cNvPr>
            <xdr:cNvSpPr/>
          </xdr:nvSpPr>
          <xdr:spPr>
            <a:xfrm>
              <a:off x="43829513" y="20554041"/>
              <a:ext cx="1505857" cy="680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1EA4011-2B1F-4E36-9BE7-E39E3D7FA7CE}" type="TxLink">
                <a:rPr lang="en-US" altLang="ja-JP" sz="900" b="0" i="0" u="none" strike="noStrike">
                  <a:solidFill>
                    <a:schemeClr val="bg1"/>
                  </a:solidFill>
                  <a:latin typeface="Aptos Narrow" panose="020B0004020202020204" pitchFamily="34" charset="0"/>
                  <a:cs typeface="Arial"/>
                </a:rPr>
                <a:pPr algn="l"/>
                <a:t>Ideal for special projects that don't involve day-to-day expenses.</a:t>
              </a:fld>
              <a:endParaRPr lang="en-CA" sz="900" b="0">
                <a:solidFill>
                  <a:schemeClr val="bg1"/>
                </a:solidFill>
                <a:latin typeface="Aptos Narrow" panose="020B0004020202020204" pitchFamily="34" charset="0"/>
              </a:endParaRPr>
            </a:p>
          </xdr:txBody>
        </xdr:sp>
      </xdr:grpSp>
    </xdr:grpSp>
    <xdr:clientData/>
  </xdr:twoCellAnchor>
  <xdr:twoCellAnchor editAs="absolute">
    <xdr:from>
      <xdr:col>53</xdr:col>
      <xdr:colOff>55637</xdr:colOff>
      <xdr:row>2</xdr:row>
      <xdr:rowOff>88701</xdr:rowOff>
    </xdr:from>
    <xdr:to>
      <xdr:col>79</xdr:col>
      <xdr:colOff>0</xdr:colOff>
      <xdr:row>71</xdr:row>
      <xdr:rowOff>63500</xdr:rowOff>
    </xdr:to>
    <xdr:grpSp>
      <xdr:nvGrpSpPr>
        <xdr:cNvPr id="5438" name="Group 5437">
          <a:extLst>
            <a:ext uri="{FF2B5EF4-FFF2-40B4-BE49-F238E27FC236}">
              <a16:creationId xmlns:a16="http://schemas.microsoft.com/office/drawing/2014/main" id="{00000000-0008-0000-0800-00003E150000}"/>
            </a:ext>
          </a:extLst>
        </xdr:cNvPr>
        <xdr:cNvGrpSpPr/>
      </xdr:nvGrpSpPr>
      <xdr:grpSpPr>
        <a:xfrm>
          <a:off x="30874304" y="385034"/>
          <a:ext cx="14528196" cy="10198299"/>
          <a:chOff x="30952923" y="378987"/>
          <a:chExt cx="14567506" cy="9989656"/>
        </a:xfrm>
      </xdr:grpSpPr>
      <xdr:grpSp>
        <xdr:nvGrpSpPr>
          <xdr:cNvPr id="5214" name="Group 5213">
            <a:extLst>
              <a:ext uri="{FF2B5EF4-FFF2-40B4-BE49-F238E27FC236}">
                <a16:creationId xmlns:a16="http://schemas.microsoft.com/office/drawing/2014/main" id="{00000000-0008-0000-0800-00005E140000}"/>
              </a:ext>
            </a:extLst>
          </xdr:cNvPr>
          <xdr:cNvGrpSpPr/>
        </xdr:nvGrpSpPr>
        <xdr:grpSpPr>
          <a:xfrm>
            <a:off x="30989841" y="799276"/>
            <a:ext cx="12616479" cy="2142759"/>
            <a:chOff x="25473028" y="1698624"/>
            <a:chExt cx="12505272" cy="2161125"/>
          </a:xfrm>
        </xdr:grpSpPr>
        <xdr:grpSp>
          <xdr:nvGrpSpPr>
            <xdr:cNvPr id="5261" name="Group 5260">
              <a:extLst>
                <a:ext uri="{FF2B5EF4-FFF2-40B4-BE49-F238E27FC236}">
                  <a16:creationId xmlns:a16="http://schemas.microsoft.com/office/drawing/2014/main" id="{00000000-0008-0000-0800-00008D140000}"/>
                </a:ext>
              </a:extLst>
            </xdr:cNvPr>
            <xdr:cNvGrpSpPr/>
          </xdr:nvGrpSpPr>
          <xdr:grpSpPr>
            <a:xfrm>
              <a:off x="25473028" y="1698624"/>
              <a:ext cx="2272250" cy="2161125"/>
              <a:chOff x="25473038" y="1698624"/>
              <a:chExt cx="2272251" cy="2161124"/>
            </a:xfrm>
          </xdr:grpSpPr>
          <xdr:sp macro="" textlink="">
            <xdr:nvSpPr>
              <xdr:cNvPr id="5201" name="Rectangle: Rounded Corners 5200">
                <a:extLst>
                  <a:ext uri="{FF2B5EF4-FFF2-40B4-BE49-F238E27FC236}">
                    <a16:creationId xmlns:a16="http://schemas.microsoft.com/office/drawing/2014/main" id="{00000000-0008-0000-0800-000051140000}"/>
                  </a:ext>
                </a:extLst>
              </xdr:cNvPr>
              <xdr:cNvSpPr>
                <a:spLocks noChangeAspect="1"/>
              </xdr:cNvSpPr>
            </xdr:nvSpPr>
            <xdr:spPr>
              <a:xfrm>
                <a:off x="25473038" y="1698624"/>
                <a:ext cx="2272251" cy="2161124"/>
              </a:xfrm>
              <a:prstGeom prst="roundRect">
                <a:avLst/>
              </a:prstGeom>
              <a:solidFill>
                <a:schemeClr val="tx1">
                  <a:alpha val="97000"/>
                </a:schemeClr>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200" name="Chart 5199">
                <a:extLst>
                  <a:ext uri="{FF2B5EF4-FFF2-40B4-BE49-F238E27FC236}">
                    <a16:creationId xmlns:a16="http://schemas.microsoft.com/office/drawing/2014/main" id="{00000000-0008-0000-0800-000050140000}"/>
                  </a:ext>
                </a:extLst>
              </xdr:cNvPr>
              <xdr:cNvGraphicFramePr>
                <a:graphicFrameLocks noChangeAspect="1"/>
              </xdr:cNvGraphicFramePr>
            </xdr:nvGraphicFramePr>
            <xdr:xfrm>
              <a:off x="25687388" y="1979149"/>
              <a:ext cx="1888340" cy="1794676"/>
            </xdr:xfrm>
            <a:graphic>
              <a:graphicData uri="http://schemas.openxmlformats.org/drawingml/2006/chart">
                <c:chart xmlns:c="http://schemas.openxmlformats.org/drawingml/2006/chart" xmlns:r="http://schemas.openxmlformats.org/officeDocument/2006/relationships" r:id="rId52"/>
              </a:graphicData>
            </a:graphic>
          </xdr:graphicFrame>
          <xdr:sp macro="" textlink="ControlChart_Budget1!$DB$5">
            <xdr:nvSpPr>
              <xdr:cNvPr id="5223" name="Rectangle 5222">
                <a:extLst>
                  <a:ext uri="{FF2B5EF4-FFF2-40B4-BE49-F238E27FC236}">
                    <a16:creationId xmlns:a16="http://schemas.microsoft.com/office/drawing/2014/main" id="{00000000-0008-0000-0800-000067140000}"/>
                  </a:ext>
                </a:extLst>
              </xdr:cNvPr>
              <xdr:cNvSpPr/>
            </xdr:nvSpPr>
            <xdr:spPr>
              <a:xfrm>
                <a:off x="25884206" y="2943412"/>
                <a:ext cx="1463302" cy="5266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E999A2-4C1E-43AB-A40D-C05402491324}" type="TxLink">
                  <a:rPr lang="en-US" sz="1600" b="0" i="0" u="none" strike="noStrike" kern="1200">
                    <a:solidFill>
                      <a:schemeClr val="bg1"/>
                    </a:solidFill>
                    <a:latin typeface="Aptos Narrow" panose="020B0004020202020204" pitchFamily="34" charset="0"/>
                    <a:cs typeface="Arial"/>
                  </a:rPr>
                  <a:pPr algn="ctr"/>
                  <a:t>10%</a:t>
                </a:fld>
                <a:endParaRPr lang="fr-CA" sz="1600" kern="1200">
                  <a:solidFill>
                    <a:schemeClr val="bg1"/>
                  </a:solidFill>
                  <a:latin typeface="Aptos Narrow" panose="020B0004020202020204" pitchFamily="34" charset="0"/>
                </a:endParaRPr>
              </a:p>
            </xdr:txBody>
          </xdr:sp>
          <xdr:sp macro="" textlink="ControlChart_Budget1!$CY$10">
            <xdr:nvSpPr>
              <xdr:cNvPr id="5241" name="Rectangle 5240">
                <a:extLst>
                  <a:ext uri="{FF2B5EF4-FFF2-40B4-BE49-F238E27FC236}">
                    <a16:creationId xmlns:a16="http://schemas.microsoft.com/office/drawing/2014/main" id="{00000000-0008-0000-0800-000079140000}"/>
                  </a:ext>
                </a:extLst>
              </xdr:cNvPr>
              <xdr:cNvSpPr/>
            </xdr:nvSpPr>
            <xdr:spPr>
              <a:xfrm>
                <a:off x="25884204" y="3240367"/>
                <a:ext cx="1463302" cy="5266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893F8FA-08C1-4B22-9733-17341CCD5D83}" type="TxLink">
                  <a:rPr lang="en-US" sz="1600" b="0" i="0" u="none" strike="noStrike" kern="1200">
                    <a:solidFill>
                      <a:srgbClr val="AADCD7"/>
                    </a:solidFill>
                    <a:latin typeface="Aptos Narrow" panose="020B0004020202020204" pitchFamily="34" charset="0"/>
                    <a:cs typeface="Arial"/>
                  </a:rPr>
                  <a:pPr algn="ctr"/>
                  <a:t>Good</a:t>
                </a:fld>
                <a:endParaRPr lang="fr-CA" sz="1600" kern="1200">
                  <a:solidFill>
                    <a:srgbClr val="AADCD7"/>
                  </a:solidFill>
                  <a:latin typeface="Aptos Narrow" panose="020B0004020202020204" pitchFamily="34" charset="0"/>
                </a:endParaRPr>
              </a:p>
            </xdr:txBody>
          </xdr:sp>
          <xdr:sp macro="" textlink="ControlChart_Budget1!$F$17">
            <xdr:nvSpPr>
              <xdr:cNvPr id="5215" name="Rectangle 5214">
                <a:extLst>
                  <a:ext uri="{FF2B5EF4-FFF2-40B4-BE49-F238E27FC236}">
                    <a16:creationId xmlns:a16="http://schemas.microsoft.com/office/drawing/2014/main" id="{00000000-0008-0000-0800-00005F140000}"/>
                  </a:ext>
                </a:extLst>
              </xdr:cNvPr>
              <xdr:cNvSpPr/>
            </xdr:nvSpPr>
            <xdr:spPr>
              <a:xfrm>
                <a:off x="25884195" y="1721972"/>
                <a:ext cx="1463302" cy="26240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A64E9A2-A15D-475B-9141-CEF7CC6D4A99}" type="TxLink">
                  <a:rPr lang="en-US" sz="1200" b="0" i="0" u="none" strike="noStrike" kern="1200">
                    <a:solidFill>
                      <a:srgbClr val="AADCD7"/>
                    </a:solidFill>
                    <a:latin typeface="Aptos Narrow" panose="020B0004020202020204" pitchFamily="34" charset="0"/>
                    <a:cs typeface="Arial"/>
                  </a:rPr>
                  <a:pPr algn="ctr"/>
                  <a:t>2025 Qtr1</a:t>
                </a:fld>
                <a:endParaRPr lang="fr-CA" sz="12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5138" name="Option Button 18" hidden="1">
                    <a:extLst>
                      <a:ext uri="{63B3BB69-23CF-44E3-9099-C40C66FF867C}">
                        <a14:compatExt spid="_x0000_s5138"/>
                      </a:ext>
                      <a:ext uri="{FF2B5EF4-FFF2-40B4-BE49-F238E27FC236}">
                        <a16:creationId xmlns:a16="http://schemas.microsoft.com/office/drawing/2014/main" id="{00000000-0008-0000-0800-000012140000}"/>
                      </a:ext>
                    </a:extLst>
                  </xdr:cNvPr>
                  <xdr:cNvSpPr/>
                </xdr:nvSpPr>
                <xdr:spPr bwMode="auto">
                  <a:xfrm>
                    <a:off x="26061989" y="1762125"/>
                    <a:ext cx="841248" cy="15081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5264" name="Group 5263">
              <a:extLst>
                <a:ext uri="{FF2B5EF4-FFF2-40B4-BE49-F238E27FC236}">
                  <a16:creationId xmlns:a16="http://schemas.microsoft.com/office/drawing/2014/main" id="{00000000-0008-0000-0800-000090140000}"/>
                </a:ext>
              </a:extLst>
            </xdr:cNvPr>
            <xdr:cNvGrpSpPr/>
          </xdr:nvGrpSpPr>
          <xdr:grpSpPr>
            <a:xfrm>
              <a:off x="28035252" y="1698960"/>
              <a:ext cx="2272250" cy="2160454"/>
              <a:chOff x="28035250" y="1698960"/>
              <a:chExt cx="2272250" cy="2160454"/>
            </a:xfrm>
          </xdr:grpSpPr>
          <xdr:sp macro="" textlink="">
            <xdr:nvSpPr>
              <xdr:cNvPr id="5202" name="Rectangle: Rounded Corners 5201">
                <a:extLst>
                  <a:ext uri="{FF2B5EF4-FFF2-40B4-BE49-F238E27FC236}">
                    <a16:creationId xmlns:a16="http://schemas.microsoft.com/office/drawing/2014/main" id="{00000000-0008-0000-0800-000052140000}"/>
                  </a:ext>
                </a:extLst>
              </xdr:cNvPr>
              <xdr:cNvSpPr>
                <a:spLocks noChangeAspect="1"/>
              </xdr:cNvSpPr>
            </xdr:nvSpPr>
            <xdr:spPr>
              <a:xfrm>
                <a:off x="28035250" y="1698960"/>
                <a:ext cx="2272250" cy="2160454"/>
              </a:xfrm>
              <a:prstGeom prst="roundRect">
                <a:avLst/>
              </a:prstGeom>
              <a:solidFill>
                <a:schemeClr val="tx1">
                  <a:alpha val="97000"/>
                </a:schemeClr>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208" name="Chart 5207">
                <a:extLst>
                  <a:ext uri="{FF2B5EF4-FFF2-40B4-BE49-F238E27FC236}">
                    <a16:creationId xmlns:a16="http://schemas.microsoft.com/office/drawing/2014/main" id="{00000000-0008-0000-0800-000058140000}"/>
                  </a:ext>
                </a:extLst>
              </xdr:cNvPr>
              <xdr:cNvGraphicFramePr>
                <a:graphicFrameLocks/>
              </xdr:cNvGraphicFramePr>
            </xdr:nvGraphicFramePr>
            <xdr:xfrm>
              <a:off x="28225949" y="1979000"/>
              <a:ext cx="1894987" cy="1794975"/>
            </xdr:xfrm>
            <a:graphic>
              <a:graphicData uri="http://schemas.openxmlformats.org/drawingml/2006/chart">
                <c:chart xmlns:c="http://schemas.openxmlformats.org/drawingml/2006/chart" xmlns:r="http://schemas.openxmlformats.org/officeDocument/2006/relationships" r:id="rId53"/>
              </a:graphicData>
            </a:graphic>
          </xdr:graphicFrame>
          <xdr:sp macro="" textlink="ControlChart_Budget1!$F$18">
            <xdr:nvSpPr>
              <xdr:cNvPr id="5216" name="Rectangle 5215">
                <a:extLst>
                  <a:ext uri="{FF2B5EF4-FFF2-40B4-BE49-F238E27FC236}">
                    <a16:creationId xmlns:a16="http://schemas.microsoft.com/office/drawing/2014/main" id="{00000000-0008-0000-0800-000060140000}"/>
                  </a:ext>
                </a:extLst>
              </xdr:cNvPr>
              <xdr:cNvSpPr/>
            </xdr:nvSpPr>
            <xdr:spPr>
              <a:xfrm>
                <a:off x="28425308" y="1724959"/>
                <a:ext cx="1459099" cy="2325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B7DCE8C-A0B7-4937-AF60-C5388009A0F7}" type="TxLink">
                  <a:rPr lang="en-US" sz="1200" b="0" i="0" u="none" strike="noStrike" kern="1200">
                    <a:solidFill>
                      <a:srgbClr val="AADCD7"/>
                    </a:solidFill>
                    <a:latin typeface="Aptos Narrow" panose="020B0004020202020204" pitchFamily="34" charset="0"/>
                    <a:cs typeface="Arial"/>
                  </a:rPr>
                  <a:pPr algn="ctr"/>
                  <a:t>2026 Qtr1</a:t>
                </a:fld>
                <a:endParaRPr lang="fr-CA" sz="1200" kern="1200">
                  <a:solidFill>
                    <a:srgbClr val="AADCD7"/>
                  </a:solidFill>
                  <a:latin typeface="Aptos Narrow" panose="020B0004020202020204" pitchFamily="34" charset="0"/>
                </a:endParaRPr>
              </a:p>
            </xdr:txBody>
          </xdr:sp>
          <xdr:sp macro="" textlink="ControlChart_Budget1!$CY$14">
            <xdr:nvSpPr>
              <xdr:cNvPr id="5224" name="Rectangle 5223">
                <a:extLst>
                  <a:ext uri="{FF2B5EF4-FFF2-40B4-BE49-F238E27FC236}">
                    <a16:creationId xmlns:a16="http://schemas.microsoft.com/office/drawing/2014/main" id="{00000000-0008-0000-0800-000068140000}"/>
                  </a:ext>
                </a:extLst>
              </xdr:cNvPr>
              <xdr:cNvSpPr/>
            </xdr:nvSpPr>
            <xdr:spPr>
              <a:xfrm>
                <a:off x="28444733" y="2943413"/>
                <a:ext cx="1459099" cy="5266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EE0EFAA-05CF-4C65-BDB3-E164F6F77164}" type="TxLink">
                  <a:rPr lang="en-US" sz="1600" b="0" i="0" u="none" strike="noStrike" kern="1200">
                    <a:solidFill>
                      <a:schemeClr val="bg1"/>
                    </a:solidFill>
                    <a:latin typeface="Aptos Narrow" panose="020B0004020202020204" pitchFamily="34" charset="0"/>
                    <a:cs typeface="Arial"/>
                  </a:rPr>
                  <a:pPr algn="ctr"/>
                  <a:t>0%</a:t>
                </a:fld>
                <a:endParaRPr lang="fr-CA" sz="1600" kern="1200">
                  <a:solidFill>
                    <a:schemeClr val="bg1"/>
                  </a:solidFill>
                  <a:latin typeface="Aptos Narrow" panose="020B0004020202020204" pitchFamily="34" charset="0"/>
                </a:endParaRPr>
              </a:p>
            </xdr:txBody>
          </xdr:sp>
          <xdr:sp macro="" textlink="ControlChart_Budget1!$CY$15">
            <xdr:nvSpPr>
              <xdr:cNvPr id="5242" name="Rectangle 5241">
                <a:extLst>
                  <a:ext uri="{FF2B5EF4-FFF2-40B4-BE49-F238E27FC236}">
                    <a16:creationId xmlns:a16="http://schemas.microsoft.com/office/drawing/2014/main" id="{00000000-0008-0000-0800-00007A140000}"/>
                  </a:ext>
                </a:extLst>
              </xdr:cNvPr>
              <xdr:cNvSpPr/>
            </xdr:nvSpPr>
            <xdr:spPr>
              <a:xfrm>
                <a:off x="28444732" y="3243543"/>
                <a:ext cx="1459099" cy="520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B7F3DBF-A271-44B3-8244-360B12F7267C}" type="TxLink">
                  <a:rPr lang="en-US" sz="1600" b="0" i="0" u="none" strike="noStrike" kern="1200">
                    <a:solidFill>
                      <a:srgbClr val="AADCD7"/>
                    </a:solidFill>
                    <a:latin typeface="Aptos Narrow" panose="020B0004020202020204" pitchFamily="34" charset="0"/>
                    <a:cs typeface="Arial"/>
                  </a:rPr>
                  <a:pPr algn="ctr"/>
                  <a:t> </a:t>
                </a:fld>
                <a:endParaRPr lang="fr-CA" sz="16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5139" name="Option Button 19" hidden="1">
                    <a:extLst>
                      <a:ext uri="{63B3BB69-23CF-44E3-9099-C40C66FF867C}">
                        <a14:compatExt spid="_x0000_s5139"/>
                      </a:ext>
                      <a:ext uri="{FF2B5EF4-FFF2-40B4-BE49-F238E27FC236}">
                        <a16:creationId xmlns:a16="http://schemas.microsoft.com/office/drawing/2014/main" id="{00000000-0008-0000-0800-000013140000}"/>
                      </a:ext>
                    </a:extLst>
                  </xdr:cNvPr>
                  <xdr:cNvSpPr/>
                </xdr:nvSpPr>
                <xdr:spPr bwMode="auto">
                  <a:xfrm>
                    <a:off x="28627389" y="1731962"/>
                    <a:ext cx="804862" cy="2047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5149" name="Group 5148">
              <a:extLst>
                <a:ext uri="{FF2B5EF4-FFF2-40B4-BE49-F238E27FC236}">
                  <a16:creationId xmlns:a16="http://schemas.microsoft.com/office/drawing/2014/main" id="{00000000-0008-0000-0800-00001D140000}"/>
                </a:ext>
              </a:extLst>
            </xdr:cNvPr>
            <xdr:cNvGrpSpPr/>
          </xdr:nvGrpSpPr>
          <xdr:grpSpPr>
            <a:xfrm>
              <a:off x="30589542" y="1698624"/>
              <a:ext cx="2272250" cy="2161125"/>
              <a:chOff x="30589538" y="1698624"/>
              <a:chExt cx="2272250" cy="2161125"/>
            </a:xfrm>
          </xdr:grpSpPr>
          <xdr:sp macro="" textlink="">
            <xdr:nvSpPr>
              <xdr:cNvPr id="5205" name="Rectangle: Rounded Corners 5204">
                <a:extLst>
                  <a:ext uri="{FF2B5EF4-FFF2-40B4-BE49-F238E27FC236}">
                    <a16:creationId xmlns:a16="http://schemas.microsoft.com/office/drawing/2014/main" id="{00000000-0008-0000-0800-000055140000}"/>
                  </a:ext>
                </a:extLst>
              </xdr:cNvPr>
              <xdr:cNvSpPr>
                <a:spLocks noChangeAspect="1"/>
              </xdr:cNvSpPr>
            </xdr:nvSpPr>
            <xdr:spPr>
              <a:xfrm>
                <a:off x="30589538" y="1698624"/>
                <a:ext cx="2272250" cy="2161125"/>
              </a:xfrm>
              <a:prstGeom prst="roundRect">
                <a:avLst/>
              </a:prstGeom>
              <a:solidFill>
                <a:schemeClr val="tx1">
                  <a:alpha val="97000"/>
                </a:schemeClr>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210" name="Chart 5209">
                <a:extLst>
                  <a:ext uri="{FF2B5EF4-FFF2-40B4-BE49-F238E27FC236}">
                    <a16:creationId xmlns:a16="http://schemas.microsoft.com/office/drawing/2014/main" id="{00000000-0008-0000-0800-00005A140000}"/>
                  </a:ext>
                </a:extLst>
              </xdr:cNvPr>
              <xdr:cNvGraphicFramePr>
                <a:graphicFrameLocks/>
              </xdr:cNvGraphicFramePr>
            </xdr:nvGraphicFramePr>
            <xdr:xfrm>
              <a:off x="30772762" y="1979000"/>
              <a:ext cx="1887050" cy="1794975"/>
            </xdr:xfrm>
            <a:graphic>
              <a:graphicData uri="http://schemas.openxmlformats.org/drawingml/2006/chart">
                <c:chart xmlns:c="http://schemas.openxmlformats.org/drawingml/2006/chart" xmlns:r="http://schemas.openxmlformats.org/officeDocument/2006/relationships" r:id="rId54"/>
              </a:graphicData>
            </a:graphic>
          </xdr:graphicFrame>
          <xdr:sp macro="" textlink="ControlChart_Budget1!$F$19">
            <xdr:nvSpPr>
              <xdr:cNvPr id="5218" name="Rectangle 5217">
                <a:extLst>
                  <a:ext uri="{FF2B5EF4-FFF2-40B4-BE49-F238E27FC236}">
                    <a16:creationId xmlns:a16="http://schemas.microsoft.com/office/drawing/2014/main" id="{00000000-0008-0000-0800-000062140000}"/>
                  </a:ext>
                </a:extLst>
              </xdr:cNvPr>
              <xdr:cNvSpPr/>
            </xdr:nvSpPr>
            <xdr:spPr>
              <a:xfrm>
                <a:off x="30992109" y="1720476"/>
                <a:ext cx="1463302" cy="2325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3C934CE-8BD0-44D0-B19E-6601EA958C79}"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1!$CY$28">
            <xdr:nvSpPr>
              <xdr:cNvPr id="5226" name="Rectangle 5225">
                <a:extLst>
                  <a:ext uri="{FF2B5EF4-FFF2-40B4-BE49-F238E27FC236}">
                    <a16:creationId xmlns:a16="http://schemas.microsoft.com/office/drawing/2014/main" id="{00000000-0008-0000-0800-00006A140000}"/>
                  </a:ext>
                </a:extLst>
              </xdr:cNvPr>
              <xdr:cNvSpPr/>
            </xdr:nvSpPr>
            <xdr:spPr>
              <a:xfrm>
                <a:off x="30993602" y="2954059"/>
                <a:ext cx="1463302" cy="520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7BC593D-1246-4181-AD9E-0CE064C9D9FB}" type="TxLink">
                  <a:rPr lang="en-US" sz="1600" b="0" i="0" u="none" strike="noStrike" kern="1200">
                    <a:solidFill>
                      <a:schemeClr val="bg1"/>
                    </a:solidFill>
                    <a:latin typeface="Aptos Narrow" panose="020B0004020202020204" pitchFamily="34" charset="0"/>
                    <a:cs typeface="Arial"/>
                  </a:rPr>
                  <a:pPr algn="ctr"/>
                  <a:t> </a:t>
                </a:fld>
                <a:endParaRPr lang="fr-CA" sz="1600" kern="1200">
                  <a:solidFill>
                    <a:schemeClr val="bg1"/>
                  </a:solidFill>
                  <a:latin typeface="Aptos Narrow" panose="020B0004020202020204" pitchFamily="34" charset="0"/>
                </a:endParaRPr>
              </a:p>
            </xdr:txBody>
          </xdr:sp>
          <xdr:sp macro="" textlink="ControlChart_Budget1!$CY$29">
            <xdr:nvSpPr>
              <xdr:cNvPr id="5253" name="Rectangle 5252">
                <a:extLst>
                  <a:ext uri="{FF2B5EF4-FFF2-40B4-BE49-F238E27FC236}">
                    <a16:creationId xmlns:a16="http://schemas.microsoft.com/office/drawing/2014/main" id="{00000000-0008-0000-0800-000085140000}"/>
                  </a:ext>
                </a:extLst>
              </xdr:cNvPr>
              <xdr:cNvSpPr/>
            </xdr:nvSpPr>
            <xdr:spPr>
              <a:xfrm>
                <a:off x="31001074" y="3243543"/>
                <a:ext cx="1463302" cy="520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5E39748-1063-4B4E-AC6A-D60BBD257B51}" type="TxLink">
                  <a:rPr lang="en-US" sz="1600" b="0" i="0" u="none" strike="noStrike" kern="1200">
                    <a:solidFill>
                      <a:srgbClr val="AADCD7"/>
                    </a:solidFill>
                    <a:latin typeface="Aptos Narrow" panose="020B0004020202020204" pitchFamily="34" charset="0"/>
                    <a:cs typeface="Arial"/>
                  </a:rPr>
                  <a:pPr algn="ctr"/>
                  <a:t> </a:t>
                </a:fld>
                <a:endParaRPr lang="fr-CA" sz="16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5140" name="Option Button 20" hidden="1">
                    <a:extLst>
                      <a:ext uri="{63B3BB69-23CF-44E3-9099-C40C66FF867C}">
                        <a14:compatExt spid="_x0000_s5140"/>
                      </a:ext>
                      <a:ext uri="{FF2B5EF4-FFF2-40B4-BE49-F238E27FC236}">
                        <a16:creationId xmlns:a16="http://schemas.microsoft.com/office/drawing/2014/main" id="{00000000-0008-0000-0800-000014140000}"/>
                      </a:ext>
                    </a:extLst>
                  </xdr:cNvPr>
                  <xdr:cNvSpPr/>
                </xdr:nvSpPr>
                <xdr:spPr bwMode="auto">
                  <a:xfrm>
                    <a:off x="31207075" y="1716088"/>
                    <a:ext cx="796925" cy="2206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5203" name="Group 5202">
              <a:extLst>
                <a:ext uri="{FF2B5EF4-FFF2-40B4-BE49-F238E27FC236}">
                  <a16:creationId xmlns:a16="http://schemas.microsoft.com/office/drawing/2014/main" id="{00000000-0008-0000-0800-000053140000}"/>
                </a:ext>
              </a:extLst>
            </xdr:cNvPr>
            <xdr:cNvGrpSpPr/>
          </xdr:nvGrpSpPr>
          <xdr:grpSpPr>
            <a:xfrm>
              <a:off x="33151767" y="1698624"/>
              <a:ext cx="2272250" cy="2161125"/>
              <a:chOff x="33151763" y="1698624"/>
              <a:chExt cx="2272250" cy="2161125"/>
            </a:xfrm>
          </xdr:grpSpPr>
          <xdr:sp macro="" textlink="">
            <xdr:nvSpPr>
              <xdr:cNvPr id="5206" name="Rectangle: Rounded Corners 5205">
                <a:extLst>
                  <a:ext uri="{FF2B5EF4-FFF2-40B4-BE49-F238E27FC236}">
                    <a16:creationId xmlns:a16="http://schemas.microsoft.com/office/drawing/2014/main" id="{00000000-0008-0000-0800-000056140000}"/>
                  </a:ext>
                </a:extLst>
              </xdr:cNvPr>
              <xdr:cNvSpPr>
                <a:spLocks noChangeAspect="1"/>
              </xdr:cNvSpPr>
            </xdr:nvSpPr>
            <xdr:spPr>
              <a:xfrm>
                <a:off x="33151763" y="1698624"/>
                <a:ext cx="2272250" cy="2161125"/>
              </a:xfrm>
              <a:prstGeom prst="roundRect">
                <a:avLst/>
              </a:prstGeom>
              <a:solidFill>
                <a:schemeClr val="tx1">
                  <a:alpha val="97000"/>
                </a:schemeClr>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211" name="Chart 5210">
                <a:extLst>
                  <a:ext uri="{FF2B5EF4-FFF2-40B4-BE49-F238E27FC236}">
                    <a16:creationId xmlns:a16="http://schemas.microsoft.com/office/drawing/2014/main" id="{00000000-0008-0000-0800-00005B140000}"/>
                  </a:ext>
                </a:extLst>
              </xdr:cNvPr>
              <xdr:cNvGraphicFramePr>
                <a:graphicFrameLocks/>
              </xdr:cNvGraphicFramePr>
            </xdr:nvGraphicFramePr>
            <xdr:xfrm>
              <a:off x="33311637" y="1979000"/>
              <a:ext cx="1894988" cy="1794975"/>
            </xdr:xfrm>
            <a:graphic>
              <a:graphicData uri="http://schemas.openxmlformats.org/drawingml/2006/chart">
                <c:chart xmlns:c="http://schemas.openxmlformats.org/drawingml/2006/chart" xmlns:r="http://schemas.openxmlformats.org/officeDocument/2006/relationships" r:id="rId55"/>
              </a:graphicData>
            </a:graphic>
          </xdr:graphicFrame>
          <xdr:sp macro="" textlink="ControlChart_Budget1!$F$20">
            <xdr:nvSpPr>
              <xdr:cNvPr id="5219" name="Rectangle 5218">
                <a:extLst>
                  <a:ext uri="{FF2B5EF4-FFF2-40B4-BE49-F238E27FC236}">
                    <a16:creationId xmlns:a16="http://schemas.microsoft.com/office/drawing/2014/main" id="{00000000-0008-0000-0800-000063140000}"/>
                  </a:ext>
                </a:extLst>
              </xdr:cNvPr>
              <xdr:cNvSpPr/>
            </xdr:nvSpPr>
            <xdr:spPr>
              <a:xfrm>
                <a:off x="33525760" y="1715994"/>
                <a:ext cx="1459100" cy="2325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6859131-23A7-4315-87C5-21DCC943B50B}"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1!$CY$40">
            <xdr:nvSpPr>
              <xdr:cNvPr id="5236" name="Rectangle 5235">
                <a:extLst>
                  <a:ext uri="{FF2B5EF4-FFF2-40B4-BE49-F238E27FC236}">
                    <a16:creationId xmlns:a16="http://schemas.microsoft.com/office/drawing/2014/main" id="{00000000-0008-0000-0800-000074140000}"/>
                  </a:ext>
                </a:extLst>
              </xdr:cNvPr>
              <xdr:cNvSpPr/>
            </xdr:nvSpPr>
            <xdr:spPr>
              <a:xfrm>
                <a:off x="33569089" y="2946588"/>
                <a:ext cx="1459100" cy="520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5157BC4-5370-438D-9BD9-FAC2579F49D0}" type="TxLink">
                  <a:rPr lang="en-US" sz="1600" b="0" i="0" u="none" strike="noStrike" kern="1200">
                    <a:solidFill>
                      <a:schemeClr val="bg1"/>
                    </a:solidFill>
                    <a:latin typeface="Aptos Narrow" panose="020B0004020202020204" pitchFamily="34" charset="0"/>
                    <a:cs typeface="Arial"/>
                  </a:rPr>
                  <a:pPr algn="ctr"/>
                  <a:t> </a:t>
                </a:fld>
                <a:endParaRPr lang="fr-CA" sz="1600" kern="1200">
                  <a:solidFill>
                    <a:schemeClr val="bg1"/>
                  </a:solidFill>
                  <a:latin typeface="Aptos Narrow" panose="020B0004020202020204" pitchFamily="34" charset="0"/>
                </a:endParaRPr>
              </a:p>
            </xdr:txBody>
          </xdr:sp>
          <xdr:sp macro="" textlink="ControlChart_Budget1!$CY$41">
            <xdr:nvSpPr>
              <xdr:cNvPr id="5254" name="Rectangle 5253">
                <a:extLst>
                  <a:ext uri="{FF2B5EF4-FFF2-40B4-BE49-F238E27FC236}">
                    <a16:creationId xmlns:a16="http://schemas.microsoft.com/office/drawing/2014/main" id="{00000000-0008-0000-0800-000086140000}"/>
                  </a:ext>
                </a:extLst>
              </xdr:cNvPr>
              <xdr:cNvSpPr/>
            </xdr:nvSpPr>
            <xdr:spPr>
              <a:xfrm>
                <a:off x="33531736" y="3243543"/>
                <a:ext cx="1459100" cy="520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5E5623-117C-488E-90B3-BD416EF15FB6}" type="TxLink">
                  <a:rPr lang="en-US" sz="1600" b="0" i="0" u="none" strike="noStrike" kern="1200">
                    <a:solidFill>
                      <a:srgbClr val="AADCD7"/>
                    </a:solidFill>
                    <a:latin typeface="Aptos Narrow" panose="020B0004020202020204" pitchFamily="34" charset="0"/>
                    <a:cs typeface="Arial"/>
                  </a:rPr>
                  <a:pPr algn="ctr"/>
                  <a:t> </a:t>
                </a:fld>
                <a:endParaRPr lang="fr-CA" sz="16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5141" name="Option Button 21" hidden="1">
                    <a:extLst>
                      <a:ext uri="{63B3BB69-23CF-44E3-9099-C40C66FF867C}">
                        <a14:compatExt spid="_x0000_s5141"/>
                      </a:ext>
                      <a:ext uri="{FF2B5EF4-FFF2-40B4-BE49-F238E27FC236}">
                        <a16:creationId xmlns:a16="http://schemas.microsoft.com/office/drawing/2014/main" id="{00000000-0008-0000-0800-000015140000}"/>
                      </a:ext>
                    </a:extLst>
                  </xdr:cNvPr>
                  <xdr:cNvSpPr/>
                </xdr:nvSpPr>
                <xdr:spPr bwMode="auto">
                  <a:xfrm>
                    <a:off x="33745488" y="1714501"/>
                    <a:ext cx="790576" cy="1984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5204" name="Group 5203">
              <a:extLst>
                <a:ext uri="{FF2B5EF4-FFF2-40B4-BE49-F238E27FC236}">
                  <a16:creationId xmlns:a16="http://schemas.microsoft.com/office/drawing/2014/main" id="{00000000-0008-0000-0800-000054140000}"/>
                </a:ext>
              </a:extLst>
            </xdr:cNvPr>
            <xdr:cNvGrpSpPr/>
          </xdr:nvGrpSpPr>
          <xdr:grpSpPr>
            <a:xfrm>
              <a:off x="35706050" y="1698624"/>
              <a:ext cx="2272250" cy="2161125"/>
              <a:chOff x="35706050" y="1698624"/>
              <a:chExt cx="2272250" cy="2161125"/>
            </a:xfrm>
          </xdr:grpSpPr>
          <xdr:sp macro="" textlink="">
            <xdr:nvSpPr>
              <xdr:cNvPr id="5207" name="Rectangle: Rounded Corners 5206">
                <a:extLst>
                  <a:ext uri="{FF2B5EF4-FFF2-40B4-BE49-F238E27FC236}">
                    <a16:creationId xmlns:a16="http://schemas.microsoft.com/office/drawing/2014/main" id="{00000000-0008-0000-0800-000057140000}"/>
                  </a:ext>
                </a:extLst>
              </xdr:cNvPr>
              <xdr:cNvSpPr>
                <a:spLocks noChangeAspect="1"/>
              </xdr:cNvSpPr>
            </xdr:nvSpPr>
            <xdr:spPr>
              <a:xfrm>
                <a:off x="35706050" y="1698624"/>
                <a:ext cx="2272250" cy="2161125"/>
              </a:xfrm>
              <a:prstGeom prst="roundRect">
                <a:avLst/>
              </a:prstGeom>
              <a:solidFill>
                <a:schemeClr val="tx1">
                  <a:alpha val="97000"/>
                </a:schemeClr>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212" name="Chart 5211">
                <a:extLst>
                  <a:ext uri="{FF2B5EF4-FFF2-40B4-BE49-F238E27FC236}">
                    <a16:creationId xmlns:a16="http://schemas.microsoft.com/office/drawing/2014/main" id="{00000000-0008-0000-0800-00005C140000}"/>
                  </a:ext>
                </a:extLst>
              </xdr:cNvPr>
              <xdr:cNvGraphicFramePr>
                <a:graphicFrameLocks noChangeAspect="1"/>
              </xdr:cNvGraphicFramePr>
            </xdr:nvGraphicFramePr>
            <xdr:xfrm>
              <a:off x="35858450" y="1979000"/>
              <a:ext cx="1887050" cy="1794975"/>
            </xdr:xfrm>
            <a:graphic>
              <a:graphicData uri="http://schemas.openxmlformats.org/drawingml/2006/chart">
                <c:chart xmlns:c="http://schemas.openxmlformats.org/drawingml/2006/chart" xmlns:r="http://schemas.openxmlformats.org/officeDocument/2006/relationships" r:id="rId56"/>
              </a:graphicData>
            </a:graphic>
          </xdr:graphicFrame>
          <xdr:sp macro="" textlink="ControlChart_Budget1!$F$21">
            <xdr:nvSpPr>
              <xdr:cNvPr id="5220" name="Rectangle 5219">
                <a:extLst>
                  <a:ext uri="{FF2B5EF4-FFF2-40B4-BE49-F238E27FC236}">
                    <a16:creationId xmlns:a16="http://schemas.microsoft.com/office/drawing/2014/main" id="{00000000-0008-0000-0800-000064140000}"/>
                  </a:ext>
                </a:extLst>
              </xdr:cNvPr>
              <xdr:cNvSpPr/>
            </xdr:nvSpPr>
            <xdr:spPr>
              <a:xfrm>
                <a:off x="36092561" y="1718048"/>
                <a:ext cx="1463302" cy="2259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3288C2B-A3FC-48D6-B242-C48C7A25D706}"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1!$CY$53">
            <xdr:nvSpPr>
              <xdr:cNvPr id="5240" name="Rectangle 5239">
                <a:extLst>
                  <a:ext uri="{FF2B5EF4-FFF2-40B4-BE49-F238E27FC236}">
                    <a16:creationId xmlns:a16="http://schemas.microsoft.com/office/drawing/2014/main" id="{00000000-0008-0000-0800-000078140000}"/>
                  </a:ext>
                </a:extLst>
              </xdr:cNvPr>
              <xdr:cNvSpPr/>
            </xdr:nvSpPr>
            <xdr:spPr>
              <a:xfrm>
                <a:off x="36110489" y="2946588"/>
                <a:ext cx="1463302" cy="520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FAFF977-FBE4-41FE-8E6A-A35D35C9077D}" type="TxLink">
                  <a:rPr lang="en-US" sz="1600" b="0" i="0" u="none" strike="noStrike" kern="1200">
                    <a:solidFill>
                      <a:schemeClr val="bg1"/>
                    </a:solidFill>
                    <a:latin typeface="Aptos Narrow" panose="020B0004020202020204" pitchFamily="34" charset="0"/>
                    <a:cs typeface="Arial"/>
                  </a:rPr>
                  <a:pPr algn="ctr"/>
                  <a:t> </a:t>
                </a:fld>
                <a:endParaRPr lang="fr-CA" sz="1600" kern="1200">
                  <a:solidFill>
                    <a:schemeClr val="bg1"/>
                  </a:solidFill>
                  <a:latin typeface="Aptos Narrow" panose="020B0004020202020204" pitchFamily="34" charset="0"/>
                </a:endParaRPr>
              </a:p>
            </xdr:txBody>
          </xdr:sp>
          <xdr:sp macro="" textlink="ControlChart_Budget1!$CY$54">
            <xdr:nvSpPr>
              <xdr:cNvPr id="5256" name="Rectangle 5255">
                <a:extLst>
                  <a:ext uri="{FF2B5EF4-FFF2-40B4-BE49-F238E27FC236}">
                    <a16:creationId xmlns:a16="http://schemas.microsoft.com/office/drawing/2014/main" id="{00000000-0008-0000-0800-000088140000}"/>
                  </a:ext>
                </a:extLst>
              </xdr:cNvPr>
              <xdr:cNvSpPr/>
            </xdr:nvSpPr>
            <xdr:spPr>
              <a:xfrm>
                <a:off x="36147842" y="3243543"/>
                <a:ext cx="1463302" cy="520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6B45A32-1CE5-4691-8580-D47C2B8D82B8}" type="TxLink">
                  <a:rPr lang="en-US" sz="1600" b="0" i="0" u="none" strike="noStrike" kern="1200">
                    <a:solidFill>
                      <a:srgbClr val="AADCD7"/>
                    </a:solidFill>
                    <a:latin typeface="Aptos Narrow" panose="020B0004020202020204" pitchFamily="34" charset="0"/>
                    <a:cs typeface="Arial"/>
                  </a:rPr>
                  <a:pPr algn="ctr"/>
                  <a:t> </a:t>
                </a:fld>
                <a:endParaRPr lang="fr-CA" sz="16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40" name="Option Button 22" hidden="1">
                    <a:extLst>
                      <a:ext uri="{63B3BB69-23CF-44E3-9099-C40C66FF867C}">
                        <a14:compatExt spid="_x0000_s5142"/>
                      </a:ext>
                      <a:ext uri="{FF2B5EF4-FFF2-40B4-BE49-F238E27FC236}">
                        <a16:creationId xmlns:a16="http://schemas.microsoft.com/office/drawing/2014/main" id="{00000000-0008-0000-0800-000028000000}"/>
                      </a:ext>
                    </a:extLst>
                  </xdr:cNvPr>
                  <xdr:cNvSpPr/>
                </xdr:nvSpPr>
                <xdr:spPr bwMode="auto">
                  <a:xfrm>
                    <a:off x="36314062" y="1733551"/>
                    <a:ext cx="682625" cy="179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grpSp>
        <xdr:nvGrpSpPr>
          <xdr:cNvPr id="5608" name="Group 5607">
            <a:extLst>
              <a:ext uri="{FF2B5EF4-FFF2-40B4-BE49-F238E27FC236}">
                <a16:creationId xmlns:a16="http://schemas.microsoft.com/office/drawing/2014/main" id="{00000000-0008-0000-0800-0000E8150000}"/>
              </a:ext>
            </a:extLst>
          </xdr:cNvPr>
          <xdr:cNvGrpSpPr/>
        </xdr:nvGrpSpPr>
        <xdr:grpSpPr>
          <a:xfrm>
            <a:off x="31335810" y="378987"/>
            <a:ext cx="11907234" cy="314008"/>
            <a:chOff x="31641143" y="349251"/>
            <a:chExt cx="12166601" cy="299357"/>
          </a:xfrm>
        </xdr:grpSpPr>
        <xdr:sp macro="" textlink="ControlChart_Budget1!CX3">
          <xdr:nvSpPr>
            <xdr:cNvPr id="5589" name="Rectangle: Rounded Corners 5588">
              <a:extLst>
                <a:ext uri="{FF2B5EF4-FFF2-40B4-BE49-F238E27FC236}">
                  <a16:creationId xmlns:a16="http://schemas.microsoft.com/office/drawing/2014/main" id="{00000000-0008-0000-0800-0000D5150000}"/>
                </a:ext>
              </a:extLst>
            </xdr:cNvPr>
            <xdr:cNvSpPr/>
          </xdr:nvSpPr>
          <xdr:spPr>
            <a:xfrm>
              <a:off x="31641143" y="349251"/>
              <a:ext cx="1587500" cy="299357"/>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08A6BBC-4444-4032-91A1-6131BFF1B07B}" type="TxLink">
                <a:rPr lang="en-US" altLang="ja-JP"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1!CX16">
          <xdr:nvSpPr>
            <xdr:cNvPr id="5602" name="Rectangle: Rounded Corners 5601">
              <a:extLst>
                <a:ext uri="{FF2B5EF4-FFF2-40B4-BE49-F238E27FC236}">
                  <a16:creationId xmlns:a16="http://schemas.microsoft.com/office/drawing/2014/main" id="{00000000-0008-0000-0800-0000E2150000}"/>
                </a:ext>
              </a:extLst>
            </xdr:cNvPr>
            <xdr:cNvSpPr/>
          </xdr:nvSpPr>
          <xdr:spPr>
            <a:xfrm>
              <a:off x="34306329" y="349251"/>
              <a:ext cx="1587500" cy="299357"/>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6D3747D-E431-479C-8E28-E47AAD7F982E}" type="TxLink">
                <a:rPr lang="en-US" altLang="ja-JP"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1!CY27">
          <xdr:nvSpPr>
            <xdr:cNvPr id="5605" name="Rectangle: Rounded Corners 5604">
              <a:extLst>
                <a:ext uri="{FF2B5EF4-FFF2-40B4-BE49-F238E27FC236}">
                  <a16:creationId xmlns:a16="http://schemas.microsoft.com/office/drawing/2014/main" id="{00000000-0008-0000-0800-0000E5150000}"/>
                </a:ext>
              </a:extLst>
            </xdr:cNvPr>
            <xdr:cNvSpPr/>
          </xdr:nvSpPr>
          <xdr:spPr>
            <a:xfrm>
              <a:off x="36935230" y="349251"/>
              <a:ext cx="1587500" cy="299357"/>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0892562-F421-4F37-962C-B01112810849}"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1!CX42">
          <xdr:nvSpPr>
            <xdr:cNvPr id="5606" name="Rectangle: Rounded Corners 5605">
              <a:extLst>
                <a:ext uri="{FF2B5EF4-FFF2-40B4-BE49-F238E27FC236}">
                  <a16:creationId xmlns:a16="http://schemas.microsoft.com/office/drawing/2014/main" id="{00000000-0008-0000-0800-0000E6150000}"/>
                </a:ext>
              </a:extLst>
            </xdr:cNvPr>
            <xdr:cNvSpPr/>
          </xdr:nvSpPr>
          <xdr:spPr>
            <a:xfrm>
              <a:off x="39582272" y="349251"/>
              <a:ext cx="1587500" cy="299357"/>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7440A58-1DD1-4AB0-B41E-1564986A0CF6}"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sp macro="" textlink="ControlChart_Budget1!CX55">
          <xdr:nvSpPr>
            <xdr:cNvPr id="5607" name="Rectangle: Rounded Corners 5606">
              <a:extLst>
                <a:ext uri="{FF2B5EF4-FFF2-40B4-BE49-F238E27FC236}">
                  <a16:creationId xmlns:a16="http://schemas.microsoft.com/office/drawing/2014/main" id="{00000000-0008-0000-0800-0000E7150000}"/>
                </a:ext>
              </a:extLst>
            </xdr:cNvPr>
            <xdr:cNvSpPr/>
          </xdr:nvSpPr>
          <xdr:spPr>
            <a:xfrm>
              <a:off x="42220244" y="349251"/>
              <a:ext cx="1587500" cy="299357"/>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AC8FD0A-BE1B-4F3B-B8C6-9ABF93B2A789}" type="TxLink">
                <a:rPr lang="en-US" sz="1200" b="0" i="0" u="none" strike="noStrike" kern="1200">
                  <a:solidFill>
                    <a:srgbClr val="AADCD7"/>
                  </a:solidFill>
                  <a:latin typeface="Aptos Narrow" panose="020B0004020202020204" pitchFamily="34" charset="0"/>
                  <a:cs typeface="Arial"/>
                </a:rPr>
                <a:pPr algn="ctr"/>
                <a:t> </a:t>
              </a:fld>
              <a:endParaRPr lang="fr-CA" sz="1200" kern="1200">
                <a:solidFill>
                  <a:srgbClr val="AADCD7"/>
                </a:solidFill>
                <a:latin typeface="Aptos Narrow" panose="020B0004020202020204" pitchFamily="34" charset="0"/>
              </a:endParaRPr>
            </a:p>
          </xdr:txBody>
        </xdr:sp>
      </xdr:grpSp>
      <xdr:grpSp>
        <xdr:nvGrpSpPr>
          <xdr:cNvPr id="5995" name="Group 5994">
            <a:extLst>
              <a:ext uri="{FF2B5EF4-FFF2-40B4-BE49-F238E27FC236}">
                <a16:creationId xmlns:a16="http://schemas.microsoft.com/office/drawing/2014/main" id="{00000000-0008-0000-0800-00006B170000}"/>
              </a:ext>
            </a:extLst>
          </xdr:cNvPr>
          <xdr:cNvGrpSpPr/>
        </xdr:nvGrpSpPr>
        <xdr:grpSpPr>
          <a:xfrm>
            <a:off x="30952923" y="3106985"/>
            <a:ext cx="12819024" cy="7020161"/>
            <a:chOff x="31408762" y="3059717"/>
            <a:chExt cx="13019251" cy="6910194"/>
          </a:xfrm>
        </xdr:grpSpPr>
        <xdr:grpSp>
          <xdr:nvGrpSpPr>
            <xdr:cNvPr id="5892" name="Group 5891">
              <a:extLst>
                <a:ext uri="{FF2B5EF4-FFF2-40B4-BE49-F238E27FC236}">
                  <a16:creationId xmlns:a16="http://schemas.microsoft.com/office/drawing/2014/main" id="{00000000-0008-0000-0800-000004170000}"/>
                </a:ext>
              </a:extLst>
            </xdr:cNvPr>
            <xdr:cNvGrpSpPr/>
          </xdr:nvGrpSpPr>
          <xdr:grpSpPr>
            <a:xfrm>
              <a:off x="31437704" y="3059717"/>
              <a:ext cx="4277297" cy="2257080"/>
              <a:chOff x="31040829" y="3059717"/>
              <a:chExt cx="4221735" cy="2257080"/>
            </a:xfrm>
          </xdr:grpSpPr>
          <xdr:sp macro="" textlink="">
            <xdr:nvSpPr>
              <xdr:cNvPr id="5180" name="Rectangle: Rounded Corners 5179">
                <a:extLst>
                  <a:ext uri="{FF2B5EF4-FFF2-40B4-BE49-F238E27FC236}">
                    <a16:creationId xmlns:a16="http://schemas.microsoft.com/office/drawing/2014/main" id="{00000000-0008-0000-0800-00003C140000}"/>
                  </a:ext>
                </a:extLst>
              </xdr:cNvPr>
              <xdr:cNvSpPr/>
            </xdr:nvSpPr>
            <xdr:spPr>
              <a:xfrm>
                <a:off x="31040829" y="3059717"/>
                <a:ext cx="4221735" cy="2257080"/>
              </a:xfrm>
              <a:prstGeom prst="roundRect">
                <a:avLst/>
              </a:prstGeom>
              <a:solidFill>
                <a:schemeClr val="tx1">
                  <a:alpha val="99000"/>
                </a:schemeClr>
              </a:solidFill>
              <a:ln>
                <a:solidFill>
                  <a:srgbClr val="FA6148">
                    <a:alpha val="98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92" name="B1AL">
                <a:extLst>
                  <a:ext uri="{FF2B5EF4-FFF2-40B4-BE49-F238E27FC236}">
                    <a16:creationId xmlns:a16="http://schemas.microsoft.com/office/drawing/2014/main" id="{00000000-0008-0000-0800-000048140000}"/>
                  </a:ext>
                </a:extLst>
              </xdr:cNvPr>
              <xdr:cNvGraphicFramePr>
                <a:graphicFrameLocks/>
              </xdr:cNvGraphicFramePr>
            </xdr:nvGraphicFramePr>
            <xdr:xfrm>
              <a:off x="31530396" y="3445441"/>
              <a:ext cx="3540126" cy="1776305"/>
            </xdr:xfrm>
            <a:graphic>
              <a:graphicData uri="http://schemas.openxmlformats.org/drawingml/2006/chart">
                <c:chart xmlns:c="http://schemas.openxmlformats.org/drawingml/2006/chart" xmlns:r="http://schemas.openxmlformats.org/officeDocument/2006/relationships" r:id="rId57"/>
              </a:graphicData>
            </a:graphic>
          </xdr:graphicFrame>
          <xdr:sp macro="" textlink="ControlChart_Budget1!AT13">
            <xdr:nvSpPr>
              <xdr:cNvPr id="5281" name="Rectangle 5280">
                <a:extLst>
                  <a:ext uri="{FF2B5EF4-FFF2-40B4-BE49-F238E27FC236}">
                    <a16:creationId xmlns:a16="http://schemas.microsoft.com/office/drawing/2014/main" id="{00000000-0008-0000-0800-0000A1140000}"/>
                  </a:ext>
                </a:extLst>
              </xdr:cNvPr>
              <xdr:cNvSpPr/>
            </xdr:nvSpPr>
            <xdr:spPr>
              <a:xfrm>
                <a:off x="31949877" y="5018043"/>
                <a:ext cx="2187174" cy="2343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1A221D9-CCA5-40D1-BF7F-214EAECC0642}" type="TxLink">
                  <a:rPr lang="en-US" sz="1200" b="0" i="0" u="none" strike="noStrike" kern="1200">
                    <a:solidFill>
                      <a:srgbClr val="AADCD7"/>
                    </a:solidFill>
                    <a:latin typeface="Aptos Narrow" panose="020B0004020202020204" pitchFamily="34" charset="0"/>
                    <a:cs typeface="Arial"/>
                  </a:rPr>
                  <a:pPr algn="ctr"/>
                  <a:t>Category2</a:t>
                </a:fld>
                <a:endParaRPr lang="fr-CA" sz="1200" kern="1200">
                  <a:solidFill>
                    <a:srgbClr val="AADCD7"/>
                  </a:solidFill>
                  <a:latin typeface="Aptos Narrow" panose="020B0004020202020204" pitchFamily="34" charset="0"/>
                </a:endParaRPr>
              </a:p>
            </xdr:txBody>
          </xdr:sp>
          <xdr:sp macro="" textlink="ControlChart_Budget1!AT6">
            <xdr:nvSpPr>
              <xdr:cNvPr id="5282" name="Rectangle 5281">
                <a:extLst>
                  <a:ext uri="{FF2B5EF4-FFF2-40B4-BE49-F238E27FC236}">
                    <a16:creationId xmlns:a16="http://schemas.microsoft.com/office/drawing/2014/main" id="{00000000-0008-0000-0800-0000A2140000}"/>
                  </a:ext>
                </a:extLst>
              </xdr:cNvPr>
              <xdr:cNvSpPr/>
            </xdr:nvSpPr>
            <xdr:spPr>
              <a:xfrm>
                <a:off x="31949877" y="3116147"/>
                <a:ext cx="2187174" cy="226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8FF71E0-1931-4F7E-94D7-D282ECC022DB}"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1!AT18">
            <xdr:nvSpPr>
              <xdr:cNvPr id="5283" name="Rectangle 5282">
                <a:extLst>
                  <a:ext uri="{FF2B5EF4-FFF2-40B4-BE49-F238E27FC236}">
                    <a16:creationId xmlns:a16="http://schemas.microsoft.com/office/drawing/2014/main" id="{00000000-0008-0000-0800-0000A3140000}"/>
                  </a:ext>
                </a:extLst>
              </xdr:cNvPr>
              <xdr:cNvSpPr/>
            </xdr:nvSpPr>
            <xdr:spPr>
              <a:xfrm>
                <a:off x="31174241" y="3354184"/>
                <a:ext cx="1857898" cy="2290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FA54CA8-37F2-44FB-88D8-89963308BB96}"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1!AV18">
            <xdr:nvSpPr>
              <xdr:cNvPr id="5284" name="Rectangle 5283">
                <a:extLst>
                  <a:ext uri="{FF2B5EF4-FFF2-40B4-BE49-F238E27FC236}">
                    <a16:creationId xmlns:a16="http://schemas.microsoft.com/office/drawing/2014/main" id="{00000000-0008-0000-0800-0000A4140000}"/>
                  </a:ext>
                </a:extLst>
              </xdr:cNvPr>
              <xdr:cNvSpPr/>
            </xdr:nvSpPr>
            <xdr:spPr>
              <a:xfrm>
                <a:off x="32937574" y="3390135"/>
                <a:ext cx="1294043" cy="226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519A593-296E-445E-A433-D0F9D836D582}"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sp macro="" textlink="ControlChart_Budget1!AX18">
            <xdr:nvSpPr>
              <xdr:cNvPr id="5285" name="Rectangle 5284">
                <a:extLst>
                  <a:ext uri="{FF2B5EF4-FFF2-40B4-BE49-F238E27FC236}">
                    <a16:creationId xmlns:a16="http://schemas.microsoft.com/office/drawing/2014/main" id="{00000000-0008-0000-0800-0000A5140000}"/>
                  </a:ext>
                </a:extLst>
              </xdr:cNvPr>
              <xdr:cNvSpPr/>
            </xdr:nvSpPr>
            <xdr:spPr>
              <a:xfrm>
                <a:off x="33463005" y="3149450"/>
                <a:ext cx="674046" cy="226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9A4679B1-D7D1-43A8-89FB-C383FAFF8B8B}"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1!AW18">
            <xdr:nvSpPr>
              <xdr:cNvPr id="5286" name="Rectangle 5285">
                <a:extLst>
                  <a:ext uri="{FF2B5EF4-FFF2-40B4-BE49-F238E27FC236}">
                    <a16:creationId xmlns:a16="http://schemas.microsoft.com/office/drawing/2014/main" id="{00000000-0008-0000-0800-0000A6140000}"/>
                  </a:ext>
                </a:extLst>
              </xdr:cNvPr>
              <xdr:cNvSpPr/>
            </xdr:nvSpPr>
            <xdr:spPr>
              <a:xfrm>
                <a:off x="34137051" y="3146804"/>
                <a:ext cx="820707" cy="2318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5BE3C7A-228A-438D-A7E2-C8C478EA1BBA}"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pic macro="[0]!Chart_Analyse.ShapeI21">
            <xdr:nvPicPr>
              <xdr:cNvPr id="5926" name="SH I21" descr="Branching diagram outline">
                <a:extLst>
                  <a:ext uri="{FF2B5EF4-FFF2-40B4-BE49-F238E27FC236}">
                    <a16:creationId xmlns:a16="http://schemas.microsoft.com/office/drawing/2014/main" id="{00000000-0008-0000-0800-000026170000}"/>
                  </a:ext>
                </a:extLst>
              </xdr:cNvPr>
              <xdr:cNvPicPr>
                <a:picLocks noChangeAspect="1"/>
              </xdr:cNvPicPr>
            </xdr:nvPicPr>
            <xdr:blipFill>
              <a:blip xmlns:r="http://schemas.openxmlformats.org/officeDocument/2006/relationships" r:embed="rId58">
                <a:alphaModFix/>
                <a:extLst>
                  <a:ext uri="{96DAC541-7B7A-43D3-8B79-37D633B846F1}">
                    <asvg:svgBlip xmlns:asvg="http://schemas.microsoft.com/office/drawing/2016/SVG/main" r:embed="rId59"/>
                  </a:ext>
                </a:extLst>
              </a:blip>
              <a:stretch>
                <a:fillRect/>
              </a:stretch>
            </xdr:blipFill>
            <xdr:spPr>
              <a:xfrm rot="10800000">
                <a:off x="31133840" y="3729354"/>
                <a:ext cx="380451" cy="385779"/>
              </a:xfrm>
              <a:prstGeom prst="rect">
                <a:avLst/>
              </a:prstGeom>
            </xdr:spPr>
          </xdr:pic>
          <xdr:pic macro="[0]!Chart_Analyse.ShapeI23">
            <xdr:nvPicPr>
              <xdr:cNvPr id="5927" name="SH I23" descr="Arrow circle outline">
                <a:extLst>
                  <a:ext uri="{FF2B5EF4-FFF2-40B4-BE49-F238E27FC236}">
                    <a16:creationId xmlns:a16="http://schemas.microsoft.com/office/drawing/2014/main" id="{00000000-0008-0000-0800-000027170000}"/>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60"/>
                  </a:ext>
                </a:extLst>
              </a:blip>
              <a:stretch>
                <a:fillRect/>
              </a:stretch>
            </xdr:blipFill>
            <xdr:spPr>
              <a:xfrm>
                <a:off x="31098882" y="4592362"/>
                <a:ext cx="453016" cy="453330"/>
              </a:xfrm>
              <a:prstGeom prst="rect">
                <a:avLst/>
              </a:prstGeom>
            </xdr:spPr>
          </xdr:pic>
          <xdr:pic macro="[0]!Chart_Analyse.ShapeI22">
            <xdr:nvPicPr>
              <xdr:cNvPr id="5928" name="SH I22" descr="Circular flowchart outline">
                <a:extLst>
                  <a:ext uri="{FF2B5EF4-FFF2-40B4-BE49-F238E27FC236}">
                    <a16:creationId xmlns:a16="http://schemas.microsoft.com/office/drawing/2014/main" id="{00000000-0008-0000-0800-000028170000}"/>
                  </a:ext>
                </a:extLst>
              </xdr:cNvPr>
              <xdr:cNvPicPr>
                <a:picLocks noChangeAspect="1"/>
              </xdr:cNvPicPr>
            </xdr:nvPicPr>
            <xdr:blipFill>
              <a:blip xmlns:r="http://schemas.openxmlformats.org/officeDocument/2006/relationships" r:embed="rId61">
                <a:extLst>
                  <a:ext uri="{96DAC541-7B7A-43D3-8B79-37D633B846F1}">
                    <asvg:svgBlip xmlns:asvg="http://schemas.microsoft.com/office/drawing/2016/SVG/main" r:embed="rId62"/>
                  </a:ext>
                </a:extLst>
              </a:blip>
              <a:stretch>
                <a:fillRect/>
              </a:stretch>
            </xdr:blipFill>
            <xdr:spPr>
              <a:xfrm>
                <a:off x="31107766" y="4138984"/>
                <a:ext cx="435247" cy="434819"/>
              </a:xfrm>
              <a:prstGeom prst="rect">
                <a:avLst/>
              </a:prstGeom>
            </xdr:spPr>
          </xdr:pic>
        </xdr:grpSp>
        <xdr:grpSp>
          <xdr:nvGrpSpPr>
            <xdr:cNvPr id="5893" name="Group 5892">
              <a:extLst>
                <a:ext uri="{FF2B5EF4-FFF2-40B4-BE49-F238E27FC236}">
                  <a16:creationId xmlns:a16="http://schemas.microsoft.com/office/drawing/2014/main" id="{00000000-0008-0000-0800-000005170000}"/>
                </a:ext>
              </a:extLst>
            </xdr:cNvPr>
            <xdr:cNvGrpSpPr/>
          </xdr:nvGrpSpPr>
          <xdr:grpSpPr>
            <a:xfrm>
              <a:off x="35764971" y="3073499"/>
              <a:ext cx="4284977" cy="2265105"/>
              <a:chOff x="35312534" y="3073499"/>
              <a:chExt cx="4221477" cy="2265105"/>
            </a:xfrm>
          </xdr:grpSpPr>
          <xdr:sp macro="" textlink="">
            <xdr:nvSpPr>
              <xdr:cNvPr id="5170" name="Rectangle: Rounded Corners 5169">
                <a:extLst>
                  <a:ext uri="{FF2B5EF4-FFF2-40B4-BE49-F238E27FC236}">
                    <a16:creationId xmlns:a16="http://schemas.microsoft.com/office/drawing/2014/main" id="{00000000-0008-0000-0800-000032140000}"/>
                  </a:ext>
                </a:extLst>
              </xdr:cNvPr>
              <xdr:cNvSpPr/>
            </xdr:nvSpPr>
            <xdr:spPr>
              <a:xfrm>
                <a:off x="35312534" y="3073499"/>
                <a:ext cx="4221477" cy="2265105"/>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94" name="B1CH">
                <a:extLst>
                  <a:ext uri="{FF2B5EF4-FFF2-40B4-BE49-F238E27FC236}">
                    <a16:creationId xmlns:a16="http://schemas.microsoft.com/office/drawing/2014/main" id="{00000000-0008-0000-0800-00004A140000}"/>
                  </a:ext>
                </a:extLst>
              </xdr:cNvPr>
              <xdr:cNvGraphicFramePr>
                <a:graphicFrameLocks/>
              </xdr:cNvGraphicFramePr>
            </xdr:nvGraphicFramePr>
            <xdr:xfrm>
              <a:off x="35941000" y="3464422"/>
              <a:ext cx="3406106" cy="1778003"/>
            </xdr:xfrm>
            <a:graphic>
              <a:graphicData uri="http://schemas.openxmlformats.org/drawingml/2006/chart">
                <c:chart xmlns:c="http://schemas.openxmlformats.org/drawingml/2006/chart" xmlns:r="http://schemas.openxmlformats.org/officeDocument/2006/relationships" r:id="rId63"/>
              </a:graphicData>
            </a:graphic>
          </xdr:graphicFrame>
          <xdr:sp macro="" textlink="ControlChart_Budget1!AT22">
            <xdr:nvSpPr>
              <xdr:cNvPr id="5287" name="Rectangle 5286">
                <a:extLst>
                  <a:ext uri="{FF2B5EF4-FFF2-40B4-BE49-F238E27FC236}">
                    <a16:creationId xmlns:a16="http://schemas.microsoft.com/office/drawing/2014/main" id="{00000000-0008-0000-0800-0000A7140000}"/>
                  </a:ext>
                </a:extLst>
              </xdr:cNvPr>
              <xdr:cNvSpPr/>
            </xdr:nvSpPr>
            <xdr:spPr>
              <a:xfrm>
                <a:off x="36277484" y="5055805"/>
                <a:ext cx="2187575" cy="23158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2FA4F41-1DC4-4207-9ACF-438B5C4EDCD6}" type="TxLink">
                  <a:rPr lang="en-US" sz="1200" b="0" i="0" u="none" strike="noStrike" kern="1200">
                    <a:solidFill>
                      <a:srgbClr val="AADCD7"/>
                    </a:solidFill>
                    <a:latin typeface="Aptos Narrow" panose="020B0004020202020204" pitchFamily="34" charset="0"/>
                    <a:cs typeface="Arial"/>
                  </a:rPr>
                  <a:pPr algn="ctr"/>
                  <a:t>Category3</a:t>
                </a:fld>
                <a:endParaRPr lang="fr-CA" sz="1200" kern="1200">
                  <a:solidFill>
                    <a:srgbClr val="AADCD7"/>
                  </a:solidFill>
                  <a:latin typeface="Aptos Narrow" panose="020B0004020202020204" pitchFamily="34" charset="0"/>
                </a:endParaRPr>
              </a:p>
            </xdr:txBody>
          </xdr:sp>
          <xdr:sp macro="" textlink="ControlChart_Budget1!AT6">
            <xdr:nvSpPr>
              <xdr:cNvPr id="5288" name="Rectangle 5287">
                <a:extLst>
                  <a:ext uri="{FF2B5EF4-FFF2-40B4-BE49-F238E27FC236}">
                    <a16:creationId xmlns:a16="http://schemas.microsoft.com/office/drawing/2014/main" id="{00000000-0008-0000-0800-0000A8140000}"/>
                  </a:ext>
                </a:extLst>
              </xdr:cNvPr>
              <xdr:cNvSpPr/>
            </xdr:nvSpPr>
            <xdr:spPr>
              <a:xfrm>
                <a:off x="36277484" y="3146201"/>
                <a:ext cx="2187575" cy="22920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8FF71E0-1931-4F7E-94D7-D282ECC022DB}"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1!AT27">
            <xdr:nvSpPr>
              <xdr:cNvPr id="5289" name="Rectangle 5288">
                <a:extLst>
                  <a:ext uri="{FF2B5EF4-FFF2-40B4-BE49-F238E27FC236}">
                    <a16:creationId xmlns:a16="http://schemas.microsoft.com/office/drawing/2014/main" id="{00000000-0008-0000-0800-0000A9140000}"/>
                  </a:ext>
                </a:extLst>
              </xdr:cNvPr>
              <xdr:cNvSpPr/>
            </xdr:nvSpPr>
            <xdr:spPr>
              <a:xfrm>
                <a:off x="35500594" y="3386472"/>
                <a:ext cx="1859297" cy="2315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C7EDDEC7-5751-4645-B1B1-E3C6BA4D1413}"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1!AV27">
            <xdr:nvSpPr>
              <xdr:cNvPr id="5290" name="Rectangle 5289">
                <a:extLst>
                  <a:ext uri="{FF2B5EF4-FFF2-40B4-BE49-F238E27FC236}">
                    <a16:creationId xmlns:a16="http://schemas.microsoft.com/office/drawing/2014/main" id="{00000000-0008-0000-0800-0000AA140000}"/>
                  </a:ext>
                </a:extLst>
              </xdr:cNvPr>
              <xdr:cNvSpPr/>
            </xdr:nvSpPr>
            <xdr:spPr>
              <a:xfrm>
                <a:off x="37264849" y="3421215"/>
                <a:ext cx="1295255" cy="2292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E59BE0E1-EFC6-4F0A-A054-23BD177D54C1}"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sp macro="" textlink="ControlChart_Budget1!AX27">
            <xdr:nvSpPr>
              <xdr:cNvPr id="5291" name="Rectangle 5290">
                <a:extLst>
                  <a:ext uri="{FF2B5EF4-FFF2-40B4-BE49-F238E27FC236}">
                    <a16:creationId xmlns:a16="http://schemas.microsoft.com/office/drawing/2014/main" id="{00000000-0008-0000-0800-0000AB140000}"/>
                  </a:ext>
                </a:extLst>
              </xdr:cNvPr>
              <xdr:cNvSpPr/>
            </xdr:nvSpPr>
            <xdr:spPr>
              <a:xfrm>
                <a:off x="37790271" y="3178387"/>
                <a:ext cx="674789" cy="22920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F29A87C-6BBA-46E1-BD50-6FF4327219B9}"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1!AW27">
            <xdr:nvSpPr>
              <xdr:cNvPr id="5292" name="Rectangle 5291">
                <a:extLst>
                  <a:ext uri="{FF2B5EF4-FFF2-40B4-BE49-F238E27FC236}">
                    <a16:creationId xmlns:a16="http://schemas.microsoft.com/office/drawing/2014/main" id="{00000000-0008-0000-0800-0000AC140000}"/>
                  </a:ext>
                </a:extLst>
              </xdr:cNvPr>
              <xdr:cNvSpPr/>
            </xdr:nvSpPr>
            <xdr:spPr>
              <a:xfrm>
                <a:off x="38465059" y="3178387"/>
                <a:ext cx="819531" cy="22920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359A2AA-BB01-4DC6-B25F-075B52AF5009}"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pic macro="[0]!Chart_Analyse.ShapeI31">
            <xdr:nvPicPr>
              <xdr:cNvPr id="5930" name="SH I31" descr="Branching diagram outline">
                <a:extLst>
                  <a:ext uri="{FF2B5EF4-FFF2-40B4-BE49-F238E27FC236}">
                    <a16:creationId xmlns:a16="http://schemas.microsoft.com/office/drawing/2014/main" id="{00000000-0008-0000-0800-00002A17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rot="10800000">
                <a:off x="35460826" y="3756618"/>
                <a:ext cx="382368" cy="382081"/>
              </a:xfrm>
              <a:prstGeom prst="rect">
                <a:avLst/>
              </a:prstGeom>
            </xdr:spPr>
          </xdr:pic>
          <xdr:pic macro="[0]!Chart_Analyse.ShapeI33">
            <xdr:nvPicPr>
              <xdr:cNvPr id="5931" name="SH I33" descr="Arrow circle outline">
                <a:extLst>
                  <a:ext uri="{FF2B5EF4-FFF2-40B4-BE49-F238E27FC236}">
                    <a16:creationId xmlns:a16="http://schemas.microsoft.com/office/drawing/2014/main" id="{00000000-0008-0000-0800-00002B170000}"/>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35425692" y="4619136"/>
                <a:ext cx="452638" cy="452299"/>
              </a:xfrm>
              <a:prstGeom prst="rect">
                <a:avLst/>
              </a:prstGeom>
            </xdr:spPr>
          </xdr:pic>
          <xdr:pic macro="[0]!Chart_Analyse.ShapeI32">
            <xdr:nvPicPr>
              <xdr:cNvPr id="5932" name="SH I32" descr="Circular flowchart outline">
                <a:extLst>
                  <a:ext uri="{FF2B5EF4-FFF2-40B4-BE49-F238E27FC236}">
                    <a16:creationId xmlns:a16="http://schemas.microsoft.com/office/drawing/2014/main" id="{00000000-0008-0000-0800-00002C17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35434621" y="4161691"/>
                <a:ext cx="434780" cy="434454"/>
              </a:xfrm>
              <a:prstGeom prst="rect">
                <a:avLst/>
              </a:prstGeom>
            </xdr:spPr>
          </xdr:pic>
        </xdr:grpSp>
        <xdr:grpSp>
          <xdr:nvGrpSpPr>
            <xdr:cNvPr id="5954" name="Group 5953">
              <a:extLst>
                <a:ext uri="{FF2B5EF4-FFF2-40B4-BE49-F238E27FC236}">
                  <a16:creationId xmlns:a16="http://schemas.microsoft.com/office/drawing/2014/main" id="{00000000-0008-0000-0800-000042170000}"/>
                </a:ext>
              </a:extLst>
            </xdr:cNvPr>
            <xdr:cNvGrpSpPr/>
          </xdr:nvGrpSpPr>
          <xdr:grpSpPr>
            <a:xfrm>
              <a:off x="40148018" y="3097948"/>
              <a:ext cx="4277297" cy="2261092"/>
              <a:chOff x="39631267" y="3098669"/>
              <a:chExt cx="4222536" cy="2261938"/>
            </a:xfrm>
          </xdr:grpSpPr>
          <xdr:sp macro="" textlink="">
            <xdr:nvSpPr>
              <xdr:cNvPr id="5175" name="Rectangle: Rounded Corners 5174">
                <a:extLst>
                  <a:ext uri="{FF2B5EF4-FFF2-40B4-BE49-F238E27FC236}">
                    <a16:creationId xmlns:a16="http://schemas.microsoft.com/office/drawing/2014/main" id="{00000000-0008-0000-0800-000037140000}"/>
                  </a:ext>
                </a:extLst>
              </xdr:cNvPr>
              <xdr:cNvSpPr/>
            </xdr:nvSpPr>
            <xdr:spPr>
              <a:xfrm>
                <a:off x="39631267" y="3098669"/>
                <a:ext cx="4222536" cy="2261938"/>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95" name="B1LO">
                <a:extLst>
                  <a:ext uri="{FF2B5EF4-FFF2-40B4-BE49-F238E27FC236}">
                    <a16:creationId xmlns:a16="http://schemas.microsoft.com/office/drawing/2014/main" id="{00000000-0008-0000-0800-00004B140000}"/>
                  </a:ext>
                </a:extLst>
              </xdr:cNvPr>
              <xdr:cNvGraphicFramePr>
                <a:graphicFrameLocks/>
              </xdr:cNvGraphicFramePr>
            </xdr:nvGraphicFramePr>
            <xdr:xfrm>
              <a:off x="40202733" y="3491413"/>
              <a:ext cx="3482598" cy="1773934"/>
            </xdr:xfrm>
            <a:graphic>
              <a:graphicData uri="http://schemas.openxmlformats.org/drawingml/2006/chart">
                <c:chart xmlns:c="http://schemas.openxmlformats.org/drawingml/2006/chart" xmlns:r="http://schemas.openxmlformats.org/officeDocument/2006/relationships" r:id="rId68"/>
              </a:graphicData>
            </a:graphic>
          </xdr:graphicFrame>
          <xdr:sp macro="" textlink="ControlChart_Budget1!AT31">
            <xdr:nvSpPr>
              <xdr:cNvPr id="5293" name="Rectangle 5292">
                <a:extLst>
                  <a:ext uri="{FF2B5EF4-FFF2-40B4-BE49-F238E27FC236}">
                    <a16:creationId xmlns:a16="http://schemas.microsoft.com/office/drawing/2014/main" id="{00000000-0008-0000-0800-0000AD140000}"/>
                  </a:ext>
                </a:extLst>
              </xdr:cNvPr>
              <xdr:cNvSpPr/>
            </xdr:nvSpPr>
            <xdr:spPr>
              <a:xfrm>
                <a:off x="40545112" y="5074507"/>
                <a:ext cx="2189912" cy="2310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3F70291-1C9F-432B-AB88-62B680D57F45}" type="TxLink">
                  <a:rPr lang="en-US" sz="1200" b="0" i="0" u="none" strike="noStrike" kern="1200">
                    <a:solidFill>
                      <a:srgbClr val="AADCD7"/>
                    </a:solidFill>
                    <a:latin typeface="Aptos Narrow" panose="020B0004020202020204" pitchFamily="34" charset="0"/>
                    <a:cs typeface="Arial"/>
                  </a:rPr>
                  <a:pPr algn="ctr"/>
                  <a:t>Category4</a:t>
                </a:fld>
                <a:endParaRPr lang="fr-CA" sz="1200" kern="1200">
                  <a:solidFill>
                    <a:srgbClr val="AADCD7"/>
                  </a:solidFill>
                  <a:latin typeface="Aptos Narrow" panose="020B0004020202020204" pitchFamily="34" charset="0"/>
                </a:endParaRPr>
              </a:p>
            </xdr:txBody>
          </xdr:sp>
          <xdr:sp macro="" textlink="ControlChart_Budget1!AT6">
            <xdr:nvSpPr>
              <xdr:cNvPr id="5294" name="Rectangle 5293">
                <a:extLst>
                  <a:ext uri="{FF2B5EF4-FFF2-40B4-BE49-F238E27FC236}">
                    <a16:creationId xmlns:a16="http://schemas.microsoft.com/office/drawing/2014/main" id="{00000000-0008-0000-0800-0000AE140000}"/>
                  </a:ext>
                </a:extLst>
              </xdr:cNvPr>
              <xdr:cNvSpPr/>
            </xdr:nvSpPr>
            <xdr:spPr>
              <a:xfrm>
                <a:off x="40545112" y="3169275"/>
                <a:ext cx="2189912" cy="2286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8FF71E0-1931-4F7E-94D7-D282ECC022DB}"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1!AT36">
            <xdr:nvSpPr>
              <xdr:cNvPr id="5295" name="Rectangle 5294">
                <a:extLst>
                  <a:ext uri="{FF2B5EF4-FFF2-40B4-BE49-F238E27FC236}">
                    <a16:creationId xmlns:a16="http://schemas.microsoft.com/office/drawing/2014/main" id="{00000000-0008-0000-0800-0000AF140000}"/>
                  </a:ext>
                </a:extLst>
              </xdr:cNvPr>
              <xdr:cNvSpPr/>
            </xdr:nvSpPr>
            <xdr:spPr>
              <a:xfrm>
                <a:off x="39767390" y="3408995"/>
                <a:ext cx="1861283" cy="23105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CE052F72-FD3A-449F-BCD6-95779F9FABAB}"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1!AV36">
            <xdr:nvSpPr>
              <xdr:cNvPr id="5296" name="Rectangle 5295">
                <a:extLst>
                  <a:ext uri="{FF2B5EF4-FFF2-40B4-BE49-F238E27FC236}">
                    <a16:creationId xmlns:a16="http://schemas.microsoft.com/office/drawing/2014/main" id="{00000000-0008-0000-0800-0000B0140000}"/>
                  </a:ext>
                </a:extLst>
              </xdr:cNvPr>
              <xdr:cNvSpPr/>
            </xdr:nvSpPr>
            <xdr:spPr>
              <a:xfrm>
                <a:off x="41533529" y="3443658"/>
                <a:ext cx="1296638" cy="2286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3B91E46-361C-4736-83B2-C018938D19D9}"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sp macro="" textlink="ControlChart_Budget1!AX36">
            <xdr:nvSpPr>
              <xdr:cNvPr id="5297" name="Rectangle 5296">
                <a:extLst>
                  <a:ext uri="{FF2B5EF4-FFF2-40B4-BE49-F238E27FC236}">
                    <a16:creationId xmlns:a16="http://schemas.microsoft.com/office/drawing/2014/main" id="{00000000-0008-0000-0800-0000B1140000}"/>
                  </a:ext>
                </a:extLst>
              </xdr:cNvPr>
              <xdr:cNvSpPr/>
            </xdr:nvSpPr>
            <xdr:spPr>
              <a:xfrm>
                <a:off x="42059514" y="3201385"/>
                <a:ext cx="675509" cy="2286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01C25D0-0F0F-487C-863F-489B8B8C1EA1}"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1!AW36">
            <xdr:nvSpPr>
              <xdr:cNvPr id="5298" name="Rectangle 5297">
                <a:extLst>
                  <a:ext uri="{FF2B5EF4-FFF2-40B4-BE49-F238E27FC236}">
                    <a16:creationId xmlns:a16="http://schemas.microsoft.com/office/drawing/2014/main" id="{00000000-0008-0000-0800-0000B2140000}"/>
                  </a:ext>
                </a:extLst>
              </xdr:cNvPr>
              <xdr:cNvSpPr/>
            </xdr:nvSpPr>
            <xdr:spPr>
              <a:xfrm>
                <a:off x="42735022" y="3201385"/>
                <a:ext cx="820406" cy="2286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E72EDDA-E5ED-45CE-A428-3F7899CBC58C}"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pic macro="[0]!Chart_Analyse.ShapeI41">
            <xdr:nvPicPr>
              <xdr:cNvPr id="5933" name="SH I41" descr="Branching diagram outline">
                <a:extLst>
                  <a:ext uri="{FF2B5EF4-FFF2-40B4-BE49-F238E27FC236}">
                    <a16:creationId xmlns:a16="http://schemas.microsoft.com/office/drawing/2014/main" id="{00000000-0008-0000-0800-00002D17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9"/>
                  </a:ext>
                </a:extLst>
              </a:blip>
              <a:stretch>
                <a:fillRect/>
              </a:stretch>
            </xdr:blipFill>
            <xdr:spPr>
              <a:xfrm rot="10800000">
                <a:off x="39773003" y="3752074"/>
                <a:ext cx="382200" cy="382200"/>
              </a:xfrm>
              <a:prstGeom prst="rect">
                <a:avLst/>
              </a:prstGeom>
            </xdr:spPr>
          </xdr:pic>
          <xdr:pic macro="[0]!Chart_Analyse.ShapeI43">
            <xdr:nvPicPr>
              <xdr:cNvPr id="5934" name="SH I43" descr="Arrow circle outline">
                <a:extLst>
                  <a:ext uri="{FF2B5EF4-FFF2-40B4-BE49-F238E27FC236}">
                    <a16:creationId xmlns:a16="http://schemas.microsoft.com/office/drawing/2014/main" id="{00000000-0008-0000-0800-00002E170000}"/>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39737884" y="4614860"/>
                <a:ext cx="452439" cy="452439"/>
              </a:xfrm>
              <a:prstGeom prst="rect">
                <a:avLst/>
              </a:prstGeom>
            </xdr:spPr>
          </xdr:pic>
          <xdr:pic macro="[0]!Chart_Analyse.ShapeI42">
            <xdr:nvPicPr>
              <xdr:cNvPr id="5935" name="SH I42" descr="Circular flowchart outline">
                <a:extLst>
                  <a:ext uri="{FF2B5EF4-FFF2-40B4-BE49-F238E27FC236}">
                    <a16:creationId xmlns:a16="http://schemas.microsoft.com/office/drawing/2014/main" id="{00000000-0008-0000-0800-00002F17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39746809" y="4157273"/>
                <a:ext cx="434589" cy="434589"/>
              </a:xfrm>
              <a:prstGeom prst="rect">
                <a:avLst/>
              </a:prstGeom>
            </xdr:spPr>
          </xdr:pic>
        </xdr:grpSp>
        <xdr:grpSp>
          <xdr:nvGrpSpPr>
            <xdr:cNvPr id="5955" name="Group 5954">
              <a:extLst>
                <a:ext uri="{FF2B5EF4-FFF2-40B4-BE49-F238E27FC236}">
                  <a16:creationId xmlns:a16="http://schemas.microsoft.com/office/drawing/2014/main" id="{00000000-0008-0000-0800-000043170000}"/>
                </a:ext>
              </a:extLst>
            </xdr:cNvPr>
            <xdr:cNvGrpSpPr/>
          </xdr:nvGrpSpPr>
          <xdr:grpSpPr>
            <a:xfrm>
              <a:off x="31408762" y="5393435"/>
              <a:ext cx="4277297" cy="2247335"/>
              <a:chOff x="31011315" y="5393773"/>
              <a:chExt cx="4222536" cy="2248672"/>
            </a:xfrm>
          </xdr:grpSpPr>
          <xdr:sp macro="" textlink="">
            <xdr:nvSpPr>
              <xdr:cNvPr id="5189" name="Rectangle: Rounded Corners 5188">
                <a:extLst>
                  <a:ext uri="{FF2B5EF4-FFF2-40B4-BE49-F238E27FC236}">
                    <a16:creationId xmlns:a16="http://schemas.microsoft.com/office/drawing/2014/main" id="{00000000-0008-0000-0800-000045140000}"/>
                  </a:ext>
                </a:extLst>
              </xdr:cNvPr>
              <xdr:cNvSpPr/>
            </xdr:nvSpPr>
            <xdr:spPr>
              <a:xfrm>
                <a:off x="31011315" y="5393773"/>
                <a:ext cx="4222536" cy="2248672"/>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96" name="B1VO">
                <a:extLst>
                  <a:ext uri="{FF2B5EF4-FFF2-40B4-BE49-F238E27FC236}">
                    <a16:creationId xmlns:a16="http://schemas.microsoft.com/office/drawing/2014/main" id="{00000000-0008-0000-0800-00004C140000}"/>
                  </a:ext>
                </a:extLst>
              </xdr:cNvPr>
              <xdr:cNvGraphicFramePr>
                <a:graphicFrameLocks/>
              </xdr:cNvGraphicFramePr>
            </xdr:nvGraphicFramePr>
            <xdr:xfrm>
              <a:off x="31574910" y="5802793"/>
              <a:ext cx="3461942" cy="1774382"/>
            </xdr:xfrm>
            <a:graphic>
              <a:graphicData uri="http://schemas.openxmlformats.org/drawingml/2006/chart">
                <c:chart xmlns:c="http://schemas.openxmlformats.org/drawingml/2006/chart" xmlns:r="http://schemas.openxmlformats.org/officeDocument/2006/relationships" r:id="rId70"/>
              </a:graphicData>
            </a:graphic>
          </xdr:graphicFrame>
          <xdr:sp macro="" textlink="ControlChart_Budget1!AT58">
            <xdr:nvSpPr>
              <xdr:cNvPr id="5318" name="Rectangle 5317">
                <a:extLst>
                  <a:ext uri="{FF2B5EF4-FFF2-40B4-BE49-F238E27FC236}">
                    <a16:creationId xmlns:a16="http://schemas.microsoft.com/office/drawing/2014/main" id="{00000000-0008-0000-0800-0000C6140000}"/>
                  </a:ext>
                </a:extLst>
              </xdr:cNvPr>
              <xdr:cNvSpPr/>
            </xdr:nvSpPr>
            <xdr:spPr>
              <a:xfrm>
                <a:off x="32095493" y="7360445"/>
                <a:ext cx="2186597" cy="2311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502CBBF-DEFC-4E73-840A-CAAB49B8B79A}" type="TxLink">
                  <a:rPr lang="en-US" sz="1200" b="0" i="0" u="none" strike="noStrike" kern="1200">
                    <a:solidFill>
                      <a:srgbClr val="AADCD7"/>
                    </a:solidFill>
                    <a:latin typeface="Aptos Narrow" panose="020B0004020202020204" pitchFamily="34" charset="0"/>
                    <a:cs typeface="Arial"/>
                  </a:rPr>
                  <a:pPr algn="ctr"/>
                  <a:t>Category7</a:t>
                </a:fld>
                <a:endParaRPr lang="fr-CA" sz="1200" kern="1200">
                  <a:solidFill>
                    <a:srgbClr val="AADCD7"/>
                  </a:solidFill>
                  <a:latin typeface="Aptos Narrow" panose="020B0004020202020204" pitchFamily="34" charset="0"/>
                </a:endParaRPr>
              </a:p>
            </xdr:txBody>
          </xdr:sp>
          <xdr:sp macro="" textlink="ControlChart_Budget1!AT6">
            <xdr:nvSpPr>
              <xdr:cNvPr id="5319" name="Rectangle 5318">
                <a:extLst>
                  <a:ext uri="{FF2B5EF4-FFF2-40B4-BE49-F238E27FC236}">
                    <a16:creationId xmlns:a16="http://schemas.microsoft.com/office/drawing/2014/main" id="{00000000-0008-0000-0800-0000C7140000}"/>
                  </a:ext>
                </a:extLst>
              </xdr:cNvPr>
              <xdr:cNvSpPr/>
            </xdr:nvSpPr>
            <xdr:spPr>
              <a:xfrm>
                <a:off x="32095493" y="5454731"/>
                <a:ext cx="2186597" cy="2287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8FF71E0-1931-4F7E-94D7-D282ECC022DB}"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1!AT63">
            <xdr:nvSpPr>
              <xdr:cNvPr id="5322" name="Rectangle 5321">
                <a:extLst>
                  <a:ext uri="{FF2B5EF4-FFF2-40B4-BE49-F238E27FC236}">
                    <a16:creationId xmlns:a16="http://schemas.microsoft.com/office/drawing/2014/main" id="{00000000-0008-0000-0800-0000CA140000}"/>
                  </a:ext>
                </a:extLst>
              </xdr:cNvPr>
              <xdr:cNvSpPr/>
            </xdr:nvSpPr>
            <xdr:spPr>
              <a:xfrm>
                <a:off x="31318949" y="5694511"/>
                <a:ext cx="1858465" cy="2311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C3D113F3-E846-489A-A7A6-2CCC674723A9}"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1!AV63">
            <xdr:nvSpPr>
              <xdr:cNvPr id="5323" name="Rectangle 5322">
                <a:extLst>
                  <a:ext uri="{FF2B5EF4-FFF2-40B4-BE49-F238E27FC236}">
                    <a16:creationId xmlns:a16="http://schemas.microsoft.com/office/drawing/2014/main" id="{00000000-0008-0000-0800-0000CB140000}"/>
                  </a:ext>
                </a:extLst>
              </xdr:cNvPr>
              <xdr:cNvSpPr/>
            </xdr:nvSpPr>
            <xdr:spPr>
              <a:xfrm>
                <a:off x="33082415" y="5729184"/>
                <a:ext cx="1294676" cy="22874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2F095E72-CE11-4397-8992-B9F3096C76B5}"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sp macro="" textlink="ControlChart_Budget1!AX63">
            <xdr:nvSpPr>
              <xdr:cNvPr id="5324" name="Rectangle 5323">
                <a:extLst>
                  <a:ext uri="{FF2B5EF4-FFF2-40B4-BE49-F238E27FC236}">
                    <a16:creationId xmlns:a16="http://schemas.microsoft.com/office/drawing/2014/main" id="{00000000-0008-0000-0800-0000CC140000}"/>
                  </a:ext>
                </a:extLst>
              </xdr:cNvPr>
              <xdr:cNvSpPr/>
            </xdr:nvSpPr>
            <xdr:spPr>
              <a:xfrm>
                <a:off x="33607603" y="5486849"/>
                <a:ext cx="674487" cy="2287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D2C4953F-9BA2-408E-8DC5-DEC88EC99291}"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1!AW63">
            <xdr:nvSpPr>
              <xdr:cNvPr id="5327" name="Rectangle 5326">
                <a:extLst>
                  <a:ext uri="{FF2B5EF4-FFF2-40B4-BE49-F238E27FC236}">
                    <a16:creationId xmlns:a16="http://schemas.microsoft.com/office/drawing/2014/main" id="{00000000-0008-0000-0800-0000CF140000}"/>
                  </a:ext>
                </a:extLst>
              </xdr:cNvPr>
              <xdr:cNvSpPr/>
            </xdr:nvSpPr>
            <xdr:spPr>
              <a:xfrm>
                <a:off x="34282089" y="5486849"/>
                <a:ext cx="819164" cy="2287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DD15DCC-DA8F-49F2-8218-99F88F65A595}"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pic macro="[0]!Chart_Analyse.ShapeI71">
            <xdr:nvPicPr>
              <xdr:cNvPr id="5936" name="SH I71" descr="Branching diagram outline">
                <a:extLst>
                  <a:ext uri="{FF2B5EF4-FFF2-40B4-BE49-F238E27FC236}">
                    <a16:creationId xmlns:a16="http://schemas.microsoft.com/office/drawing/2014/main" id="{00000000-0008-0000-0800-00003017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71"/>
                  </a:ext>
                </a:extLst>
              </a:blip>
              <a:stretch>
                <a:fillRect/>
              </a:stretch>
            </xdr:blipFill>
            <xdr:spPr>
              <a:xfrm rot="10800000">
                <a:off x="31154466" y="6031724"/>
                <a:ext cx="382200" cy="382200"/>
              </a:xfrm>
              <a:prstGeom prst="rect">
                <a:avLst/>
              </a:prstGeom>
            </xdr:spPr>
          </xdr:pic>
          <xdr:pic macro="[0]!Chart_Analyse.ShapeI73">
            <xdr:nvPicPr>
              <xdr:cNvPr id="5937" name="SH I73" descr="Arrow circle outline">
                <a:extLst>
                  <a:ext uri="{FF2B5EF4-FFF2-40B4-BE49-F238E27FC236}">
                    <a16:creationId xmlns:a16="http://schemas.microsoft.com/office/drawing/2014/main" id="{00000000-0008-0000-0800-000031170000}"/>
                  </a:ext>
                </a:extLst>
              </xdr:cNvPr>
              <xdr:cNvPicPr>
                <a:picLocks noChangeAspect="1"/>
              </xdr:cNvPicPr>
            </xdr:nvPicPr>
            <xdr:blipFill>
              <a:blip xmlns:r="http://schemas.openxmlformats.org/officeDocument/2006/relationships" r:embed="rId72">
                <a:extLst>
                  <a:ext uri="{96DAC541-7B7A-43D3-8B79-37D633B846F1}">
                    <asvg:svgBlip xmlns:asvg="http://schemas.microsoft.com/office/drawing/2016/SVG/main" r:embed="rId73"/>
                  </a:ext>
                </a:extLst>
              </a:blip>
              <a:stretch>
                <a:fillRect/>
              </a:stretch>
            </xdr:blipFill>
            <xdr:spPr>
              <a:xfrm>
                <a:off x="31119347" y="6894510"/>
                <a:ext cx="452439" cy="452439"/>
              </a:xfrm>
              <a:prstGeom prst="rect">
                <a:avLst/>
              </a:prstGeom>
            </xdr:spPr>
          </xdr:pic>
          <xdr:pic macro="[0]!Chart_Analyse.ShapeI72">
            <xdr:nvPicPr>
              <xdr:cNvPr id="5938" name="SH I72" descr="Circular flowchart outline">
                <a:extLst>
                  <a:ext uri="{FF2B5EF4-FFF2-40B4-BE49-F238E27FC236}">
                    <a16:creationId xmlns:a16="http://schemas.microsoft.com/office/drawing/2014/main" id="{00000000-0008-0000-0800-00003217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74"/>
                  </a:ext>
                </a:extLst>
              </a:blip>
              <a:stretch>
                <a:fillRect/>
              </a:stretch>
            </xdr:blipFill>
            <xdr:spPr>
              <a:xfrm>
                <a:off x="31128272" y="6436923"/>
                <a:ext cx="434589" cy="434589"/>
              </a:xfrm>
              <a:prstGeom prst="rect">
                <a:avLst/>
              </a:prstGeom>
            </xdr:spPr>
          </xdr:pic>
        </xdr:grpSp>
        <xdr:grpSp>
          <xdr:nvGrpSpPr>
            <xdr:cNvPr id="5956" name="Group 5955">
              <a:extLst>
                <a:ext uri="{FF2B5EF4-FFF2-40B4-BE49-F238E27FC236}">
                  <a16:creationId xmlns:a16="http://schemas.microsoft.com/office/drawing/2014/main" id="{00000000-0008-0000-0800-000044170000}"/>
                </a:ext>
              </a:extLst>
            </xdr:cNvPr>
            <xdr:cNvGrpSpPr/>
          </xdr:nvGrpSpPr>
          <xdr:grpSpPr>
            <a:xfrm>
              <a:off x="35781795" y="5408913"/>
              <a:ext cx="4275885" cy="2247335"/>
              <a:chOff x="35330027" y="5408698"/>
              <a:chExt cx="4210487" cy="2248672"/>
            </a:xfrm>
          </xdr:grpSpPr>
          <xdr:sp macro="" textlink="">
            <xdr:nvSpPr>
              <xdr:cNvPr id="5190" name="Rectangle: Rounded Corners 5189">
                <a:extLst>
                  <a:ext uri="{FF2B5EF4-FFF2-40B4-BE49-F238E27FC236}">
                    <a16:creationId xmlns:a16="http://schemas.microsoft.com/office/drawing/2014/main" id="{00000000-0008-0000-0800-000046140000}"/>
                  </a:ext>
                </a:extLst>
              </xdr:cNvPr>
              <xdr:cNvSpPr/>
            </xdr:nvSpPr>
            <xdr:spPr>
              <a:xfrm>
                <a:off x="35330027" y="5408698"/>
                <a:ext cx="4210487" cy="2248672"/>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97" name="B1NE">
                <a:extLst>
                  <a:ext uri="{FF2B5EF4-FFF2-40B4-BE49-F238E27FC236}">
                    <a16:creationId xmlns:a16="http://schemas.microsoft.com/office/drawing/2014/main" id="{00000000-0008-0000-0800-00004D140000}"/>
                  </a:ext>
                </a:extLst>
              </xdr:cNvPr>
              <xdr:cNvGraphicFramePr>
                <a:graphicFrameLocks/>
              </xdr:cNvGraphicFramePr>
            </xdr:nvGraphicFramePr>
            <xdr:xfrm>
              <a:off x="35949328" y="5730426"/>
              <a:ext cx="3496071" cy="1774382"/>
            </xdr:xfrm>
            <a:graphic>
              <a:graphicData uri="http://schemas.openxmlformats.org/drawingml/2006/chart">
                <c:chart xmlns:c="http://schemas.openxmlformats.org/drawingml/2006/chart" xmlns:r="http://schemas.openxmlformats.org/officeDocument/2006/relationships" r:id="rId75"/>
              </a:graphicData>
            </a:graphic>
          </xdr:graphicFrame>
          <xdr:sp macro="" textlink="ControlChart_Budget1!AT40">
            <xdr:nvSpPr>
              <xdr:cNvPr id="5305" name="Rectangle 5304">
                <a:extLst>
                  <a:ext uri="{FF2B5EF4-FFF2-40B4-BE49-F238E27FC236}">
                    <a16:creationId xmlns:a16="http://schemas.microsoft.com/office/drawing/2014/main" id="{00000000-0008-0000-0800-0000B9140000}"/>
                  </a:ext>
                </a:extLst>
              </xdr:cNvPr>
              <xdr:cNvSpPr/>
            </xdr:nvSpPr>
            <xdr:spPr>
              <a:xfrm>
                <a:off x="36322770" y="7359802"/>
                <a:ext cx="2186663" cy="2311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AAF906A-142C-4A79-8E32-54B1E827B8ED}" type="TxLink">
                  <a:rPr lang="en-US" sz="1200" b="0" i="0" u="none" strike="noStrike" kern="1200">
                    <a:solidFill>
                      <a:srgbClr val="AADCD7"/>
                    </a:solidFill>
                    <a:latin typeface="Aptos Narrow" panose="020B0004020202020204" pitchFamily="34" charset="0"/>
                    <a:cs typeface="Arial"/>
                  </a:rPr>
                  <a:pPr algn="ctr"/>
                  <a:t>Category5</a:t>
                </a:fld>
                <a:endParaRPr lang="fr-CA" sz="1200" kern="1200">
                  <a:solidFill>
                    <a:srgbClr val="AADCD7"/>
                  </a:solidFill>
                  <a:latin typeface="Aptos Narrow" panose="020B0004020202020204" pitchFamily="34" charset="0"/>
                </a:endParaRPr>
              </a:p>
            </xdr:txBody>
          </xdr:sp>
          <xdr:sp macro="" textlink="ControlChart_Budget1!AT6">
            <xdr:nvSpPr>
              <xdr:cNvPr id="5306" name="Rectangle 5305">
                <a:extLst>
                  <a:ext uri="{FF2B5EF4-FFF2-40B4-BE49-F238E27FC236}">
                    <a16:creationId xmlns:a16="http://schemas.microsoft.com/office/drawing/2014/main" id="{00000000-0008-0000-0800-0000BA140000}"/>
                  </a:ext>
                </a:extLst>
              </xdr:cNvPr>
              <xdr:cNvSpPr/>
            </xdr:nvSpPr>
            <xdr:spPr>
              <a:xfrm>
                <a:off x="36322770" y="5454088"/>
                <a:ext cx="2186663" cy="2287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8FF71E0-1931-4F7E-94D7-D282ECC022DB}"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1!AT45">
            <xdr:nvSpPr>
              <xdr:cNvPr id="5307" name="Rectangle 5306">
                <a:extLst>
                  <a:ext uri="{FF2B5EF4-FFF2-40B4-BE49-F238E27FC236}">
                    <a16:creationId xmlns:a16="http://schemas.microsoft.com/office/drawing/2014/main" id="{00000000-0008-0000-0800-0000BB140000}"/>
                  </a:ext>
                </a:extLst>
              </xdr:cNvPr>
              <xdr:cNvSpPr/>
            </xdr:nvSpPr>
            <xdr:spPr>
              <a:xfrm>
                <a:off x="35546202" y="5693868"/>
                <a:ext cx="1858522" cy="2311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C5B1C6B-D478-4FEC-9057-30A2C6F6A0EA}"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1!AV45">
            <xdr:nvSpPr>
              <xdr:cNvPr id="5308" name="Rectangle 5307">
                <a:extLst>
                  <a:ext uri="{FF2B5EF4-FFF2-40B4-BE49-F238E27FC236}">
                    <a16:creationId xmlns:a16="http://schemas.microsoft.com/office/drawing/2014/main" id="{00000000-0008-0000-0800-0000BC140000}"/>
                  </a:ext>
                </a:extLst>
              </xdr:cNvPr>
              <xdr:cNvSpPr/>
            </xdr:nvSpPr>
            <xdr:spPr>
              <a:xfrm>
                <a:off x="37309721" y="5728541"/>
                <a:ext cx="1294715" cy="22874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FD8F8FCF-D1D2-4974-9CE0-85F935D88889}"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sp macro="" textlink="ControlChart_Budget1!AX45">
            <xdr:nvSpPr>
              <xdr:cNvPr id="5309" name="Rectangle 5308">
                <a:extLst>
                  <a:ext uri="{FF2B5EF4-FFF2-40B4-BE49-F238E27FC236}">
                    <a16:creationId xmlns:a16="http://schemas.microsoft.com/office/drawing/2014/main" id="{00000000-0008-0000-0800-0000BD140000}"/>
                  </a:ext>
                </a:extLst>
              </xdr:cNvPr>
              <xdr:cNvSpPr/>
            </xdr:nvSpPr>
            <xdr:spPr>
              <a:xfrm>
                <a:off x="37834926" y="5486206"/>
                <a:ext cx="674507" cy="2287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F3611E30-C56A-41F0-BA1C-E93113CD358D}"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1!AW45">
            <xdr:nvSpPr>
              <xdr:cNvPr id="5317" name="Rectangle 5316">
                <a:extLst>
                  <a:ext uri="{FF2B5EF4-FFF2-40B4-BE49-F238E27FC236}">
                    <a16:creationId xmlns:a16="http://schemas.microsoft.com/office/drawing/2014/main" id="{00000000-0008-0000-0800-0000C5140000}"/>
                  </a:ext>
                </a:extLst>
              </xdr:cNvPr>
              <xdr:cNvSpPr/>
            </xdr:nvSpPr>
            <xdr:spPr>
              <a:xfrm>
                <a:off x="38509433" y="5486206"/>
                <a:ext cx="819189" cy="2287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8B75195-5727-4D08-AB19-1169B2940273}"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pic macro="[0]!Chart_Analyse.ShapeI51">
            <xdr:nvPicPr>
              <xdr:cNvPr id="5939" name="SH I51" descr="Branching diagram outline">
                <a:extLst>
                  <a:ext uri="{FF2B5EF4-FFF2-40B4-BE49-F238E27FC236}">
                    <a16:creationId xmlns:a16="http://schemas.microsoft.com/office/drawing/2014/main" id="{00000000-0008-0000-0800-00003317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71"/>
                  </a:ext>
                </a:extLst>
              </a:blip>
              <a:stretch>
                <a:fillRect/>
              </a:stretch>
            </xdr:blipFill>
            <xdr:spPr>
              <a:xfrm rot="10800000">
                <a:off x="35489928" y="6009499"/>
                <a:ext cx="382200" cy="382200"/>
              </a:xfrm>
              <a:prstGeom prst="rect">
                <a:avLst/>
              </a:prstGeom>
            </xdr:spPr>
          </xdr:pic>
          <xdr:pic macro="[0]!Chart_Analyse.ShapeI53">
            <xdr:nvPicPr>
              <xdr:cNvPr id="5940" name="SH I53" descr="Arrow circle outline">
                <a:extLst>
                  <a:ext uri="{FF2B5EF4-FFF2-40B4-BE49-F238E27FC236}">
                    <a16:creationId xmlns:a16="http://schemas.microsoft.com/office/drawing/2014/main" id="{00000000-0008-0000-0800-000034170000}"/>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35454809" y="6872285"/>
                <a:ext cx="452439" cy="452439"/>
              </a:xfrm>
              <a:prstGeom prst="rect">
                <a:avLst/>
              </a:prstGeom>
            </xdr:spPr>
          </xdr:pic>
          <xdr:pic macro="[0]!Chart_Analyse.ShapeI52">
            <xdr:nvPicPr>
              <xdr:cNvPr id="5941" name="SH I52" descr="Circular flowchart outline">
                <a:extLst>
                  <a:ext uri="{FF2B5EF4-FFF2-40B4-BE49-F238E27FC236}">
                    <a16:creationId xmlns:a16="http://schemas.microsoft.com/office/drawing/2014/main" id="{00000000-0008-0000-0800-000035170000}"/>
                  </a:ext>
                </a:extLst>
              </xdr:cNvPr>
              <xdr:cNvPicPr>
                <a:picLocks noChangeAspect="1"/>
              </xdr:cNvPicPr>
            </xdr:nvPicPr>
            <xdr:blipFill>
              <a:blip xmlns:r="http://schemas.openxmlformats.org/officeDocument/2006/relationships" r:embed="rId61">
                <a:extLst>
                  <a:ext uri="{96DAC541-7B7A-43D3-8B79-37D633B846F1}">
                    <asvg:svgBlip xmlns:asvg="http://schemas.microsoft.com/office/drawing/2016/SVG/main" r:embed="rId62"/>
                  </a:ext>
                </a:extLst>
              </a:blip>
              <a:stretch>
                <a:fillRect/>
              </a:stretch>
            </xdr:blipFill>
            <xdr:spPr>
              <a:xfrm>
                <a:off x="35463734" y="6414698"/>
                <a:ext cx="434589" cy="434589"/>
              </a:xfrm>
              <a:prstGeom prst="rect">
                <a:avLst/>
              </a:prstGeom>
            </xdr:spPr>
          </xdr:pic>
        </xdr:grpSp>
        <xdr:grpSp>
          <xdr:nvGrpSpPr>
            <xdr:cNvPr id="5957" name="Group 5956">
              <a:extLst>
                <a:ext uri="{FF2B5EF4-FFF2-40B4-BE49-F238E27FC236}">
                  <a16:creationId xmlns:a16="http://schemas.microsoft.com/office/drawing/2014/main" id="{00000000-0008-0000-0800-000045170000}"/>
                </a:ext>
              </a:extLst>
            </xdr:cNvPr>
            <xdr:cNvGrpSpPr/>
          </xdr:nvGrpSpPr>
          <xdr:grpSpPr>
            <a:xfrm>
              <a:off x="40150716" y="5432990"/>
              <a:ext cx="4277297" cy="2237304"/>
              <a:chOff x="39633977" y="5431914"/>
              <a:chExt cx="4222536" cy="2238999"/>
            </a:xfrm>
          </xdr:grpSpPr>
          <xdr:sp macro="" textlink="">
            <xdr:nvSpPr>
              <xdr:cNvPr id="5191" name="Rectangle: Rounded Corners 5190">
                <a:extLst>
                  <a:ext uri="{FF2B5EF4-FFF2-40B4-BE49-F238E27FC236}">
                    <a16:creationId xmlns:a16="http://schemas.microsoft.com/office/drawing/2014/main" id="{00000000-0008-0000-0800-000047140000}"/>
                  </a:ext>
                </a:extLst>
              </xdr:cNvPr>
              <xdr:cNvSpPr/>
            </xdr:nvSpPr>
            <xdr:spPr>
              <a:xfrm>
                <a:off x="39633977" y="5431914"/>
                <a:ext cx="4222536" cy="2238999"/>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98" name="B1SE">
                <a:extLst>
                  <a:ext uri="{FF2B5EF4-FFF2-40B4-BE49-F238E27FC236}">
                    <a16:creationId xmlns:a16="http://schemas.microsoft.com/office/drawing/2014/main" id="{00000000-0008-0000-0800-00004E140000}"/>
                  </a:ext>
                </a:extLst>
              </xdr:cNvPr>
              <xdr:cNvGraphicFramePr>
                <a:graphicFrameLocks/>
              </xdr:cNvGraphicFramePr>
            </xdr:nvGraphicFramePr>
            <xdr:xfrm>
              <a:off x="40242439" y="5801218"/>
              <a:ext cx="3363829" cy="1774713"/>
            </xdr:xfrm>
            <a:graphic>
              <a:graphicData uri="http://schemas.openxmlformats.org/drawingml/2006/chart">
                <c:chart xmlns:c="http://schemas.openxmlformats.org/drawingml/2006/chart" xmlns:r="http://schemas.openxmlformats.org/officeDocument/2006/relationships" r:id="rId76"/>
              </a:graphicData>
            </a:graphic>
          </xdr:graphicFrame>
          <xdr:sp macro="" textlink="ControlChart_Budget1!AT49">
            <xdr:nvSpPr>
              <xdr:cNvPr id="5299" name="Rectangle 5298">
                <a:extLst>
                  <a:ext uri="{FF2B5EF4-FFF2-40B4-BE49-F238E27FC236}">
                    <a16:creationId xmlns:a16="http://schemas.microsoft.com/office/drawing/2014/main" id="{00000000-0008-0000-0800-0000B3140000}"/>
                  </a:ext>
                </a:extLst>
              </xdr:cNvPr>
              <xdr:cNvSpPr/>
            </xdr:nvSpPr>
            <xdr:spPr>
              <a:xfrm>
                <a:off x="40599949" y="7381492"/>
                <a:ext cx="2189912" cy="23115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68858EA-38BC-4F76-864D-748BF61F9134}" type="TxLink">
                  <a:rPr lang="en-US" sz="1200" b="0" i="0" u="none" strike="noStrike" kern="1200">
                    <a:solidFill>
                      <a:srgbClr val="AADCD7"/>
                    </a:solidFill>
                    <a:latin typeface="Aptos Narrow" panose="020B0004020202020204" pitchFamily="34" charset="0"/>
                    <a:cs typeface="Arial"/>
                  </a:rPr>
                  <a:pPr algn="ctr"/>
                  <a:t>Category6</a:t>
                </a:fld>
                <a:endParaRPr lang="fr-CA" sz="1200" kern="1200">
                  <a:solidFill>
                    <a:srgbClr val="AADCD7"/>
                  </a:solidFill>
                  <a:latin typeface="Aptos Narrow" panose="020B0004020202020204" pitchFamily="34" charset="0"/>
                </a:endParaRPr>
              </a:p>
            </xdr:txBody>
          </xdr:sp>
          <xdr:sp macro="" textlink="ControlChart_Budget1!AT6">
            <xdr:nvSpPr>
              <xdr:cNvPr id="5300" name="Rectangle 5299">
                <a:extLst>
                  <a:ext uri="{FF2B5EF4-FFF2-40B4-BE49-F238E27FC236}">
                    <a16:creationId xmlns:a16="http://schemas.microsoft.com/office/drawing/2014/main" id="{00000000-0008-0000-0800-0000B4140000}"/>
                  </a:ext>
                </a:extLst>
              </xdr:cNvPr>
              <xdr:cNvSpPr/>
            </xdr:nvSpPr>
            <xdr:spPr>
              <a:xfrm>
                <a:off x="40599949" y="5475422"/>
                <a:ext cx="2189912" cy="2287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8FF71E0-1931-4F7E-94D7-D282ECC022DB}"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1!AT54">
            <xdr:nvSpPr>
              <xdr:cNvPr id="5301" name="Rectangle 5300">
                <a:extLst>
                  <a:ext uri="{FF2B5EF4-FFF2-40B4-BE49-F238E27FC236}">
                    <a16:creationId xmlns:a16="http://schemas.microsoft.com/office/drawing/2014/main" id="{00000000-0008-0000-0800-0000B5140000}"/>
                  </a:ext>
                </a:extLst>
              </xdr:cNvPr>
              <xdr:cNvSpPr/>
            </xdr:nvSpPr>
            <xdr:spPr>
              <a:xfrm>
                <a:off x="39822228" y="5715247"/>
                <a:ext cx="1861283" cy="23115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0430591-902B-496B-A956-F6467A1BA28D}"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1!AV54">
            <xdr:nvSpPr>
              <xdr:cNvPr id="5302" name="Rectangle 5301">
                <a:extLst>
                  <a:ext uri="{FF2B5EF4-FFF2-40B4-BE49-F238E27FC236}">
                    <a16:creationId xmlns:a16="http://schemas.microsoft.com/office/drawing/2014/main" id="{00000000-0008-0000-0800-0000B6140000}"/>
                  </a:ext>
                </a:extLst>
              </xdr:cNvPr>
              <xdr:cNvSpPr/>
            </xdr:nvSpPr>
            <xdr:spPr>
              <a:xfrm>
                <a:off x="41588367" y="5749926"/>
                <a:ext cx="1296638" cy="2287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13A5B6F-0744-47AC-B9BF-64770C921779}"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sp macro="" textlink="ControlChart_Budget1!AX54">
            <xdr:nvSpPr>
              <xdr:cNvPr id="5303" name="Rectangle 5302">
                <a:extLst>
                  <a:ext uri="{FF2B5EF4-FFF2-40B4-BE49-F238E27FC236}">
                    <a16:creationId xmlns:a16="http://schemas.microsoft.com/office/drawing/2014/main" id="{00000000-0008-0000-0800-0000B7140000}"/>
                  </a:ext>
                </a:extLst>
              </xdr:cNvPr>
              <xdr:cNvSpPr/>
            </xdr:nvSpPr>
            <xdr:spPr>
              <a:xfrm>
                <a:off x="42114352" y="5507547"/>
                <a:ext cx="675509" cy="2287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1F11B65-CA92-434F-9381-F7D779762D6B}"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1!AW54">
            <xdr:nvSpPr>
              <xdr:cNvPr id="5304" name="Rectangle 5303">
                <a:extLst>
                  <a:ext uri="{FF2B5EF4-FFF2-40B4-BE49-F238E27FC236}">
                    <a16:creationId xmlns:a16="http://schemas.microsoft.com/office/drawing/2014/main" id="{00000000-0008-0000-0800-0000B8140000}"/>
                  </a:ext>
                </a:extLst>
              </xdr:cNvPr>
              <xdr:cNvSpPr/>
            </xdr:nvSpPr>
            <xdr:spPr>
              <a:xfrm>
                <a:off x="42789860" y="5507547"/>
                <a:ext cx="820406" cy="2287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A2F0AD2-9DA2-477D-9535-68C4ADD8347C}"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pic macro="[0]!Chart_Analyse.ShapeI61">
            <xdr:nvPicPr>
              <xdr:cNvPr id="5942" name="SH I61" descr="Branching diagram outline">
                <a:extLst>
                  <a:ext uri="{FF2B5EF4-FFF2-40B4-BE49-F238E27FC236}">
                    <a16:creationId xmlns:a16="http://schemas.microsoft.com/office/drawing/2014/main" id="{00000000-0008-0000-0800-00003617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71"/>
                  </a:ext>
                </a:extLst>
              </a:blip>
              <a:stretch>
                <a:fillRect/>
              </a:stretch>
            </xdr:blipFill>
            <xdr:spPr>
              <a:xfrm rot="10800000">
                <a:off x="39817453" y="6074586"/>
                <a:ext cx="382200" cy="382200"/>
              </a:xfrm>
              <a:prstGeom prst="rect">
                <a:avLst/>
              </a:prstGeom>
            </xdr:spPr>
          </xdr:pic>
          <xdr:pic macro="[0]!Chart_Analyse.ShapeI63">
            <xdr:nvPicPr>
              <xdr:cNvPr id="5943" name="SH I63" descr="Arrow circle outline">
                <a:extLst>
                  <a:ext uri="{FF2B5EF4-FFF2-40B4-BE49-F238E27FC236}">
                    <a16:creationId xmlns:a16="http://schemas.microsoft.com/office/drawing/2014/main" id="{00000000-0008-0000-0800-000037170000}"/>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39782334" y="6937372"/>
                <a:ext cx="452439" cy="452439"/>
              </a:xfrm>
              <a:prstGeom prst="rect">
                <a:avLst/>
              </a:prstGeom>
            </xdr:spPr>
          </xdr:pic>
          <xdr:pic macro="[0]!Chart_Analyse.ShapeI62">
            <xdr:nvPicPr>
              <xdr:cNvPr id="5944" name="SH I62" descr="Circular flowchart outline">
                <a:extLst>
                  <a:ext uri="{FF2B5EF4-FFF2-40B4-BE49-F238E27FC236}">
                    <a16:creationId xmlns:a16="http://schemas.microsoft.com/office/drawing/2014/main" id="{00000000-0008-0000-0800-000038170000}"/>
                  </a:ext>
                </a:extLst>
              </xdr:cNvPr>
              <xdr:cNvPicPr>
                <a:picLocks noChangeAspect="1"/>
              </xdr:cNvPicPr>
            </xdr:nvPicPr>
            <xdr:blipFill>
              <a:blip xmlns:r="http://schemas.openxmlformats.org/officeDocument/2006/relationships" r:embed="rId61">
                <a:extLst>
                  <a:ext uri="{96DAC541-7B7A-43D3-8B79-37D633B846F1}">
                    <asvg:svgBlip xmlns:asvg="http://schemas.microsoft.com/office/drawing/2016/SVG/main" r:embed="rId77"/>
                  </a:ext>
                </a:extLst>
              </a:blip>
              <a:stretch>
                <a:fillRect/>
              </a:stretch>
            </xdr:blipFill>
            <xdr:spPr>
              <a:xfrm>
                <a:off x="39791259" y="6479785"/>
                <a:ext cx="434589" cy="434589"/>
              </a:xfrm>
              <a:prstGeom prst="rect">
                <a:avLst/>
              </a:prstGeom>
            </xdr:spPr>
          </xdr:pic>
        </xdr:grpSp>
        <xdr:grpSp>
          <xdr:nvGrpSpPr>
            <xdr:cNvPr id="5958" name="Group 5957">
              <a:extLst>
                <a:ext uri="{FF2B5EF4-FFF2-40B4-BE49-F238E27FC236}">
                  <a16:creationId xmlns:a16="http://schemas.microsoft.com/office/drawing/2014/main" id="{00000000-0008-0000-0800-000046170000}"/>
                </a:ext>
              </a:extLst>
            </xdr:cNvPr>
            <xdr:cNvGrpSpPr/>
          </xdr:nvGrpSpPr>
          <xdr:grpSpPr>
            <a:xfrm>
              <a:off x="40155965" y="7746518"/>
              <a:ext cx="4266802" cy="2223393"/>
              <a:chOff x="39639250" y="7749517"/>
              <a:chExt cx="4211993" cy="2220483"/>
            </a:xfrm>
          </xdr:grpSpPr>
          <xdr:sp macro="" textlink="">
            <xdr:nvSpPr>
              <xdr:cNvPr id="5199" name="Rectangle: Rounded Corners 5198">
                <a:extLst>
                  <a:ext uri="{FF2B5EF4-FFF2-40B4-BE49-F238E27FC236}">
                    <a16:creationId xmlns:a16="http://schemas.microsoft.com/office/drawing/2014/main" id="{00000000-0008-0000-0800-00004F140000}"/>
                  </a:ext>
                </a:extLst>
              </xdr:cNvPr>
              <xdr:cNvSpPr/>
            </xdr:nvSpPr>
            <xdr:spPr>
              <a:xfrm>
                <a:off x="39639250" y="7749517"/>
                <a:ext cx="4211993" cy="2220483"/>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65" name="B1AB">
                <a:extLst>
                  <a:ext uri="{FF2B5EF4-FFF2-40B4-BE49-F238E27FC236}">
                    <a16:creationId xmlns:a16="http://schemas.microsoft.com/office/drawing/2014/main" id="{00000000-0008-0000-0800-00002D140000}"/>
                  </a:ext>
                </a:extLst>
              </xdr:cNvPr>
              <xdr:cNvGraphicFramePr>
                <a:graphicFrameLocks/>
              </xdr:cNvGraphicFramePr>
            </xdr:nvGraphicFramePr>
            <xdr:xfrm>
              <a:off x="40250393" y="8101888"/>
              <a:ext cx="3405849" cy="1774959"/>
            </xdr:xfrm>
            <a:graphic>
              <a:graphicData uri="http://schemas.openxmlformats.org/drawingml/2006/chart">
                <c:chart xmlns:c="http://schemas.openxmlformats.org/drawingml/2006/chart" xmlns:r="http://schemas.openxmlformats.org/officeDocument/2006/relationships" r:id="rId78"/>
              </a:graphicData>
            </a:graphic>
          </xdr:graphicFrame>
          <xdr:sp macro="" textlink="ControlChart_Budget1!AJ20">
            <xdr:nvSpPr>
              <xdr:cNvPr id="5263" name="Rectangle 5262">
                <a:extLst>
                  <a:ext uri="{FF2B5EF4-FFF2-40B4-BE49-F238E27FC236}">
                    <a16:creationId xmlns:a16="http://schemas.microsoft.com/office/drawing/2014/main" id="{00000000-0008-0000-0800-00008F140000}"/>
                  </a:ext>
                </a:extLst>
              </xdr:cNvPr>
              <xdr:cNvSpPr/>
            </xdr:nvSpPr>
            <xdr:spPr>
              <a:xfrm>
                <a:off x="40622339" y="9681369"/>
                <a:ext cx="2189979" cy="23123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B862749-CDED-4C51-883A-A5A01E345640}" type="TxLink">
                  <a:rPr lang="en-US" sz="1200" b="0" i="0" u="none" strike="noStrike" kern="1200">
                    <a:solidFill>
                      <a:srgbClr val="AADCD7"/>
                    </a:solidFill>
                    <a:latin typeface="Aptos Narrow" panose="020B0004020202020204" pitchFamily="34" charset="0"/>
                    <a:cs typeface="Arial"/>
                  </a:rPr>
                  <a:pPr algn="ctr"/>
                  <a:t>Category1</a:t>
                </a:fld>
                <a:endParaRPr lang="fr-CA" sz="1200" kern="1200">
                  <a:solidFill>
                    <a:srgbClr val="AADCD7"/>
                  </a:solidFill>
                  <a:latin typeface="Aptos Narrow" panose="020B0004020202020204" pitchFamily="34" charset="0"/>
                </a:endParaRPr>
              </a:p>
            </xdr:txBody>
          </xdr:sp>
          <xdr:sp macro="" textlink="ControlChart_Budget1!AT6">
            <xdr:nvSpPr>
              <xdr:cNvPr id="5274" name="Rectangle 5273">
                <a:extLst>
                  <a:ext uri="{FF2B5EF4-FFF2-40B4-BE49-F238E27FC236}">
                    <a16:creationId xmlns:a16="http://schemas.microsoft.com/office/drawing/2014/main" id="{00000000-0008-0000-0800-00009A140000}"/>
                  </a:ext>
                </a:extLst>
              </xdr:cNvPr>
              <xdr:cNvSpPr/>
            </xdr:nvSpPr>
            <xdr:spPr>
              <a:xfrm>
                <a:off x="40622339" y="7774612"/>
                <a:ext cx="2189979" cy="2288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8FF71E0-1931-4F7E-94D7-D282ECC022DB}" type="TxLink">
                  <a:rPr lang="en-US" sz="1200" b="0" i="0" u="none" strike="noStrike" kern="1200">
                    <a:solidFill>
                      <a:srgbClr val="A9FEFB"/>
                    </a:solidFill>
                    <a:latin typeface="Aptos Narrow" panose="020B0004020202020204" pitchFamily="34" charset="0"/>
                    <a:cs typeface="Arial"/>
                  </a:rPr>
                  <a:pPr algn="ctr"/>
                  <a:t>2025 Qtr1</a:t>
                </a:fld>
                <a:endParaRPr lang="fr-CA" sz="1200" kern="1200">
                  <a:solidFill>
                    <a:srgbClr val="A9FEFB"/>
                  </a:solidFill>
                  <a:latin typeface="Aptos Narrow" panose="020B0004020202020204" pitchFamily="34" charset="0"/>
                </a:endParaRPr>
              </a:p>
            </xdr:txBody>
          </xdr:sp>
          <xdr:sp macro="" textlink="ControlChart_Budget1!AT8">
            <xdr:nvSpPr>
              <xdr:cNvPr id="5276" name="Rectangle 5275">
                <a:extLst>
                  <a:ext uri="{FF2B5EF4-FFF2-40B4-BE49-F238E27FC236}">
                    <a16:creationId xmlns:a16="http://schemas.microsoft.com/office/drawing/2014/main" id="{00000000-0008-0000-0800-00009C140000}"/>
                  </a:ext>
                </a:extLst>
              </xdr:cNvPr>
              <xdr:cNvSpPr/>
            </xdr:nvSpPr>
            <xdr:spPr>
              <a:xfrm>
                <a:off x="39844594" y="8014524"/>
                <a:ext cx="1861340" cy="2312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DE84989-C74D-40AC-9366-F273C9FF39C9}" type="TxLink">
                  <a:rPr lang="en-US" sz="1600" b="0" i="0" u="none" strike="noStrike" kern="1200">
                    <a:solidFill>
                      <a:schemeClr val="bg1"/>
                    </a:solidFill>
                    <a:latin typeface="Aptos Narrow" panose="020B0004020202020204" pitchFamily="34" charset="0"/>
                    <a:cs typeface="Arial"/>
                  </a:rPr>
                  <a:pPr algn="r"/>
                  <a:t> 0.00 $</a:t>
                </a:fld>
                <a:endParaRPr lang="fr-CA" sz="1600" kern="1200">
                  <a:solidFill>
                    <a:schemeClr val="bg1"/>
                  </a:solidFill>
                  <a:latin typeface="Aptos Narrow" panose="020B0004020202020204" pitchFamily="34" charset="0"/>
                </a:endParaRPr>
              </a:p>
            </xdr:txBody>
          </xdr:sp>
          <xdr:sp macro="" textlink="ControlChart_Budget1!AV8">
            <xdr:nvSpPr>
              <xdr:cNvPr id="5277" name="Rectangle 5276">
                <a:extLst>
                  <a:ext uri="{FF2B5EF4-FFF2-40B4-BE49-F238E27FC236}">
                    <a16:creationId xmlns:a16="http://schemas.microsoft.com/office/drawing/2014/main" id="{00000000-0008-0000-0800-00009D140000}"/>
                  </a:ext>
                </a:extLst>
              </xdr:cNvPr>
              <xdr:cNvSpPr/>
            </xdr:nvSpPr>
            <xdr:spPr>
              <a:xfrm>
                <a:off x="41610787" y="8049215"/>
                <a:ext cx="1296678" cy="22886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5611B25F-CA05-463A-A59A-1688AE5D340C}" type="TxLink">
                  <a:rPr lang="en-US" sz="1200" b="0" i="0" u="none" strike="noStrike" kern="1200">
                    <a:solidFill>
                      <a:schemeClr val="tx1">
                        <a:lumMod val="50000"/>
                        <a:lumOff val="50000"/>
                      </a:schemeClr>
                    </a:solidFill>
                    <a:latin typeface="Aptos Narrow" panose="020B0004020202020204" pitchFamily="34" charset="0"/>
                    <a:cs typeface="Arial"/>
                  </a:rPr>
                  <a:pPr algn="l"/>
                  <a:t>/ 0.002$</a:t>
                </a:fld>
                <a:endParaRPr lang="fr-CA" sz="1200" kern="1200">
                  <a:solidFill>
                    <a:schemeClr val="tx1">
                      <a:lumMod val="50000"/>
                      <a:lumOff val="50000"/>
                    </a:schemeClr>
                  </a:solidFill>
                  <a:latin typeface="Aptos Narrow" panose="020B0004020202020204" pitchFamily="34" charset="0"/>
                </a:endParaRPr>
              </a:p>
            </xdr:txBody>
          </xdr:sp>
          <xdr:sp macro="" textlink="ControlChart_Budget1!AX8">
            <xdr:nvSpPr>
              <xdr:cNvPr id="5278" name="Rectangle 5277">
                <a:extLst>
                  <a:ext uri="{FF2B5EF4-FFF2-40B4-BE49-F238E27FC236}">
                    <a16:creationId xmlns:a16="http://schemas.microsoft.com/office/drawing/2014/main" id="{00000000-0008-0000-0800-00009E140000}"/>
                  </a:ext>
                </a:extLst>
              </xdr:cNvPr>
              <xdr:cNvSpPr/>
            </xdr:nvSpPr>
            <xdr:spPr>
              <a:xfrm>
                <a:off x="42136787" y="7806748"/>
                <a:ext cx="675530" cy="2288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FDD0A785-D9BA-4A9D-A967-279A12C86069}" type="TxLink">
                  <a:rPr lang="en-US" sz="900" b="0" i="0" u="none" strike="noStrike" kern="1200">
                    <a:solidFill>
                      <a:srgbClr val="00B050"/>
                    </a:solidFill>
                    <a:latin typeface="Aptos Narrow" panose="020B0004020202020204" pitchFamily="34" charset="0"/>
                    <a:cs typeface="Arial"/>
                  </a:rPr>
                  <a:pPr algn="r"/>
                  <a:t>Extra</a:t>
                </a:fld>
                <a:endParaRPr lang="en-US" sz="900" b="0" i="0" u="none" strike="noStrike" kern="1200">
                  <a:solidFill>
                    <a:srgbClr val="00B050"/>
                  </a:solidFill>
                  <a:latin typeface="Aptos Narrow" panose="020B0004020202020204" pitchFamily="34" charset="0"/>
                  <a:cs typeface="Arial"/>
                </a:endParaRPr>
              </a:p>
            </xdr:txBody>
          </xdr:sp>
          <xdr:sp macro="" textlink="ControlChart_Budget1!AW8">
            <xdr:nvSpPr>
              <xdr:cNvPr id="5280" name="Rectangle 5279">
                <a:extLst>
                  <a:ext uri="{FF2B5EF4-FFF2-40B4-BE49-F238E27FC236}">
                    <a16:creationId xmlns:a16="http://schemas.microsoft.com/office/drawing/2014/main" id="{00000000-0008-0000-0800-0000A0140000}"/>
                  </a:ext>
                </a:extLst>
              </xdr:cNvPr>
              <xdr:cNvSpPr/>
            </xdr:nvSpPr>
            <xdr:spPr>
              <a:xfrm>
                <a:off x="42812316" y="7806748"/>
                <a:ext cx="820431" cy="2288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9168F3E-895F-41C3-A76B-3767843318FA}" type="TxLink">
                  <a:rPr lang="en-US" sz="900" b="0" i="0" u="none" strike="noStrike" kern="1200">
                    <a:solidFill>
                      <a:srgbClr val="00B050"/>
                    </a:solidFill>
                    <a:latin typeface="Aptos Narrow" panose="020B0004020202020204" pitchFamily="34" charset="0"/>
                    <a:cs typeface="Arial"/>
                  </a:rPr>
                  <a:pPr algn="l"/>
                  <a:t> 0.00 $</a:t>
                </a:fld>
                <a:endParaRPr lang="en-US" sz="1200" b="0" i="0" u="none" strike="noStrike" kern="1200">
                  <a:solidFill>
                    <a:srgbClr val="00B050"/>
                  </a:solidFill>
                  <a:latin typeface="Aptos Narrow" panose="020B0004020202020204" pitchFamily="34" charset="0"/>
                  <a:cs typeface="Arial"/>
                </a:endParaRPr>
              </a:p>
            </xdr:txBody>
          </xdr:sp>
          <xdr:pic macro="[0]!Chart_Analyse.ShapeI11">
            <xdr:nvPicPr>
              <xdr:cNvPr id="5945" name="SH I11" descr="Branching diagram outline">
                <a:extLst>
                  <a:ext uri="{FF2B5EF4-FFF2-40B4-BE49-F238E27FC236}">
                    <a16:creationId xmlns:a16="http://schemas.microsoft.com/office/drawing/2014/main" id="{00000000-0008-0000-0800-00003917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9"/>
                  </a:ext>
                </a:extLst>
              </a:blip>
              <a:stretch>
                <a:fillRect/>
              </a:stretch>
            </xdr:blipFill>
            <xdr:spPr>
              <a:xfrm rot="10800000">
                <a:off x="39819041" y="8378048"/>
                <a:ext cx="382200" cy="382200"/>
              </a:xfrm>
              <a:prstGeom prst="rect">
                <a:avLst/>
              </a:prstGeom>
            </xdr:spPr>
          </xdr:pic>
          <xdr:pic macro="[0]!Chart_Analyse.ShapeI13">
            <xdr:nvPicPr>
              <xdr:cNvPr id="5946" name="SH I13" descr="Arrow circle outline">
                <a:extLst>
                  <a:ext uri="{FF2B5EF4-FFF2-40B4-BE49-F238E27FC236}">
                    <a16:creationId xmlns:a16="http://schemas.microsoft.com/office/drawing/2014/main" id="{00000000-0008-0000-0800-00003A170000}"/>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60"/>
                  </a:ext>
                </a:extLst>
              </a:blip>
              <a:stretch>
                <a:fillRect/>
              </a:stretch>
            </xdr:blipFill>
            <xdr:spPr>
              <a:xfrm>
                <a:off x="39783922" y="9240834"/>
                <a:ext cx="452439" cy="452439"/>
              </a:xfrm>
              <a:prstGeom prst="rect">
                <a:avLst/>
              </a:prstGeom>
            </xdr:spPr>
          </xdr:pic>
          <xdr:pic macro="[0]!Chart_Analyse.ShapeI12">
            <xdr:nvPicPr>
              <xdr:cNvPr id="5947" name="SH I12" descr="Circular flowchart outline">
                <a:extLst>
                  <a:ext uri="{FF2B5EF4-FFF2-40B4-BE49-F238E27FC236}">
                    <a16:creationId xmlns:a16="http://schemas.microsoft.com/office/drawing/2014/main" id="{00000000-0008-0000-0800-00003B17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74"/>
                  </a:ext>
                </a:extLst>
              </a:blip>
              <a:stretch>
                <a:fillRect/>
              </a:stretch>
            </xdr:blipFill>
            <xdr:spPr>
              <a:xfrm>
                <a:off x="39792847" y="8783247"/>
                <a:ext cx="434589" cy="434589"/>
              </a:xfrm>
              <a:prstGeom prst="rect">
                <a:avLst/>
              </a:prstGeom>
            </xdr:spPr>
          </xdr:pic>
        </xdr:grpSp>
      </xdr:grpSp>
      <xdr:grpSp>
        <xdr:nvGrpSpPr>
          <xdr:cNvPr id="6004" name="Group 6003">
            <a:extLst>
              <a:ext uri="{FF2B5EF4-FFF2-40B4-BE49-F238E27FC236}">
                <a16:creationId xmlns:a16="http://schemas.microsoft.com/office/drawing/2014/main" id="{00000000-0008-0000-0800-000074170000}"/>
              </a:ext>
            </a:extLst>
          </xdr:cNvPr>
          <xdr:cNvGrpSpPr/>
        </xdr:nvGrpSpPr>
        <xdr:grpSpPr>
          <a:xfrm>
            <a:off x="43848304" y="3166044"/>
            <a:ext cx="1672125" cy="2286898"/>
            <a:chOff x="43848304" y="3166044"/>
            <a:chExt cx="1672125" cy="2286898"/>
          </a:xfrm>
        </xdr:grpSpPr>
        <xdr:sp macro="" textlink="">
          <xdr:nvSpPr>
            <xdr:cNvPr id="5899" name="Rectangle: Rounded Corners 5898">
              <a:extLst>
                <a:ext uri="{FF2B5EF4-FFF2-40B4-BE49-F238E27FC236}">
                  <a16:creationId xmlns:a16="http://schemas.microsoft.com/office/drawing/2014/main" id="{00000000-0008-0000-0800-00000B170000}"/>
                </a:ext>
              </a:extLst>
            </xdr:cNvPr>
            <xdr:cNvSpPr/>
          </xdr:nvSpPr>
          <xdr:spPr>
            <a:xfrm>
              <a:off x="43848304" y="3166044"/>
              <a:ext cx="1617794" cy="2286898"/>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900" kern="1200">
                <a:latin typeface="Aptos Narrow" panose="020B0004020202020204" pitchFamily="34" charset="0"/>
              </a:endParaRPr>
            </a:p>
          </xdr:txBody>
        </xdr:sp>
        <xdr:pic>
          <xdr:nvPicPr>
            <xdr:cNvPr id="5900" name="ICO 11" descr="Branching diagram outline">
              <a:extLst>
                <a:ext uri="{FF2B5EF4-FFF2-40B4-BE49-F238E27FC236}">
                  <a16:creationId xmlns:a16="http://schemas.microsoft.com/office/drawing/2014/main" id="{00000000-0008-0000-0800-00000C17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9"/>
                </a:ext>
              </a:extLst>
            </a:blip>
            <a:stretch>
              <a:fillRect/>
            </a:stretch>
          </xdr:blipFill>
          <xdr:spPr>
            <a:xfrm rot="10800000">
              <a:off x="44886402" y="3207050"/>
              <a:ext cx="380179" cy="388099"/>
            </a:xfrm>
            <a:prstGeom prst="rect">
              <a:avLst/>
            </a:prstGeom>
          </xdr:spPr>
        </xdr:pic>
        <xdr:sp macro="" textlink="Library!A229">
          <xdr:nvSpPr>
            <xdr:cNvPr id="5891" name="Rectangle 5890">
              <a:extLst>
                <a:ext uri="{FF2B5EF4-FFF2-40B4-BE49-F238E27FC236}">
                  <a16:creationId xmlns:a16="http://schemas.microsoft.com/office/drawing/2014/main" id="{00000000-0008-0000-0800-000003170000}"/>
                </a:ext>
              </a:extLst>
            </xdr:cNvPr>
            <xdr:cNvSpPr/>
          </xdr:nvSpPr>
          <xdr:spPr>
            <a:xfrm>
              <a:off x="43905715" y="3247572"/>
              <a:ext cx="1016000" cy="299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l"/>
              <a:fld id="{83BE4B0B-5C55-4F40-AB72-5C0579C9113F}" type="TxLink">
                <a:rPr lang="en-US" altLang="ja-JP" sz="1200" b="0" i="0" u="none" strike="noStrike">
                  <a:solidFill>
                    <a:schemeClr val="bg1"/>
                  </a:solidFill>
                  <a:latin typeface="Aptos Narrow" panose="020B0004020202020204" pitchFamily="34" charset="0"/>
                  <a:cs typeface="Arial"/>
                </a:rPr>
                <a:pPr algn="l"/>
                <a:t>Fixed load</a:t>
              </a:fld>
              <a:endParaRPr lang="en-CA" sz="1200" b="0">
                <a:solidFill>
                  <a:schemeClr val="bg1"/>
                </a:solidFill>
                <a:latin typeface="Aptos Narrow" panose="020B0004020202020204" pitchFamily="34" charset="0"/>
              </a:endParaRPr>
            </a:p>
          </xdr:txBody>
        </xdr:sp>
        <xdr:sp macro="" textlink="Library!A230">
          <xdr:nvSpPr>
            <xdr:cNvPr id="5903" name="Rectangle 5902">
              <a:extLst>
                <a:ext uri="{FF2B5EF4-FFF2-40B4-BE49-F238E27FC236}">
                  <a16:creationId xmlns:a16="http://schemas.microsoft.com/office/drawing/2014/main" id="{00000000-0008-0000-0800-00000F170000}"/>
                </a:ext>
              </a:extLst>
            </xdr:cNvPr>
            <xdr:cNvSpPr/>
          </xdr:nvSpPr>
          <xdr:spPr>
            <a:xfrm>
              <a:off x="43905714" y="3587445"/>
              <a:ext cx="1562100" cy="467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8AE3854-204D-4DB2-A9EA-45CE1797243D}" type="TxLink">
                <a:rPr lang="en-US" altLang="ja-JP" sz="900" b="0" i="0" u="none" strike="noStrike">
                  <a:solidFill>
                    <a:schemeClr val="bg1"/>
                  </a:solidFill>
                  <a:latin typeface="Aptos Narrow" panose="020B0004020202020204" pitchFamily="34" charset="0"/>
                  <a:cs typeface="Arial"/>
                </a:rPr>
                <a:pPr algn="l"/>
                <a:t>This selection allows you to freeze your budget.</a:t>
              </a:fld>
              <a:endParaRPr lang="en-CA" sz="1200" b="0">
                <a:solidFill>
                  <a:schemeClr val="bg1"/>
                </a:solidFill>
                <a:latin typeface="Aptos Narrow" panose="020B0004020202020204" pitchFamily="34" charset="0"/>
              </a:endParaRPr>
            </a:p>
          </xdr:txBody>
        </xdr:sp>
        <xdr:sp macro="" textlink="Library!A231">
          <xdr:nvSpPr>
            <xdr:cNvPr id="5907" name="Rectangle 5906">
              <a:extLst>
                <a:ext uri="{FF2B5EF4-FFF2-40B4-BE49-F238E27FC236}">
                  <a16:creationId xmlns:a16="http://schemas.microsoft.com/office/drawing/2014/main" id="{00000000-0008-0000-0800-000013170000}"/>
                </a:ext>
              </a:extLst>
            </xdr:cNvPr>
            <xdr:cNvSpPr/>
          </xdr:nvSpPr>
          <xdr:spPr>
            <a:xfrm>
              <a:off x="43905714" y="4054927"/>
              <a:ext cx="1614715" cy="761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F51A218-216C-4448-9F25-305B61B87293}" type="TxLink">
                <a:rPr lang="en-US" altLang="ja-JP" sz="900" b="0" i="0" u="none" strike="noStrike">
                  <a:solidFill>
                    <a:schemeClr val="bg1"/>
                  </a:solidFill>
                  <a:latin typeface="Aptos Narrow" panose="020B0004020202020204" pitchFamily="34" charset="0"/>
                  <a:cs typeface="Arial"/>
                </a:rPr>
                <a:pPr algn="l"/>
                <a:t>After each quarter, savings or surpluses are allocated to shared budgets.</a:t>
              </a:fld>
              <a:endParaRPr lang="en-CA" sz="1200" b="0">
                <a:solidFill>
                  <a:schemeClr val="bg1"/>
                </a:solidFill>
                <a:latin typeface="Aptos Narrow" panose="020B0004020202020204" pitchFamily="34" charset="0"/>
              </a:endParaRPr>
            </a:p>
          </xdr:txBody>
        </xdr:sp>
        <xdr:sp macro="" textlink="Library!A232">
          <xdr:nvSpPr>
            <xdr:cNvPr id="5924" name="Rectangle 5923">
              <a:extLst>
                <a:ext uri="{FF2B5EF4-FFF2-40B4-BE49-F238E27FC236}">
                  <a16:creationId xmlns:a16="http://schemas.microsoft.com/office/drawing/2014/main" id="{00000000-0008-0000-0800-000024170000}"/>
                </a:ext>
              </a:extLst>
            </xdr:cNvPr>
            <xdr:cNvSpPr/>
          </xdr:nvSpPr>
          <xdr:spPr>
            <a:xfrm>
              <a:off x="43905714" y="4811485"/>
              <a:ext cx="1505857" cy="5134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F164542-ABE5-4F67-8D31-032986ED3664}" type="TxLink">
                <a:rPr lang="en-US" altLang="ja-JP" sz="900" b="0" i="0" u="none" strike="noStrike">
                  <a:solidFill>
                    <a:schemeClr val="bg1"/>
                  </a:solidFill>
                  <a:latin typeface="Aptos Narrow" panose="020B0004020202020204" pitchFamily="34" charset="0"/>
                  <a:cs typeface="Arial"/>
                </a:rPr>
                <a:pPr algn="l"/>
                <a:t>Ideal for fixed-charge budgets. </a:t>
              </a:fld>
              <a:endParaRPr lang="en-CA" sz="900" b="0">
                <a:solidFill>
                  <a:schemeClr val="bg1"/>
                </a:solidFill>
                <a:latin typeface="Aptos Narrow" panose="020B0004020202020204" pitchFamily="34" charset="0"/>
              </a:endParaRPr>
            </a:p>
          </xdr:txBody>
        </xdr:sp>
      </xdr:grpSp>
      <xdr:grpSp>
        <xdr:nvGrpSpPr>
          <xdr:cNvPr id="5545" name="Group 5544">
            <a:extLst>
              <a:ext uri="{FF2B5EF4-FFF2-40B4-BE49-F238E27FC236}">
                <a16:creationId xmlns:a16="http://schemas.microsoft.com/office/drawing/2014/main" id="{00000000-0008-0000-0800-0000A9150000}"/>
              </a:ext>
            </a:extLst>
          </xdr:cNvPr>
          <xdr:cNvGrpSpPr/>
        </xdr:nvGrpSpPr>
        <xdr:grpSpPr>
          <a:xfrm>
            <a:off x="43840490" y="7884988"/>
            <a:ext cx="1650909" cy="2483655"/>
            <a:chOff x="43840490" y="7884988"/>
            <a:chExt cx="1650909" cy="2483655"/>
          </a:xfrm>
        </xdr:grpSpPr>
        <xdr:sp macro="" textlink="">
          <xdr:nvSpPr>
            <xdr:cNvPr id="5906" name="Rectangle: Rounded Corners 5905">
              <a:extLst>
                <a:ext uri="{FF2B5EF4-FFF2-40B4-BE49-F238E27FC236}">
                  <a16:creationId xmlns:a16="http://schemas.microsoft.com/office/drawing/2014/main" id="{00000000-0008-0000-0800-000012170000}"/>
                </a:ext>
              </a:extLst>
            </xdr:cNvPr>
            <xdr:cNvSpPr/>
          </xdr:nvSpPr>
          <xdr:spPr>
            <a:xfrm>
              <a:off x="43840490" y="7884988"/>
              <a:ext cx="1631861" cy="2483655"/>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900" kern="1200">
                <a:latin typeface="Aptos Narrow" panose="020B0004020202020204" pitchFamily="34" charset="0"/>
              </a:endParaRPr>
            </a:p>
          </xdr:txBody>
        </xdr:sp>
        <xdr:pic>
          <xdr:nvPicPr>
            <xdr:cNvPr id="5914" name="ICO 13" descr="Arrow circle outline">
              <a:extLst>
                <a:ext uri="{FF2B5EF4-FFF2-40B4-BE49-F238E27FC236}">
                  <a16:creationId xmlns:a16="http://schemas.microsoft.com/office/drawing/2014/main" id="{00000000-0008-0000-0800-00001A170000}"/>
                </a:ext>
              </a:extLst>
            </xdr:cNvPr>
            <xdr:cNvPicPr>
              <a:picLocks noChangeAspect="1"/>
            </xdr:cNvPicPr>
          </xdr:nvPicPr>
          <xdr:blipFill>
            <a:blip xmlns:r="http://schemas.openxmlformats.org/officeDocument/2006/relationships" r:embed="rId72">
              <a:extLst>
                <a:ext uri="{96DAC541-7B7A-43D3-8B79-37D633B846F1}">
                  <asvg:svgBlip xmlns:asvg="http://schemas.microsoft.com/office/drawing/2016/SVG/main" r:embed="rId79"/>
                </a:ext>
              </a:extLst>
            </a:blip>
            <a:stretch>
              <a:fillRect/>
            </a:stretch>
          </xdr:blipFill>
          <xdr:spPr>
            <a:xfrm>
              <a:off x="44869217" y="7887823"/>
              <a:ext cx="450025" cy="487183"/>
            </a:xfrm>
            <a:prstGeom prst="rect">
              <a:avLst/>
            </a:prstGeom>
          </xdr:spPr>
        </xdr:pic>
        <xdr:sp macro="" textlink="Library!A237">
          <xdr:nvSpPr>
            <xdr:cNvPr id="5513" name="Rectangle 5512">
              <a:extLst>
                <a:ext uri="{FF2B5EF4-FFF2-40B4-BE49-F238E27FC236}">
                  <a16:creationId xmlns:a16="http://schemas.microsoft.com/office/drawing/2014/main" id="{00000000-0008-0000-0800-000089150000}"/>
                </a:ext>
              </a:extLst>
            </xdr:cNvPr>
            <xdr:cNvSpPr/>
          </xdr:nvSpPr>
          <xdr:spPr>
            <a:xfrm>
              <a:off x="43876684" y="7988299"/>
              <a:ext cx="1288143" cy="308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1D2ABB6-38C1-47E4-9B25-39A62D68919E}" type="TxLink">
                <a:rPr lang="en-US" altLang="ja-JP" sz="1200" b="0" i="0" u="none" strike="noStrike">
                  <a:solidFill>
                    <a:schemeClr val="bg1"/>
                  </a:solidFill>
                  <a:latin typeface="Aptos Narrow" panose="020B0004020202020204" pitchFamily="34" charset="0"/>
                  <a:cs typeface="Arial"/>
                </a:rPr>
                <a:pPr algn="l"/>
                <a:t>Independent</a:t>
              </a:fld>
              <a:endParaRPr lang="en-CA" sz="1200" b="0">
                <a:solidFill>
                  <a:schemeClr val="bg1"/>
                </a:solidFill>
                <a:latin typeface="Aptos Narrow" panose="020B0004020202020204" pitchFamily="34" charset="0"/>
              </a:endParaRPr>
            </a:p>
          </xdr:txBody>
        </xdr:sp>
        <xdr:sp macro="" textlink="Library!A238">
          <xdr:nvSpPr>
            <xdr:cNvPr id="5520" name="Rectangle 5519">
              <a:extLst>
                <a:ext uri="{FF2B5EF4-FFF2-40B4-BE49-F238E27FC236}">
                  <a16:creationId xmlns:a16="http://schemas.microsoft.com/office/drawing/2014/main" id="{00000000-0008-0000-0800-000090150000}"/>
                </a:ext>
              </a:extLst>
            </xdr:cNvPr>
            <xdr:cNvSpPr/>
          </xdr:nvSpPr>
          <xdr:spPr>
            <a:xfrm>
              <a:off x="43876684" y="8328173"/>
              <a:ext cx="1562100" cy="467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72AD129-7D86-4D00-9BCB-513654AAD94D}" type="TxLink">
                <a:rPr lang="en-US" altLang="ja-JP" sz="900" b="0" i="0" u="none" strike="noStrike">
                  <a:solidFill>
                    <a:schemeClr val="bg1"/>
                  </a:solidFill>
                  <a:latin typeface="Aptos Narrow" panose="020B0004020202020204" pitchFamily="34" charset="0"/>
                  <a:cs typeface="Arial"/>
                </a:rPr>
                <a:pPr algn="l"/>
                <a:t>This selection allows you to isolate your budget.</a:t>
              </a:fld>
              <a:endParaRPr lang="en-CA" sz="1200" b="0">
                <a:solidFill>
                  <a:schemeClr val="bg1"/>
                </a:solidFill>
                <a:latin typeface="Aptos Narrow" panose="020B0004020202020204" pitchFamily="34" charset="0"/>
              </a:endParaRPr>
            </a:p>
          </xdr:txBody>
        </xdr:sp>
        <xdr:sp macro="" textlink="Library!A239">
          <xdr:nvSpPr>
            <xdr:cNvPr id="5531" name="Rectangle 5530">
              <a:extLst>
                <a:ext uri="{FF2B5EF4-FFF2-40B4-BE49-F238E27FC236}">
                  <a16:creationId xmlns:a16="http://schemas.microsoft.com/office/drawing/2014/main" id="{00000000-0008-0000-0800-00009B150000}"/>
                </a:ext>
              </a:extLst>
            </xdr:cNvPr>
            <xdr:cNvSpPr/>
          </xdr:nvSpPr>
          <xdr:spPr>
            <a:xfrm>
              <a:off x="43876684" y="8795655"/>
              <a:ext cx="1614715" cy="761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260AC5A-BF06-4D23-8F52-E2F6C5238AF8}" type="TxLink">
                <a:rPr lang="en-US" altLang="ja-JP" sz="900" b="0" i="0" u="none" strike="noStrike">
                  <a:solidFill>
                    <a:schemeClr val="bg1"/>
                  </a:solidFill>
                  <a:latin typeface="Aptos Narrow" panose="020B0004020202020204" pitchFamily="34" charset="0"/>
                  <a:cs typeface="Arial"/>
                </a:rPr>
                <a:pPr algn="l"/>
                <a:t>After each quarter, savings or surpluses will be redistributed to the selected budget only.</a:t>
              </a:fld>
              <a:endParaRPr lang="en-CA" sz="1200" b="0">
                <a:solidFill>
                  <a:schemeClr val="bg1"/>
                </a:solidFill>
                <a:latin typeface="Aptos Narrow" panose="020B0004020202020204" pitchFamily="34" charset="0"/>
              </a:endParaRPr>
            </a:p>
          </xdr:txBody>
        </xdr:sp>
        <xdr:sp macro="" textlink="Library!A240">
          <xdr:nvSpPr>
            <xdr:cNvPr id="5532" name="Rectangle 5531">
              <a:extLst>
                <a:ext uri="{FF2B5EF4-FFF2-40B4-BE49-F238E27FC236}">
                  <a16:creationId xmlns:a16="http://schemas.microsoft.com/office/drawing/2014/main" id="{00000000-0008-0000-0800-00009C150000}"/>
                </a:ext>
              </a:extLst>
            </xdr:cNvPr>
            <xdr:cNvSpPr/>
          </xdr:nvSpPr>
          <xdr:spPr>
            <a:xfrm>
              <a:off x="43876684" y="9552213"/>
              <a:ext cx="1505857" cy="680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1EA4011-2B1F-4E36-9BE7-E39E3D7FA7CE}" type="TxLink">
                <a:rPr lang="en-US" altLang="ja-JP" sz="900" b="0" i="0" u="none" strike="noStrike">
                  <a:solidFill>
                    <a:schemeClr val="bg1"/>
                  </a:solidFill>
                  <a:latin typeface="Aptos Narrow" panose="020B0004020202020204" pitchFamily="34" charset="0"/>
                  <a:cs typeface="Arial"/>
                </a:rPr>
                <a:pPr algn="l"/>
                <a:t>Ideal for special projects that don't involve day-to-day expenses.</a:t>
              </a:fld>
              <a:endParaRPr lang="en-CA" sz="900" b="0">
                <a:solidFill>
                  <a:schemeClr val="bg1"/>
                </a:solidFill>
                <a:latin typeface="Aptos Narrow" panose="020B0004020202020204" pitchFamily="34" charset="0"/>
              </a:endParaRPr>
            </a:p>
          </xdr:txBody>
        </xdr:sp>
      </xdr:grpSp>
      <xdr:grpSp>
        <xdr:nvGrpSpPr>
          <xdr:cNvPr id="5437" name="Group 5436">
            <a:extLst>
              <a:ext uri="{FF2B5EF4-FFF2-40B4-BE49-F238E27FC236}">
                <a16:creationId xmlns:a16="http://schemas.microsoft.com/office/drawing/2014/main" id="{00000000-0008-0000-0800-00003D150000}"/>
              </a:ext>
            </a:extLst>
          </xdr:cNvPr>
          <xdr:cNvGrpSpPr/>
        </xdr:nvGrpSpPr>
        <xdr:grpSpPr>
          <a:xfrm>
            <a:off x="43854556" y="5536805"/>
            <a:ext cx="1665873" cy="2290123"/>
            <a:chOff x="43854556" y="5536805"/>
            <a:chExt cx="1665873" cy="2290123"/>
          </a:xfrm>
        </xdr:grpSpPr>
        <xdr:sp macro="" textlink="">
          <xdr:nvSpPr>
            <xdr:cNvPr id="5902" name="Rectangle: Rounded Corners 5901">
              <a:extLst>
                <a:ext uri="{FF2B5EF4-FFF2-40B4-BE49-F238E27FC236}">
                  <a16:creationId xmlns:a16="http://schemas.microsoft.com/office/drawing/2014/main" id="{00000000-0008-0000-0800-00000E170000}"/>
                </a:ext>
              </a:extLst>
            </xdr:cNvPr>
            <xdr:cNvSpPr/>
          </xdr:nvSpPr>
          <xdr:spPr>
            <a:xfrm>
              <a:off x="43854556" y="5536805"/>
              <a:ext cx="1617794" cy="2290123"/>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900" kern="1200">
                <a:latin typeface="Aptos Narrow" panose="020B0004020202020204" pitchFamily="34" charset="0"/>
              </a:endParaRPr>
            </a:p>
          </xdr:txBody>
        </xdr:sp>
        <xdr:sp macro="" textlink="Library!A233">
          <xdr:nvSpPr>
            <xdr:cNvPr id="6000" name="Rectangle 5999">
              <a:extLst>
                <a:ext uri="{FF2B5EF4-FFF2-40B4-BE49-F238E27FC236}">
                  <a16:creationId xmlns:a16="http://schemas.microsoft.com/office/drawing/2014/main" id="{00000000-0008-0000-0800-000070170000}"/>
                </a:ext>
              </a:extLst>
            </xdr:cNvPr>
            <xdr:cNvSpPr/>
          </xdr:nvSpPr>
          <xdr:spPr>
            <a:xfrm>
              <a:off x="43905714" y="5631542"/>
              <a:ext cx="1288143" cy="308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8A7CF6A-BF27-4FF4-BC48-29A5F3781B12}" type="TxLink">
                <a:rPr lang="en-US" altLang="ja-JP" sz="1200" b="0" i="0" u="none" strike="noStrike">
                  <a:solidFill>
                    <a:schemeClr val="bg1"/>
                  </a:solidFill>
                  <a:latin typeface="Aptos Narrow" panose="020B0004020202020204" pitchFamily="34" charset="0"/>
                  <a:cs typeface="Arial"/>
                </a:rPr>
                <a:pPr algn="l"/>
                <a:t>Regular</a:t>
              </a:fld>
              <a:endParaRPr lang="en-CA" sz="1200" b="0">
                <a:solidFill>
                  <a:schemeClr val="bg1"/>
                </a:solidFill>
                <a:latin typeface="Aptos Narrow" panose="020B0004020202020204" pitchFamily="34" charset="0"/>
              </a:endParaRPr>
            </a:p>
          </xdr:txBody>
        </xdr:sp>
        <xdr:sp macro="" textlink="Library!A234">
          <xdr:nvSpPr>
            <xdr:cNvPr id="6001" name="Rectangle 6000">
              <a:extLst>
                <a:ext uri="{FF2B5EF4-FFF2-40B4-BE49-F238E27FC236}">
                  <a16:creationId xmlns:a16="http://schemas.microsoft.com/office/drawing/2014/main" id="{00000000-0008-0000-0800-000071170000}"/>
                </a:ext>
              </a:extLst>
            </xdr:cNvPr>
            <xdr:cNvSpPr/>
          </xdr:nvSpPr>
          <xdr:spPr>
            <a:xfrm>
              <a:off x="43905714" y="5971416"/>
              <a:ext cx="1562100" cy="467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FDF3193-1C7C-4B6A-9FA6-02F6BFCE2754}" type="TxLink">
                <a:rPr lang="en-US" altLang="ja-JP" sz="900" b="0" i="0" u="none" strike="noStrike">
                  <a:solidFill>
                    <a:schemeClr val="bg1"/>
                  </a:solidFill>
                  <a:latin typeface="Aptos Narrow" panose="020B0004020202020204" pitchFamily="34" charset="0"/>
                  <a:cs typeface="Arial"/>
                </a:rPr>
                <a:pPr algn="l"/>
                <a:t>This selection allows you to connect your budgets.</a:t>
              </a:fld>
              <a:endParaRPr lang="en-CA" sz="1200" b="0">
                <a:solidFill>
                  <a:schemeClr val="bg1"/>
                </a:solidFill>
                <a:latin typeface="Aptos Narrow" panose="020B0004020202020204" pitchFamily="34" charset="0"/>
              </a:endParaRPr>
            </a:p>
          </xdr:txBody>
        </xdr:sp>
        <xdr:sp macro="" textlink="Library!A235">
          <xdr:nvSpPr>
            <xdr:cNvPr id="6002" name="Rectangle 6001">
              <a:extLst>
                <a:ext uri="{FF2B5EF4-FFF2-40B4-BE49-F238E27FC236}">
                  <a16:creationId xmlns:a16="http://schemas.microsoft.com/office/drawing/2014/main" id="{00000000-0008-0000-0800-000072170000}"/>
                </a:ext>
              </a:extLst>
            </xdr:cNvPr>
            <xdr:cNvSpPr/>
          </xdr:nvSpPr>
          <xdr:spPr>
            <a:xfrm>
              <a:off x="43905714" y="6438898"/>
              <a:ext cx="1614715" cy="761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A21F5D1-44F2-4A59-91EA-D284727F5028}" type="TxLink">
                <a:rPr lang="en-US" altLang="ja-JP" sz="900" b="0" i="0" u="none" strike="noStrike">
                  <a:solidFill>
                    <a:schemeClr val="bg1"/>
                  </a:solidFill>
                  <a:latin typeface="Aptos Narrow" panose="020B0004020202020204" pitchFamily="34" charset="0"/>
                  <a:cs typeface="Arial"/>
                </a:rPr>
                <a:pPr algn="l"/>
                <a:t>After each quarter, savings or surpluses will be allocated proportionally to all shared budgets.</a:t>
              </a:fld>
              <a:endParaRPr lang="en-CA" sz="1200" b="0">
                <a:solidFill>
                  <a:schemeClr val="bg1"/>
                </a:solidFill>
                <a:latin typeface="Aptos Narrow" panose="020B0004020202020204" pitchFamily="34" charset="0"/>
              </a:endParaRPr>
            </a:p>
          </xdr:txBody>
        </xdr:sp>
        <xdr:sp macro="" textlink="Library!A236">
          <xdr:nvSpPr>
            <xdr:cNvPr id="6003" name="Rectangle 6002">
              <a:extLst>
                <a:ext uri="{FF2B5EF4-FFF2-40B4-BE49-F238E27FC236}">
                  <a16:creationId xmlns:a16="http://schemas.microsoft.com/office/drawing/2014/main" id="{00000000-0008-0000-0800-000073170000}"/>
                </a:ext>
              </a:extLst>
            </xdr:cNvPr>
            <xdr:cNvSpPr/>
          </xdr:nvSpPr>
          <xdr:spPr>
            <a:xfrm>
              <a:off x="43905714" y="7195456"/>
              <a:ext cx="1505857" cy="5134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DE2818C-2DBB-4572-8C82-53DB9D694890}" type="TxLink">
                <a:rPr lang="en-US" altLang="ja-JP" sz="900" b="0" i="0" u="none" strike="noStrike">
                  <a:solidFill>
                    <a:schemeClr val="bg1"/>
                  </a:solidFill>
                  <a:latin typeface="Aptos Narrow" panose="020B0004020202020204" pitchFamily="34" charset="0"/>
                  <a:cs typeface="Arial"/>
                </a:rPr>
                <a:pPr algn="l"/>
                <a:t>Ideal for variable-load budgets.</a:t>
              </a:fld>
              <a:endParaRPr lang="en-CA" sz="900" b="0">
                <a:solidFill>
                  <a:schemeClr val="bg1"/>
                </a:solidFill>
                <a:latin typeface="Aptos Narrow" panose="020B0004020202020204" pitchFamily="34" charset="0"/>
              </a:endParaRPr>
            </a:p>
          </xdr:txBody>
        </xdr:sp>
        <xdr:pic>
          <xdr:nvPicPr>
            <xdr:cNvPr id="5904" name="ICO 12" descr="Circular flowchart outline">
              <a:extLst>
                <a:ext uri="{FF2B5EF4-FFF2-40B4-BE49-F238E27FC236}">
                  <a16:creationId xmlns:a16="http://schemas.microsoft.com/office/drawing/2014/main" id="{00000000-0008-0000-0800-000010170000}"/>
                </a:ext>
              </a:extLst>
            </xdr:cNvPr>
            <xdr:cNvPicPr>
              <a:picLocks noChangeAspect="1"/>
            </xdr:cNvPicPr>
          </xdr:nvPicPr>
          <xdr:blipFill>
            <a:blip xmlns:r="http://schemas.openxmlformats.org/officeDocument/2006/relationships" r:embed="rId61">
              <a:extLst>
                <a:ext uri="{96DAC541-7B7A-43D3-8B79-37D633B846F1}">
                  <asvg:svgBlip xmlns:asvg="http://schemas.microsoft.com/office/drawing/2016/SVG/main" r:embed="rId62"/>
                </a:ext>
              </a:extLst>
            </a:blip>
            <a:stretch>
              <a:fillRect/>
            </a:stretch>
          </xdr:blipFill>
          <xdr:spPr>
            <a:xfrm>
              <a:off x="44869176" y="5558437"/>
              <a:ext cx="432299" cy="442211"/>
            </a:xfrm>
            <a:prstGeom prst="rect">
              <a:avLst/>
            </a:prstGeom>
          </xdr:spPr>
        </xdr:pic>
      </xdr:grpSp>
    </xdr:grpSp>
    <xdr:clientData/>
  </xdr:twoCellAnchor>
  <xdr:twoCellAnchor editAs="absolute">
    <xdr:from>
      <xdr:col>0</xdr:col>
      <xdr:colOff>0</xdr:colOff>
      <xdr:row>0</xdr:row>
      <xdr:rowOff>125488</xdr:rowOff>
    </xdr:from>
    <xdr:to>
      <xdr:col>34</xdr:col>
      <xdr:colOff>364370</xdr:colOff>
      <xdr:row>88</xdr:row>
      <xdr:rowOff>121399</xdr:rowOff>
    </xdr:to>
    <xdr:grpSp>
      <xdr:nvGrpSpPr>
        <xdr:cNvPr id="5824" name="Group 5823">
          <a:extLst>
            <a:ext uri="{FF2B5EF4-FFF2-40B4-BE49-F238E27FC236}">
              <a16:creationId xmlns:a16="http://schemas.microsoft.com/office/drawing/2014/main" id="{752A3D45-E5A7-4284-309A-60425B24802C}"/>
            </a:ext>
          </a:extLst>
        </xdr:cNvPr>
        <xdr:cNvGrpSpPr/>
      </xdr:nvGrpSpPr>
      <xdr:grpSpPr>
        <a:xfrm>
          <a:off x="0" y="125488"/>
          <a:ext cx="20525620" cy="13034578"/>
          <a:chOff x="0" y="125488"/>
          <a:chExt cx="20525620" cy="13034578"/>
        </a:xfrm>
      </xdr:grpSpPr>
      <xdr:grpSp>
        <xdr:nvGrpSpPr>
          <xdr:cNvPr id="5894" name="Group 5893">
            <a:extLst>
              <a:ext uri="{FF2B5EF4-FFF2-40B4-BE49-F238E27FC236}">
                <a16:creationId xmlns:a16="http://schemas.microsoft.com/office/drawing/2014/main" id="{00000000-0008-0000-0800-000006170000}"/>
              </a:ext>
            </a:extLst>
          </xdr:cNvPr>
          <xdr:cNvGrpSpPr/>
        </xdr:nvGrpSpPr>
        <xdr:grpSpPr>
          <a:xfrm>
            <a:off x="118324" y="10294873"/>
            <a:ext cx="8432726" cy="2865193"/>
            <a:chOff x="1618134" y="8492148"/>
            <a:chExt cx="8429117" cy="2863655"/>
          </a:xfrm>
        </xdr:grpSpPr>
        <xdr:sp macro="" textlink="" fLocksText="0">
          <xdr:nvSpPr>
            <xdr:cNvPr id="5879" name="Rectangle: Rounded Corners 5878">
              <a:extLst>
                <a:ext uri="{FF2B5EF4-FFF2-40B4-BE49-F238E27FC236}">
                  <a16:creationId xmlns:a16="http://schemas.microsoft.com/office/drawing/2014/main" id="{00000000-0008-0000-0800-0000F7160000}"/>
                </a:ext>
              </a:extLst>
            </xdr:cNvPr>
            <xdr:cNvSpPr/>
          </xdr:nvSpPr>
          <xdr:spPr>
            <a:xfrm>
              <a:off x="1618134" y="8492148"/>
              <a:ext cx="8429117" cy="2863655"/>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graphicFrame macro="">
          <xdr:nvGraphicFramePr>
            <xdr:cNvPr id="36" name="Chart Strategique">
              <a:extLst>
                <a:ext uri="{FF2B5EF4-FFF2-40B4-BE49-F238E27FC236}">
                  <a16:creationId xmlns:a16="http://schemas.microsoft.com/office/drawing/2014/main" id="{00000000-0008-0000-0800-000024000000}"/>
                </a:ext>
              </a:extLst>
            </xdr:cNvPr>
            <xdr:cNvGraphicFramePr>
              <a:graphicFrameLocks/>
            </xdr:cNvGraphicFramePr>
          </xdr:nvGraphicFramePr>
          <xdr:xfrm>
            <a:off x="1859643" y="8693452"/>
            <a:ext cx="4732261" cy="2634344"/>
          </xdr:xfrm>
          <a:graphic>
            <a:graphicData uri="http://schemas.openxmlformats.org/drawingml/2006/chart">
              <c:chart xmlns:c="http://schemas.openxmlformats.org/drawingml/2006/chart" xmlns:r="http://schemas.openxmlformats.org/officeDocument/2006/relationships" r:id="rId80"/>
            </a:graphicData>
          </a:graphic>
        </xdr:graphicFrame>
        <xdr:sp macro="[0]!Chart_Analyse.ShapeStrat3_Click" textlink="">
          <xdr:nvSpPr>
            <xdr:cNvPr id="5882" name="Shape Strat3">
              <a:extLst>
                <a:ext uri="{FF2B5EF4-FFF2-40B4-BE49-F238E27FC236}">
                  <a16:creationId xmlns:a16="http://schemas.microsoft.com/office/drawing/2014/main" id="{00000000-0008-0000-0800-0000FA160000}"/>
                </a:ext>
              </a:extLst>
            </xdr:cNvPr>
            <xdr:cNvSpPr/>
          </xdr:nvSpPr>
          <xdr:spPr>
            <a:xfrm>
              <a:off x="6410474" y="9092596"/>
              <a:ext cx="1103692" cy="241904"/>
            </a:xfrm>
            <a:prstGeom prst="roundRect">
              <a:avLst>
                <a:gd name="adj" fmla="val 50000"/>
              </a:avLst>
            </a:prstGeom>
            <a:solidFill>
              <a:srgbClr val="FA6148"/>
            </a:solidFill>
            <a:ln>
              <a:noFill/>
            </a:ln>
            <a:scene3d>
              <a:camera prst="orthographicFront"/>
              <a:lightRig rig="threePt" dir="t"/>
            </a:scene3d>
            <a:sp3d prstMaterial="matte"/>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400" b="1" kern="1200">
                  <a:solidFill>
                    <a:schemeClr val="tx1"/>
                  </a:solidFill>
                  <a:latin typeface="Aptos Narrow" panose="020B0004020202020204" pitchFamily="34" charset="0"/>
                </a:rPr>
                <a:t>Strategy 3</a:t>
              </a:r>
              <a:endParaRPr lang="fr-CA" sz="1400" b="1" kern="1200">
                <a:solidFill>
                  <a:schemeClr val="tx1"/>
                </a:solidFill>
                <a:latin typeface="Aptos Narrow" panose="020B0004020202020204" pitchFamily="34" charset="0"/>
              </a:endParaRPr>
            </a:p>
          </xdr:txBody>
        </xdr:sp>
        <xdr:sp macro="[0]!Chart_Analyse.ShapeStrat2_Click" textlink="">
          <xdr:nvSpPr>
            <xdr:cNvPr id="22" name="Shape Strat2">
              <a:extLst>
                <a:ext uri="{FF2B5EF4-FFF2-40B4-BE49-F238E27FC236}">
                  <a16:creationId xmlns:a16="http://schemas.microsoft.com/office/drawing/2014/main" id="{00000000-0008-0000-0800-000016000000}"/>
                </a:ext>
              </a:extLst>
            </xdr:cNvPr>
            <xdr:cNvSpPr/>
          </xdr:nvSpPr>
          <xdr:spPr>
            <a:xfrm>
              <a:off x="6408662" y="9824357"/>
              <a:ext cx="1105505" cy="260047"/>
            </a:xfrm>
            <a:prstGeom prst="roundRect">
              <a:avLst>
                <a:gd name="adj" fmla="val 50000"/>
              </a:avLst>
            </a:prstGeom>
            <a:solidFill>
              <a:srgbClr val="FFFF00"/>
            </a:solidFill>
            <a:ln>
              <a:noFill/>
            </a:ln>
            <a:scene3d>
              <a:camera prst="orthographicFront"/>
              <a:lightRig rig="threePt" dir="t"/>
            </a:scene3d>
            <a:sp3d prstMaterial="matte"/>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400" b="1" kern="1200">
                  <a:solidFill>
                    <a:schemeClr val="tx1"/>
                  </a:solidFill>
                  <a:latin typeface="Aptos Narrow" panose="020B0004020202020204" pitchFamily="34" charset="0"/>
                </a:rPr>
                <a:t>Strategy 2</a:t>
              </a:r>
              <a:endParaRPr lang="fr-CA" sz="1400" b="1" kern="1200">
                <a:solidFill>
                  <a:schemeClr val="tx1"/>
                </a:solidFill>
                <a:latin typeface="Aptos Narrow" panose="020B0004020202020204" pitchFamily="34" charset="0"/>
              </a:endParaRPr>
            </a:p>
          </xdr:txBody>
        </xdr:sp>
        <xdr:sp macro="[0]!Chart_Analyse.ShapeStrat1_Click" textlink="">
          <xdr:nvSpPr>
            <xdr:cNvPr id="28" name="Shape Strat1">
              <a:extLst>
                <a:ext uri="{FF2B5EF4-FFF2-40B4-BE49-F238E27FC236}">
                  <a16:creationId xmlns:a16="http://schemas.microsoft.com/office/drawing/2014/main" id="{00000000-0008-0000-0800-00001C000000}"/>
                </a:ext>
              </a:extLst>
            </xdr:cNvPr>
            <xdr:cNvSpPr/>
          </xdr:nvSpPr>
          <xdr:spPr>
            <a:xfrm>
              <a:off x="6388706" y="10552490"/>
              <a:ext cx="1143605" cy="251581"/>
            </a:xfrm>
            <a:prstGeom prst="roundRect">
              <a:avLst>
                <a:gd name="adj" fmla="val 50000"/>
              </a:avLst>
            </a:prstGeom>
            <a:solidFill>
              <a:srgbClr val="C54EF8"/>
            </a:solidFill>
            <a:ln>
              <a:noFill/>
            </a:ln>
            <a:scene3d>
              <a:camera prst="orthographicFront"/>
              <a:lightRig rig="threePt" dir="t"/>
            </a:scene3d>
            <a:sp3d prstMaterial="matte"/>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400" b="1" kern="1200">
                  <a:solidFill>
                    <a:schemeClr val="tx1"/>
                  </a:solidFill>
                  <a:latin typeface="Aptos Narrow" panose="020B0004020202020204" pitchFamily="34" charset="0"/>
                </a:rPr>
                <a:t>Strategy 1</a:t>
              </a:r>
              <a:endParaRPr lang="fr-CA" sz="1400" b="1" kern="1200">
                <a:solidFill>
                  <a:schemeClr val="tx1"/>
                </a:solidFill>
                <a:latin typeface="Aptos Narrow" panose="020B0004020202020204" pitchFamily="34" charset="0"/>
              </a:endParaRPr>
            </a:p>
          </xdr:txBody>
        </xdr:sp>
        <xdr:sp macro="[0]!Chart_analyse.ShapeStrat11_Click" textlink="">
          <xdr:nvSpPr>
            <xdr:cNvPr id="5886" name="ShapeStrat11">
              <a:extLst>
                <a:ext uri="{FF2B5EF4-FFF2-40B4-BE49-F238E27FC236}">
                  <a16:creationId xmlns:a16="http://schemas.microsoft.com/office/drawing/2014/main" id="{00000000-0008-0000-0800-0000FE160000}"/>
                </a:ext>
              </a:extLst>
            </xdr:cNvPr>
            <xdr:cNvSpPr/>
          </xdr:nvSpPr>
          <xdr:spPr>
            <a:xfrm>
              <a:off x="2585357" y="8571593"/>
              <a:ext cx="839106" cy="158146"/>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000" kern="1200">
                  <a:solidFill>
                    <a:srgbClr val="AADCD7"/>
                  </a:solidFill>
                  <a:latin typeface="Aptos Narrow" panose="020B0004020202020204" pitchFamily="34" charset="0"/>
                </a:rPr>
                <a:t>Strategy 1</a:t>
              </a:r>
              <a:endParaRPr lang="fr-CA" sz="1000" kern="1200">
                <a:solidFill>
                  <a:srgbClr val="AADCD7"/>
                </a:solidFill>
                <a:latin typeface="Aptos Narrow" panose="020B0004020202020204" pitchFamily="34" charset="0"/>
              </a:endParaRPr>
            </a:p>
          </xdr:txBody>
        </xdr:sp>
        <xdr:sp macro="[0]!Chart_Analyse.ShapeStrat22_Click" textlink="">
          <xdr:nvSpPr>
            <xdr:cNvPr id="37" name="ShapeStrat22">
              <a:extLst>
                <a:ext uri="{FF2B5EF4-FFF2-40B4-BE49-F238E27FC236}">
                  <a16:creationId xmlns:a16="http://schemas.microsoft.com/office/drawing/2014/main" id="{00000000-0008-0000-0800-000025000000}"/>
                </a:ext>
              </a:extLst>
            </xdr:cNvPr>
            <xdr:cNvSpPr/>
          </xdr:nvSpPr>
          <xdr:spPr>
            <a:xfrm>
              <a:off x="3504292" y="8571593"/>
              <a:ext cx="842131" cy="158146"/>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000" kern="1200">
                  <a:solidFill>
                    <a:srgbClr val="AADCD7"/>
                  </a:solidFill>
                  <a:latin typeface="Aptos Narrow" panose="020B0004020202020204" pitchFamily="34" charset="0"/>
                </a:rPr>
                <a:t>Strategy 2</a:t>
              </a:r>
              <a:endParaRPr lang="fr-CA" sz="1000" kern="1200">
                <a:solidFill>
                  <a:srgbClr val="AADCD7"/>
                </a:solidFill>
                <a:latin typeface="Aptos Narrow" panose="020B0004020202020204" pitchFamily="34" charset="0"/>
              </a:endParaRPr>
            </a:p>
          </xdr:txBody>
        </xdr:sp>
        <xdr:sp macro="[0]!Chart_Analyse.ShapeStrat33_Click" textlink="">
          <xdr:nvSpPr>
            <xdr:cNvPr id="55" name="ShapeStrat33">
              <a:extLst>
                <a:ext uri="{FF2B5EF4-FFF2-40B4-BE49-F238E27FC236}">
                  <a16:creationId xmlns:a16="http://schemas.microsoft.com/office/drawing/2014/main" id="{00000000-0008-0000-0800-000037000000}"/>
                </a:ext>
              </a:extLst>
            </xdr:cNvPr>
            <xdr:cNvSpPr/>
          </xdr:nvSpPr>
          <xdr:spPr>
            <a:xfrm>
              <a:off x="4426253" y="8571593"/>
              <a:ext cx="840618" cy="158146"/>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000" kern="1200">
                  <a:solidFill>
                    <a:srgbClr val="AADCD7"/>
                  </a:solidFill>
                  <a:latin typeface="Aptos Narrow" panose="020B0004020202020204" pitchFamily="34" charset="0"/>
                </a:rPr>
                <a:t>Strategy 3</a:t>
              </a:r>
              <a:endParaRPr lang="fr-CA" sz="1000" kern="1200">
                <a:solidFill>
                  <a:srgbClr val="AADCD7"/>
                </a:solidFill>
                <a:latin typeface="Aptos Narrow" panose="020B0004020202020204" pitchFamily="34" charset="0"/>
              </a:endParaRPr>
            </a:p>
          </xdr:txBody>
        </xdr:sp>
        <xdr:sp macro="" textlink="Library!A200">
          <xdr:nvSpPr>
            <xdr:cNvPr id="5381" name="TextBox 5380">
              <a:extLst>
                <a:ext uri="{FF2B5EF4-FFF2-40B4-BE49-F238E27FC236}">
                  <a16:creationId xmlns:a16="http://schemas.microsoft.com/office/drawing/2014/main" id="{00000000-0008-0000-0800-000005150000}"/>
                </a:ext>
              </a:extLst>
            </xdr:cNvPr>
            <xdr:cNvSpPr txBox="1"/>
          </xdr:nvSpPr>
          <xdr:spPr>
            <a:xfrm>
              <a:off x="7857369" y="8527142"/>
              <a:ext cx="1221620" cy="34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7CE9B4-C4FA-4FEA-81C1-BB9F1DE62E99}" type="TxLink">
                <a:rPr lang="en-US" altLang="ja-JP" sz="1200" b="0" i="0" u="none" strike="noStrike" kern="1200">
                  <a:solidFill>
                    <a:schemeClr val="tx1">
                      <a:lumMod val="50000"/>
                      <a:lumOff val="50000"/>
                    </a:schemeClr>
                  </a:solidFill>
                  <a:latin typeface="Aptos Narrow" panose="020B0004020202020204" pitchFamily="34" charset="0"/>
                  <a:cs typeface="Arial"/>
                </a:rPr>
                <a:pPr algn="r"/>
                <a:t>Independence :</a:t>
              </a:fld>
              <a:endParaRPr lang="fr-CA" sz="1200" kern="1200">
                <a:solidFill>
                  <a:schemeClr val="tx1">
                    <a:lumMod val="50000"/>
                    <a:lumOff val="50000"/>
                  </a:schemeClr>
                </a:solidFill>
                <a:latin typeface="Aptos Narrow" panose="020B0004020202020204" pitchFamily="34" charset="0"/>
              </a:endParaRPr>
            </a:p>
          </xdr:txBody>
        </xdr:sp>
        <xdr:sp macro="" textlink="Library!A201">
          <xdr:nvSpPr>
            <xdr:cNvPr id="5386" name="TextBox 5385">
              <a:extLst>
                <a:ext uri="{FF2B5EF4-FFF2-40B4-BE49-F238E27FC236}">
                  <a16:creationId xmlns:a16="http://schemas.microsoft.com/office/drawing/2014/main" id="{00000000-0008-0000-0800-00000A150000}"/>
                </a:ext>
              </a:extLst>
            </xdr:cNvPr>
            <xdr:cNvSpPr txBox="1"/>
          </xdr:nvSpPr>
          <xdr:spPr>
            <a:xfrm>
              <a:off x="7857369" y="8822567"/>
              <a:ext cx="1221620" cy="341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332B4B-1250-4985-B3C9-4071F076AD64}" type="TxLink">
                <a:rPr lang="en-US" altLang="ja-JP" sz="1200" b="0" i="0" u="none" strike="noStrike" kern="1200">
                  <a:solidFill>
                    <a:schemeClr val="tx1">
                      <a:lumMod val="50000"/>
                      <a:lumOff val="50000"/>
                    </a:schemeClr>
                  </a:solidFill>
                  <a:latin typeface="Aptos Narrow" panose="020B0004020202020204" pitchFamily="34" charset="0"/>
                  <a:cs typeface="Arial"/>
                </a:rPr>
                <a:pPr algn="r"/>
                <a:t>Strategy :</a:t>
              </a:fld>
              <a:endParaRPr lang="fr-CA" sz="1200" kern="1200">
                <a:solidFill>
                  <a:schemeClr val="tx1">
                    <a:lumMod val="50000"/>
                    <a:lumOff val="50000"/>
                  </a:schemeClr>
                </a:solidFill>
                <a:latin typeface="Aptos Narrow" panose="020B0004020202020204" pitchFamily="34" charset="0"/>
              </a:endParaRPr>
            </a:p>
          </xdr:txBody>
        </xdr:sp>
        <xdr:sp macro="" textlink="Library!A202">
          <xdr:nvSpPr>
            <xdr:cNvPr id="5387" name="TextBox 5386">
              <a:extLst>
                <a:ext uri="{FF2B5EF4-FFF2-40B4-BE49-F238E27FC236}">
                  <a16:creationId xmlns:a16="http://schemas.microsoft.com/office/drawing/2014/main" id="{00000000-0008-0000-0800-00000B150000}"/>
                </a:ext>
              </a:extLst>
            </xdr:cNvPr>
            <xdr:cNvSpPr txBox="1"/>
          </xdr:nvSpPr>
          <xdr:spPr>
            <a:xfrm>
              <a:off x="7857369" y="9117994"/>
              <a:ext cx="1221620" cy="34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BCD8B6-065A-43E1-ACBE-0544E58677F4}" type="TxLink">
                <a:rPr lang="en-US" altLang="ja-JP" sz="1200" b="0" i="0" u="none" strike="noStrike" kern="1200">
                  <a:solidFill>
                    <a:schemeClr val="tx1">
                      <a:lumMod val="50000"/>
                      <a:lumOff val="50000"/>
                    </a:schemeClr>
                  </a:solidFill>
                  <a:latin typeface="Aptos Narrow" panose="020B0004020202020204" pitchFamily="34" charset="0"/>
                  <a:cs typeface="Arial"/>
                </a:rPr>
                <a:pPr algn="r"/>
                <a:t>Savings / month :</a:t>
              </a:fld>
              <a:endParaRPr lang="fr-CA" sz="1200" kern="1200">
                <a:solidFill>
                  <a:schemeClr val="tx1">
                    <a:lumMod val="50000"/>
                    <a:lumOff val="50000"/>
                  </a:schemeClr>
                </a:solidFill>
                <a:latin typeface="Aptos Narrow" panose="020B0004020202020204" pitchFamily="34" charset="0"/>
              </a:endParaRPr>
            </a:p>
          </xdr:txBody>
        </xdr:sp>
        <xdr:sp macro="" textlink="Library!A203">
          <xdr:nvSpPr>
            <xdr:cNvPr id="5389" name="TextBox 5388">
              <a:extLst>
                <a:ext uri="{FF2B5EF4-FFF2-40B4-BE49-F238E27FC236}">
                  <a16:creationId xmlns:a16="http://schemas.microsoft.com/office/drawing/2014/main" id="{00000000-0008-0000-0800-00000D150000}"/>
                </a:ext>
              </a:extLst>
            </xdr:cNvPr>
            <xdr:cNvSpPr txBox="1"/>
          </xdr:nvSpPr>
          <xdr:spPr>
            <a:xfrm>
              <a:off x="7601252" y="9449705"/>
              <a:ext cx="1495880" cy="368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7B3A250-1E1D-4C5B-91F4-D0FBDF857147}" type="TxLink">
                <a:rPr lang="en-US" altLang="ja-JP" sz="1200" b="0" i="0" u="none" strike="noStrike" kern="1200">
                  <a:solidFill>
                    <a:schemeClr val="tx1">
                      <a:lumMod val="50000"/>
                      <a:lumOff val="50000"/>
                    </a:schemeClr>
                  </a:solidFill>
                  <a:latin typeface="Aptos Narrow" panose="020B0004020202020204" pitchFamily="34" charset="0"/>
                  <a:cs typeface="Arial"/>
                </a:rPr>
                <a:pPr algn="r"/>
                <a:t>Distribution / Year :</a:t>
              </a:fld>
              <a:endParaRPr lang="fr-CA" sz="1200" kern="1200">
                <a:solidFill>
                  <a:schemeClr val="tx1">
                    <a:lumMod val="50000"/>
                    <a:lumOff val="50000"/>
                  </a:schemeClr>
                </a:solidFill>
                <a:latin typeface="Aptos Narrow" panose="020B0004020202020204" pitchFamily="34" charset="0"/>
              </a:endParaRPr>
            </a:p>
          </xdr:txBody>
        </xdr:sp>
        <xdr:sp macro="" textlink="Library!A204">
          <xdr:nvSpPr>
            <xdr:cNvPr id="5390" name="TextBox 5389">
              <a:extLst>
                <a:ext uri="{FF2B5EF4-FFF2-40B4-BE49-F238E27FC236}">
                  <a16:creationId xmlns:a16="http://schemas.microsoft.com/office/drawing/2014/main" id="{00000000-0008-0000-0800-00000E150000}"/>
                </a:ext>
              </a:extLst>
            </xdr:cNvPr>
            <xdr:cNvSpPr txBox="1"/>
          </xdr:nvSpPr>
          <xdr:spPr>
            <a:xfrm>
              <a:off x="7457923" y="9768716"/>
              <a:ext cx="1639209" cy="397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43B9D2-B732-489F-85ED-051C150E6E19}" type="TxLink">
                <a:rPr lang="en-US" altLang="ja-JP" sz="1200" b="0" i="0" u="none" strike="noStrike" kern="1200">
                  <a:solidFill>
                    <a:schemeClr val="tx1">
                      <a:lumMod val="50000"/>
                      <a:lumOff val="50000"/>
                    </a:schemeClr>
                  </a:solidFill>
                  <a:latin typeface="Aptos Narrow" panose="020B0004020202020204" pitchFamily="34" charset="0"/>
                  <a:cs typeface="Arial"/>
                </a:rPr>
                <a:pPr algn="r"/>
                <a:t>Missing year(s) :</a:t>
              </a:fld>
              <a:endParaRPr lang="fr-CA" sz="1200" kern="1200">
                <a:solidFill>
                  <a:schemeClr val="tx1">
                    <a:lumMod val="50000"/>
                    <a:lumOff val="50000"/>
                  </a:schemeClr>
                </a:solidFill>
                <a:latin typeface="Aptos Narrow" panose="020B0004020202020204" pitchFamily="34" charset="0"/>
              </a:endParaRPr>
            </a:p>
          </xdr:txBody>
        </xdr:sp>
        <xdr:sp macro="" textlink="ControlChart!FH3">
          <xdr:nvSpPr>
            <xdr:cNvPr id="5391" name="Shape SH1">
              <a:extLst>
                <a:ext uri="{FF2B5EF4-FFF2-40B4-BE49-F238E27FC236}">
                  <a16:creationId xmlns:a16="http://schemas.microsoft.com/office/drawing/2014/main" id="{00000000-0008-0000-0800-00000F150000}"/>
                </a:ext>
              </a:extLst>
            </xdr:cNvPr>
            <xdr:cNvSpPr/>
          </xdr:nvSpPr>
          <xdr:spPr>
            <a:xfrm>
              <a:off x="8993717" y="8536215"/>
              <a:ext cx="751416" cy="3326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CB34545-CE40-4B55-A41D-04BDBF322204}" type="TxLink">
                <a:rPr lang="en-US" sz="1200" b="0" i="0" u="none" strike="noStrike" kern="1200">
                  <a:solidFill>
                    <a:srgbClr val="C54EF8"/>
                  </a:solidFill>
                  <a:latin typeface="Aptos Narrow" panose="020B0004020202020204" pitchFamily="34" charset="0"/>
                  <a:cs typeface="Arial"/>
                </a:rPr>
                <a:pPr algn="l"/>
                <a:t> </a:t>
              </a:fld>
              <a:endParaRPr lang="fr-CA" sz="1200" kern="1200">
                <a:solidFill>
                  <a:srgbClr val="C54EF8"/>
                </a:solidFill>
                <a:latin typeface="Aptos Narrow" panose="020B0004020202020204" pitchFamily="34" charset="0"/>
              </a:endParaRPr>
            </a:p>
          </xdr:txBody>
        </xdr:sp>
        <xdr:sp macro="" textlink="ControlChart!FJ2">
          <xdr:nvSpPr>
            <xdr:cNvPr id="5395" name="Shape SH2">
              <a:extLst>
                <a:ext uri="{FF2B5EF4-FFF2-40B4-BE49-F238E27FC236}">
                  <a16:creationId xmlns:a16="http://schemas.microsoft.com/office/drawing/2014/main" id="{00000000-0008-0000-0800-000013150000}"/>
                </a:ext>
              </a:extLst>
            </xdr:cNvPr>
            <xdr:cNvSpPr/>
          </xdr:nvSpPr>
          <xdr:spPr>
            <a:xfrm>
              <a:off x="8993717" y="8851597"/>
              <a:ext cx="606273" cy="2781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FD7F1E89-11A9-40EE-BFF9-DE4E037517F2}" type="TxLink">
                <a:rPr lang="en-US" sz="1200" b="0" i="0" u="none" strike="noStrike" kern="1200">
                  <a:solidFill>
                    <a:srgbClr val="C54EF8"/>
                  </a:solidFill>
                  <a:latin typeface="Aptos Narrow" panose="020B0004020202020204" pitchFamily="34" charset="0"/>
                  <a:cs typeface="Arial"/>
                </a:rPr>
                <a:pPr algn="l"/>
                <a:t> </a:t>
              </a:fld>
              <a:endParaRPr lang="fr-CA" sz="1200" kern="1200">
                <a:solidFill>
                  <a:srgbClr val="C54EF8"/>
                </a:solidFill>
                <a:latin typeface="Aptos Narrow" panose="020B0004020202020204" pitchFamily="34" charset="0"/>
              </a:endParaRPr>
            </a:p>
          </xdr:txBody>
        </xdr:sp>
        <xdr:sp macro="" textlink="ControlChart!FK2">
          <xdr:nvSpPr>
            <xdr:cNvPr id="5406" name="Shape SH3">
              <a:extLst>
                <a:ext uri="{FF2B5EF4-FFF2-40B4-BE49-F238E27FC236}">
                  <a16:creationId xmlns:a16="http://schemas.microsoft.com/office/drawing/2014/main" id="{00000000-0008-0000-0800-00001E150000}"/>
                </a:ext>
              </a:extLst>
            </xdr:cNvPr>
            <xdr:cNvSpPr/>
          </xdr:nvSpPr>
          <xdr:spPr>
            <a:xfrm>
              <a:off x="8993717" y="9139768"/>
              <a:ext cx="936473" cy="2908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FDF0525-AB6D-461A-9782-C1B50899282E}" type="TxLink">
                <a:rPr lang="en-US" sz="1200" b="0" i="0" u="none" strike="noStrike" kern="1200">
                  <a:solidFill>
                    <a:srgbClr val="C54EF8"/>
                  </a:solidFill>
                  <a:latin typeface="Aptos Narrow" panose="020B0004020202020204" pitchFamily="34" charset="0"/>
                  <a:cs typeface="Arial"/>
                </a:rPr>
                <a:pPr algn="l"/>
                <a:t> </a:t>
              </a:fld>
              <a:endParaRPr lang="fr-CA" sz="1200" kern="1200">
                <a:solidFill>
                  <a:srgbClr val="C54EF8"/>
                </a:solidFill>
                <a:latin typeface="Aptos Narrow" panose="020B0004020202020204" pitchFamily="34" charset="0"/>
              </a:endParaRPr>
            </a:p>
          </xdr:txBody>
        </xdr:sp>
        <xdr:sp macro="" textlink="ControlChart!FL2">
          <xdr:nvSpPr>
            <xdr:cNvPr id="5408" name="Shape SH4">
              <a:extLst>
                <a:ext uri="{FF2B5EF4-FFF2-40B4-BE49-F238E27FC236}">
                  <a16:creationId xmlns:a16="http://schemas.microsoft.com/office/drawing/2014/main" id="{00000000-0008-0000-0800-000020150000}"/>
                </a:ext>
              </a:extLst>
            </xdr:cNvPr>
            <xdr:cNvSpPr/>
          </xdr:nvSpPr>
          <xdr:spPr>
            <a:xfrm>
              <a:off x="8993717" y="9467851"/>
              <a:ext cx="936473" cy="2908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2FCD8D1-3EFF-4623-AA9D-A83C1929C2F4}" type="TxLink">
                <a:rPr lang="en-US" sz="1200" b="0" i="0" u="none" strike="noStrike" kern="1200">
                  <a:solidFill>
                    <a:srgbClr val="C54EF8"/>
                  </a:solidFill>
                  <a:latin typeface="Aptos Narrow" panose="020B0004020202020204" pitchFamily="34" charset="0"/>
                  <a:cs typeface="Arial"/>
                </a:rPr>
                <a:pPr algn="l"/>
                <a:t> </a:t>
              </a:fld>
              <a:endParaRPr lang="fr-CA" sz="1200" kern="1200">
                <a:solidFill>
                  <a:srgbClr val="C54EF8"/>
                </a:solidFill>
                <a:latin typeface="Aptos Narrow" panose="020B0004020202020204" pitchFamily="34" charset="0"/>
              </a:endParaRPr>
            </a:p>
          </xdr:txBody>
        </xdr:sp>
        <xdr:sp macro="" textlink="ControlChart!FM3">
          <xdr:nvSpPr>
            <xdr:cNvPr id="5409" name="Shape SH5">
              <a:extLst>
                <a:ext uri="{FF2B5EF4-FFF2-40B4-BE49-F238E27FC236}">
                  <a16:creationId xmlns:a16="http://schemas.microsoft.com/office/drawing/2014/main" id="{00000000-0008-0000-0800-000021150000}"/>
                </a:ext>
              </a:extLst>
            </xdr:cNvPr>
            <xdr:cNvSpPr/>
          </xdr:nvSpPr>
          <xdr:spPr>
            <a:xfrm>
              <a:off x="8993717" y="9817100"/>
              <a:ext cx="936473" cy="2908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B1F0FEE-23C3-455A-B729-3A3140927B49}" type="TxLink">
                <a:rPr lang="en-US" sz="1200" b="0" i="0" u="none" strike="noStrike" kern="1200">
                  <a:solidFill>
                    <a:srgbClr val="C54EF8"/>
                  </a:solidFill>
                  <a:latin typeface="Aptos Narrow" panose="020B0004020202020204" pitchFamily="34" charset="0"/>
                  <a:cs typeface="Arial"/>
                </a:rPr>
                <a:pPr algn="l"/>
                <a:t> </a:t>
              </a:fld>
              <a:endParaRPr lang="fr-CA" sz="1200" kern="1200">
                <a:solidFill>
                  <a:srgbClr val="C54EF8"/>
                </a:solidFill>
                <a:latin typeface="Aptos Narrow" panose="020B0004020202020204" pitchFamily="34" charset="0"/>
              </a:endParaRPr>
            </a:p>
          </xdr:txBody>
        </xdr:sp>
        <xdr:graphicFrame macro="">
          <xdr:nvGraphicFramePr>
            <xdr:cNvPr id="59" name="Chart 58">
              <a:extLst>
                <a:ext uri="{FF2B5EF4-FFF2-40B4-BE49-F238E27FC236}">
                  <a16:creationId xmlns:a16="http://schemas.microsoft.com/office/drawing/2014/main" id="{00000000-0008-0000-0800-00003B000000}"/>
                </a:ext>
              </a:extLst>
            </xdr:cNvPr>
            <xdr:cNvGraphicFramePr>
              <a:graphicFrameLocks/>
            </xdr:cNvGraphicFramePr>
          </xdr:nvGraphicFramePr>
          <xdr:xfrm>
            <a:off x="8744858" y="10359571"/>
            <a:ext cx="975622" cy="943784"/>
          </xdr:xfrm>
          <a:graphic>
            <a:graphicData uri="http://schemas.openxmlformats.org/drawingml/2006/chart">
              <c:chart xmlns:c="http://schemas.openxmlformats.org/drawingml/2006/chart" xmlns:r="http://schemas.openxmlformats.org/officeDocument/2006/relationships" r:id="rId81"/>
            </a:graphicData>
          </a:graphic>
        </xdr:graphicFrame>
        <xdr:sp macro="" textlink="Library!A205">
          <xdr:nvSpPr>
            <xdr:cNvPr id="5377" name="TextBox 5376">
              <a:extLst>
                <a:ext uri="{FF2B5EF4-FFF2-40B4-BE49-F238E27FC236}">
                  <a16:creationId xmlns:a16="http://schemas.microsoft.com/office/drawing/2014/main" id="{00000000-0008-0000-0800-000001150000}"/>
                </a:ext>
              </a:extLst>
            </xdr:cNvPr>
            <xdr:cNvSpPr txBox="1"/>
          </xdr:nvSpPr>
          <xdr:spPr>
            <a:xfrm>
              <a:off x="7437966" y="10093474"/>
              <a:ext cx="1639209" cy="394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193358-228F-41DD-AFD1-CDBFA7D6254E}" type="TxLink">
                <a:rPr lang="en-US" altLang="ja-JP" sz="1200" b="0" i="0" u="none" strike="noStrike" kern="1200">
                  <a:solidFill>
                    <a:srgbClr val="A9FEFB"/>
                  </a:solidFill>
                  <a:latin typeface="Aptos Narrow" panose="020B0004020202020204" pitchFamily="34" charset="0"/>
                  <a:cs typeface="Arial"/>
                </a:rPr>
                <a:pPr algn="r"/>
                <a:t>Total savings :</a:t>
              </a:fld>
              <a:endParaRPr lang="fr-CA" sz="1200" kern="1200">
                <a:solidFill>
                  <a:srgbClr val="A9FEFB"/>
                </a:solidFill>
                <a:latin typeface="Aptos Narrow" panose="020B0004020202020204" pitchFamily="34" charset="0"/>
              </a:endParaRPr>
            </a:p>
          </xdr:txBody>
        </xdr:sp>
        <xdr:sp macro="" textlink="ControlChart!FG1">
          <xdr:nvSpPr>
            <xdr:cNvPr id="5392" name="Shape SH5">
              <a:extLst>
                <a:ext uri="{FF2B5EF4-FFF2-40B4-BE49-F238E27FC236}">
                  <a16:creationId xmlns:a16="http://schemas.microsoft.com/office/drawing/2014/main" id="{00000000-0008-0000-0800-000010150000}"/>
                </a:ext>
              </a:extLst>
            </xdr:cNvPr>
            <xdr:cNvSpPr/>
          </xdr:nvSpPr>
          <xdr:spPr>
            <a:xfrm>
              <a:off x="8991903" y="10147906"/>
              <a:ext cx="936473" cy="2908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831623B-596C-4562-A42D-6F8D965EB070}" type="TxLink">
                <a:rPr lang="en-US" sz="1200" b="0" i="0" u="none" strike="noStrike" kern="1200">
                  <a:solidFill>
                    <a:srgbClr val="A9FEFB"/>
                  </a:solidFill>
                  <a:latin typeface="Aptos Narrow" panose="020B0004020202020204" pitchFamily="34" charset="0"/>
                  <a:cs typeface="Arial"/>
                </a:rPr>
                <a:pPr algn="l"/>
                <a:t> </a:t>
              </a:fld>
              <a:endParaRPr lang="fr-CA" sz="1200" kern="1200">
                <a:solidFill>
                  <a:srgbClr val="A9FEFB"/>
                </a:solidFill>
                <a:latin typeface="Aptos Narrow" panose="020B0004020202020204" pitchFamily="34" charset="0"/>
              </a:endParaRPr>
            </a:p>
          </xdr:txBody>
        </xdr:sp>
        <xdr:sp macro="" textlink="Library!A206">
          <xdr:nvSpPr>
            <xdr:cNvPr id="5393" name="TextBox 5392">
              <a:extLst>
                <a:ext uri="{FF2B5EF4-FFF2-40B4-BE49-F238E27FC236}">
                  <a16:creationId xmlns:a16="http://schemas.microsoft.com/office/drawing/2014/main" id="{00000000-0008-0000-0800-000011150000}"/>
                </a:ext>
              </a:extLst>
            </xdr:cNvPr>
            <xdr:cNvSpPr txBox="1"/>
          </xdr:nvSpPr>
          <xdr:spPr>
            <a:xfrm>
              <a:off x="8066012" y="10645016"/>
              <a:ext cx="793146" cy="397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0F0ED7B-5ACB-4FCD-A7E1-5617365E638F}" type="TxLink">
                <a:rPr lang="en-US" altLang="ja-JP" sz="1200" b="0" i="0" u="none" strike="noStrike" kern="1200">
                  <a:solidFill>
                    <a:srgbClr val="A9FEFB"/>
                  </a:solidFill>
                  <a:latin typeface="Aptos Narrow" panose="020B0004020202020204" pitchFamily="34" charset="0"/>
                  <a:cs typeface="Arial"/>
                </a:rPr>
                <a:pPr algn="r"/>
                <a:t>Goal :</a:t>
              </a:fld>
              <a:endParaRPr lang="fr-CA" sz="1200" kern="1200">
                <a:solidFill>
                  <a:srgbClr val="A9FEFB"/>
                </a:solidFill>
                <a:latin typeface="Aptos Narrow" panose="020B0004020202020204" pitchFamily="34" charset="0"/>
              </a:endParaRPr>
            </a:p>
          </xdr:txBody>
        </xdr:sp>
        <xdr:sp macro="" textlink="ControlChart!FP2">
          <xdr:nvSpPr>
            <xdr:cNvPr id="5394" name="Shape SH5">
              <a:extLst>
                <a:ext uri="{FF2B5EF4-FFF2-40B4-BE49-F238E27FC236}">
                  <a16:creationId xmlns:a16="http://schemas.microsoft.com/office/drawing/2014/main" id="{00000000-0008-0000-0800-000012150000}"/>
                </a:ext>
              </a:extLst>
            </xdr:cNvPr>
            <xdr:cNvSpPr/>
          </xdr:nvSpPr>
          <xdr:spPr>
            <a:xfrm>
              <a:off x="8971946" y="10702474"/>
              <a:ext cx="540958" cy="2709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B4E0BA7-5F76-4C44-9476-7A86F7B63F59}" type="TxLink">
                <a:rPr lang="en-US" sz="1200" b="0" i="0" u="none" strike="noStrike" kern="1200">
                  <a:solidFill>
                    <a:srgbClr val="A9FEFB"/>
                  </a:solidFill>
                  <a:latin typeface="Aptos Narrow" panose="020B0004020202020204" pitchFamily="34" charset="0"/>
                  <a:cs typeface="Arial"/>
                </a:rPr>
                <a:pPr algn="ctr"/>
                <a:t>0%</a:t>
              </a:fld>
              <a:endParaRPr lang="fr-CA" sz="1200" kern="1200">
                <a:solidFill>
                  <a:srgbClr val="A9FEFB"/>
                </a:solidFill>
                <a:latin typeface="Aptos Narrow" panose="020B0004020202020204" pitchFamily="34" charset="0"/>
              </a:endParaRPr>
            </a:p>
          </xdr:txBody>
        </xdr:sp>
      </xdr:grpSp>
      <xdr:grpSp>
        <xdr:nvGrpSpPr>
          <xdr:cNvPr id="5601" name="Group 5600">
            <a:extLst>
              <a:ext uri="{FF2B5EF4-FFF2-40B4-BE49-F238E27FC236}">
                <a16:creationId xmlns:a16="http://schemas.microsoft.com/office/drawing/2014/main" id="{00000000-0008-0000-0800-0000E1150000}"/>
              </a:ext>
            </a:extLst>
          </xdr:cNvPr>
          <xdr:cNvGrpSpPr/>
        </xdr:nvGrpSpPr>
        <xdr:grpSpPr>
          <a:xfrm>
            <a:off x="1703770" y="2841166"/>
            <a:ext cx="2712099" cy="1149834"/>
            <a:chOff x="1703770" y="2841166"/>
            <a:chExt cx="2722682" cy="1149834"/>
          </a:xfrm>
        </xdr:grpSpPr>
        <xdr:sp macro="" textlink="">
          <xdr:nvSpPr>
            <xdr:cNvPr id="5326" name="Rectangle: Rounded Corners 5325">
              <a:extLst>
                <a:ext uri="{FF2B5EF4-FFF2-40B4-BE49-F238E27FC236}">
                  <a16:creationId xmlns:a16="http://schemas.microsoft.com/office/drawing/2014/main" id="{00000000-0008-0000-0800-0000CE140000}"/>
                </a:ext>
              </a:extLst>
            </xdr:cNvPr>
            <xdr:cNvSpPr/>
          </xdr:nvSpPr>
          <xdr:spPr>
            <a:xfrm>
              <a:off x="1703770" y="2841166"/>
              <a:ext cx="2722682" cy="1149834"/>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585" name="Chart 5584">
              <a:extLst>
                <a:ext uri="{FF2B5EF4-FFF2-40B4-BE49-F238E27FC236}">
                  <a16:creationId xmlns:a16="http://schemas.microsoft.com/office/drawing/2014/main" id="{00000000-0008-0000-0800-0000D1150000}"/>
                </a:ext>
              </a:extLst>
            </xdr:cNvPr>
            <xdr:cNvGraphicFramePr>
              <a:graphicFrameLocks/>
            </xdr:cNvGraphicFramePr>
          </xdr:nvGraphicFramePr>
          <xdr:xfrm>
            <a:off x="3232930" y="2942814"/>
            <a:ext cx="915329" cy="943666"/>
          </xdr:xfrm>
          <a:graphic>
            <a:graphicData uri="http://schemas.openxmlformats.org/drawingml/2006/chart">
              <c:chart xmlns:c="http://schemas.openxmlformats.org/drawingml/2006/chart" xmlns:r="http://schemas.openxmlformats.org/officeDocument/2006/relationships" r:id="rId82"/>
            </a:graphicData>
          </a:graphic>
        </xdr:graphicFrame>
        <xdr:graphicFrame macro="">
          <xdr:nvGraphicFramePr>
            <xdr:cNvPr id="5586" name="Chart 5585">
              <a:extLst>
                <a:ext uri="{FF2B5EF4-FFF2-40B4-BE49-F238E27FC236}">
                  <a16:creationId xmlns:a16="http://schemas.microsoft.com/office/drawing/2014/main" id="{00000000-0008-0000-0800-0000D2150000}"/>
                </a:ext>
              </a:extLst>
            </xdr:cNvPr>
            <xdr:cNvGraphicFramePr>
              <a:graphicFrameLocks/>
            </xdr:cNvGraphicFramePr>
          </xdr:nvGraphicFramePr>
          <xdr:xfrm>
            <a:off x="1840471" y="3611831"/>
            <a:ext cx="1517913" cy="339271"/>
          </xdr:xfrm>
          <a:graphic>
            <a:graphicData uri="http://schemas.openxmlformats.org/drawingml/2006/chart">
              <c:chart xmlns:c="http://schemas.openxmlformats.org/drawingml/2006/chart" xmlns:r="http://schemas.openxmlformats.org/officeDocument/2006/relationships" r:id="rId83"/>
            </a:graphicData>
          </a:graphic>
        </xdr:graphicFrame>
        <xdr:pic>
          <xdr:nvPicPr>
            <xdr:cNvPr id="5588" name="Graphic 5587" descr="Piggy Bank outline">
              <a:extLst>
                <a:ext uri="{FF2B5EF4-FFF2-40B4-BE49-F238E27FC236}">
                  <a16:creationId xmlns:a16="http://schemas.microsoft.com/office/drawing/2014/main" id="{00000000-0008-0000-0800-0000D4150000}"/>
                </a:ext>
              </a:extLst>
            </xdr:cNvPr>
            <xdr:cNvPicPr>
              <a:picLocks noChangeAspect="1"/>
            </xdr:cNvPicPr>
          </xdr:nvPicPr>
          <xdr:blipFill>
            <a:blip xmlns:r="http://schemas.openxmlformats.org/officeDocument/2006/relationships" r:embed="rId84">
              <a:extLst>
                <a:ext uri="{96DAC541-7B7A-43D3-8B79-37D633B846F1}">
                  <asvg:svgBlip xmlns:asvg="http://schemas.microsoft.com/office/drawing/2016/SVG/main" r:embed="rId85"/>
                </a:ext>
              </a:extLst>
            </a:blip>
            <a:stretch>
              <a:fillRect/>
            </a:stretch>
          </xdr:blipFill>
          <xdr:spPr>
            <a:xfrm>
              <a:off x="1833404" y="2858309"/>
              <a:ext cx="402164" cy="373241"/>
            </a:xfrm>
            <a:prstGeom prst="rect">
              <a:avLst/>
            </a:prstGeom>
          </xdr:spPr>
        </xdr:pic>
        <xdr:sp macro="" textlink="ControlChart!BV12">
          <xdr:nvSpPr>
            <xdr:cNvPr id="5591" name="Rectangle 5590">
              <a:extLst>
                <a:ext uri="{FF2B5EF4-FFF2-40B4-BE49-F238E27FC236}">
                  <a16:creationId xmlns:a16="http://schemas.microsoft.com/office/drawing/2014/main" id="{00000000-0008-0000-0800-0000D7150000}"/>
                </a:ext>
              </a:extLst>
            </xdr:cNvPr>
            <xdr:cNvSpPr/>
          </xdr:nvSpPr>
          <xdr:spPr>
            <a:xfrm>
              <a:off x="2292844" y="2921687"/>
              <a:ext cx="911814" cy="2957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5C859C86-44EB-48AC-972E-FD2BF2DA2207}" type="TxLink">
                <a:rPr lang="en-US" sz="1200" b="0" i="0" u="none" strike="noStrike" kern="1200">
                  <a:solidFill>
                    <a:srgbClr val="A9FEFB"/>
                  </a:solidFill>
                  <a:latin typeface="Aptos Narrow" panose="020B0004020202020204" pitchFamily="34" charset="0"/>
                  <a:cs typeface="Arial"/>
                </a:rPr>
                <a:pPr algn="l"/>
                <a:t>i2_Savings</a:t>
              </a:fld>
              <a:endParaRPr lang="fr-CA" sz="1200" kern="1200">
                <a:solidFill>
                  <a:srgbClr val="A9FEFB"/>
                </a:solidFill>
                <a:latin typeface="Aptos Narrow" panose="020B0004020202020204" pitchFamily="34" charset="0"/>
              </a:endParaRPr>
            </a:p>
          </xdr:txBody>
        </xdr:sp>
        <xdr:sp macro="" textlink="Library!A206">
          <xdr:nvSpPr>
            <xdr:cNvPr id="5592" name="Rectangle 5591">
              <a:extLst>
                <a:ext uri="{FF2B5EF4-FFF2-40B4-BE49-F238E27FC236}">
                  <a16:creationId xmlns:a16="http://schemas.microsoft.com/office/drawing/2014/main" id="{00000000-0008-0000-0800-0000D8150000}"/>
                </a:ext>
              </a:extLst>
            </xdr:cNvPr>
            <xdr:cNvSpPr/>
          </xdr:nvSpPr>
          <xdr:spPr>
            <a:xfrm>
              <a:off x="1861676" y="3487183"/>
              <a:ext cx="600807" cy="2676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DB25E8A9-CB15-4691-BFA8-5F6D478C9D9E}" type="TxLink">
                <a:rPr lang="en-US" altLang="ja-JP" sz="900" b="0" i="0" u="none" strike="noStrike" kern="1200">
                  <a:solidFill>
                    <a:srgbClr val="A9FEFB"/>
                  </a:solidFill>
                  <a:latin typeface="Aptos Narrow" panose="020B0004020202020204" pitchFamily="34" charset="0"/>
                  <a:cs typeface="Arial"/>
                </a:rPr>
                <a:pPr algn="r"/>
                <a:t>Goal :</a:t>
              </a:fld>
              <a:endParaRPr lang="en-US" sz="900" b="0" i="0" u="none" strike="noStrike" kern="1200">
                <a:solidFill>
                  <a:srgbClr val="A9FEFB"/>
                </a:solidFill>
                <a:latin typeface="Aptos Narrow" panose="020B0004020202020204" pitchFamily="34" charset="0"/>
                <a:cs typeface="Arial"/>
              </a:endParaRPr>
            </a:p>
          </xdr:txBody>
        </xdr:sp>
        <xdr:sp macro="" textlink="ControlChart!BV13">
          <xdr:nvSpPr>
            <xdr:cNvPr id="5593" name="Rectangle 5592">
              <a:extLst>
                <a:ext uri="{FF2B5EF4-FFF2-40B4-BE49-F238E27FC236}">
                  <a16:creationId xmlns:a16="http://schemas.microsoft.com/office/drawing/2014/main" id="{00000000-0008-0000-0800-0000D9150000}"/>
                </a:ext>
              </a:extLst>
            </xdr:cNvPr>
            <xdr:cNvSpPr/>
          </xdr:nvSpPr>
          <xdr:spPr>
            <a:xfrm>
              <a:off x="2332427" y="3487183"/>
              <a:ext cx="600807" cy="2676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18302F8-7F88-4AB6-AC0D-9DA68803263E}" type="TxLink">
                <a:rPr lang="en-US" sz="900" b="0" i="0" u="none" strike="noStrike" kern="1200">
                  <a:solidFill>
                    <a:srgbClr val="A9FEFB"/>
                  </a:solidFill>
                  <a:latin typeface="Aptos Narrow" panose="020B0004020202020204" pitchFamily="34" charset="0"/>
                  <a:cs typeface="Arial"/>
                </a:rPr>
                <a:pPr algn="l"/>
                <a:t>2025</a:t>
              </a:fld>
              <a:endParaRPr lang="en-US" sz="900" b="0" i="0" u="none" strike="noStrike" kern="1200">
                <a:solidFill>
                  <a:srgbClr val="A9FEFB"/>
                </a:solidFill>
                <a:latin typeface="Aptos Narrow" panose="020B0004020202020204" pitchFamily="34" charset="0"/>
                <a:cs typeface="Arial"/>
              </a:endParaRPr>
            </a:p>
          </xdr:txBody>
        </xdr:sp>
        <xdr:sp macro="" textlink="ControlChart!BY12">
          <xdr:nvSpPr>
            <xdr:cNvPr id="5594" name="Rectangle 5593">
              <a:extLst>
                <a:ext uri="{FF2B5EF4-FFF2-40B4-BE49-F238E27FC236}">
                  <a16:creationId xmlns:a16="http://schemas.microsoft.com/office/drawing/2014/main" id="{00000000-0008-0000-0800-0000DA150000}"/>
                </a:ext>
              </a:extLst>
            </xdr:cNvPr>
            <xdr:cNvSpPr/>
          </xdr:nvSpPr>
          <xdr:spPr>
            <a:xfrm>
              <a:off x="3383829" y="3263944"/>
              <a:ext cx="693746" cy="2957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C18BB5FB-1980-4D57-96CB-6EB4A22CEFB3}" type="TxLink">
                <a:rPr lang="en-US" sz="1200" b="0" i="0" u="none" strike="noStrike" kern="1200">
                  <a:solidFill>
                    <a:srgbClr val="AADCD7"/>
                  </a:solidFill>
                  <a:latin typeface="Aptos Narrow" panose="020B0004020202020204" pitchFamily="34" charset="0"/>
                  <a:cs typeface="Arial"/>
                </a:rPr>
                <a:pPr algn="ctr"/>
                <a:t>-100.00%</a:t>
              </a:fld>
              <a:endParaRPr lang="fr-CA" sz="1200" kern="1200">
                <a:solidFill>
                  <a:srgbClr val="AADCD7"/>
                </a:solidFill>
                <a:latin typeface="Aptos Narrow" panose="020B0004020202020204" pitchFamily="34" charset="0"/>
              </a:endParaRPr>
            </a:p>
          </xdr:txBody>
        </xdr:sp>
        <xdr:sp macro="" textlink="ControlChart!BX14">
          <xdr:nvSpPr>
            <xdr:cNvPr id="5595" name="Rectangle 5594">
              <a:extLst>
                <a:ext uri="{FF2B5EF4-FFF2-40B4-BE49-F238E27FC236}">
                  <a16:creationId xmlns:a16="http://schemas.microsoft.com/office/drawing/2014/main" id="{00000000-0008-0000-0800-0000DB150000}"/>
                </a:ext>
              </a:extLst>
            </xdr:cNvPr>
            <xdr:cNvSpPr/>
          </xdr:nvSpPr>
          <xdr:spPr>
            <a:xfrm>
              <a:off x="2385007" y="3820924"/>
              <a:ext cx="1685659" cy="1304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EA33F81-1C15-4825-960D-0BC50C921AE3}" type="TxLink">
                <a:rPr lang="en-US" sz="900" b="0" i="0" u="none" strike="noStrike" kern="1200">
                  <a:solidFill>
                    <a:srgbClr val="AADCD7"/>
                  </a:solidFill>
                  <a:latin typeface="Aptos Narrow" panose="020B0004020202020204" pitchFamily="34" charset="0"/>
                  <a:cs typeface="Arial"/>
                </a:rPr>
                <a:pPr algn="l"/>
                <a:t>0$ / 0$</a:t>
              </a:fld>
              <a:endParaRPr lang="en-US" sz="900" b="0" i="0" u="none" strike="noStrike" kern="1200">
                <a:solidFill>
                  <a:srgbClr val="AADCD7"/>
                </a:solidFill>
                <a:latin typeface="Aptos Narrow" panose="020B0004020202020204" pitchFamily="34" charset="0"/>
                <a:cs typeface="Arial"/>
              </a:endParaRPr>
            </a:p>
          </xdr:txBody>
        </xdr:sp>
        <xdr:sp macro="" textlink="ControlChart!BY13">
          <xdr:nvSpPr>
            <xdr:cNvPr id="5596" name="Rectangle 5595">
              <a:extLst>
                <a:ext uri="{FF2B5EF4-FFF2-40B4-BE49-F238E27FC236}">
                  <a16:creationId xmlns:a16="http://schemas.microsoft.com/office/drawing/2014/main" id="{00000000-0008-0000-0800-0000DC150000}"/>
                </a:ext>
              </a:extLst>
            </xdr:cNvPr>
            <xdr:cNvSpPr/>
          </xdr:nvSpPr>
          <xdr:spPr>
            <a:xfrm>
              <a:off x="1839055" y="3810424"/>
              <a:ext cx="637562" cy="1514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C67A10C-4A97-4085-B7E9-E98CB6B00E1D}" type="TxLink">
                <a:rPr lang="en-US" sz="900" b="0" i="0" u="none" strike="noStrike" kern="1200">
                  <a:solidFill>
                    <a:schemeClr val="bg1"/>
                  </a:solidFill>
                  <a:latin typeface="Aptos Narrow" panose="020B0004020202020204" pitchFamily="34" charset="0"/>
                  <a:cs typeface="Arial"/>
                </a:rPr>
                <a:pPr algn="l"/>
                <a:t>0%</a:t>
              </a:fld>
              <a:endParaRPr lang="en-US" sz="900" b="0" i="0" u="none" strike="noStrike" kern="1200">
                <a:solidFill>
                  <a:schemeClr val="bg1"/>
                </a:solidFill>
                <a:latin typeface="Aptos Narrow" panose="020B0004020202020204" pitchFamily="34" charset="0"/>
                <a:cs typeface="Arial"/>
              </a:endParaRPr>
            </a:p>
          </xdr:txBody>
        </xdr:sp>
        <xdr:sp macro="" textlink="ControlChart!BW12">
          <xdr:nvSpPr>
            <xdr:cNvPr id="5597" name="Rectangle 5596">
              <a:extLst>
                <a:ext uri="{FF2B5EF4-FFF2-40B4-BE49-F238E27FC236}">
                  <a16:creationId xmlns:a16="http://schemas.microsoft.com/office/drawing/2014/main" id="{00000000-0008-0000-0800-0000DD150000}"/>
                </a:ext>
              </a:extLst>
            </xdr:cNvPr>
            <xdr:cNvSpPr/>
          </xdr:nvSpPr>
          <xdr:spPr>
            <a:xfrm>
              <a:off x="1926704" y="3225916"/>
              <a:ext cx="1348636" cy="2957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E21E199B-F7B5-4059-9330-8DADA1892F67}" type="TxLink">
                <a:rPr lang="en-US" sz="1600" b="0" i="0" u="none" strike="noStrike" kern="1200">
                  <a:solidFill>
                    <a:schemeClr val="bg1"/>
                  </a:solidFill>
                  <a:latin typeface="Aptos Narrow" panose="020B0004020202020204" pitchFamily="34" charset="0"/>
                  <a:cs typeface="Arial"/>
                </a:rPr>
                <a:pPr algn="l"/>
                <a:t> 0.00 $</a:t>
              </a:fld>
              <a:endParaRPr lang="fr-CA" sz="1600" kern="1200">
                <a:solidFill>
                  <a:schemeClr val="bg1"/>
                </a:solidFill>
                <a:latin typeface="Aptos Narrow" panose="020B0004020202020204" pitchFamily="34" charset="0"/>
              </a:endParaRPr>
            </a:p>
          </xdr:txBody>
        </xdr:sp>
      </xdr:grpSp>
      <xdr:grpSp>
        <xdr:nvGrpSpPr>
          <xdr:cNvPr id="5916" name="Group 5915">
            <a:extLst>
              <a:ext uri="{FF2B5EF4-FFF2-40B4-BE49-F238E27FC236}">
                <a16:creationId xmlns:a16="http://schemas.microsoft.com/office/drawing/2014/main" id="{00000000-0008-0000-0800-00001C170000}"/>
              </a:ext>
            </a:extLst>
          </xdr:cNvPr>
          <xdr:cNvGrpSpPr/>
        </xdr:nvGrpSpPr>
        <xdr:grpSpPr>
          <a:xfrm>
            <a:off x="7450747" y="2842568"/>
            <a:ext cx="2691004" cy="1158616"/>
            <a:chOff x="7450747" y="2842568"/>
            <a:chExt cx="2691004" cy="1158616"/>
          </a:xfrm>
        </xdr:grpSpPr>
        <xdr:sp macro="" textlink="">
          <xdr:nvSpPr>
            <xdr:cNvPr id="5151" name="Rectangle: Rounded Corners 5150">
              <a:extLst>
                <a:ext uri="{FF2B5EF4-FFF2-40B4-BE49-F238E27FC236}">
                  <a16:creationId xmlns:a16="http://schemas.microsoft.com/office/drawing/2014/main" id="{00000000-0008-0000-0800-00001F140000}"/>
                </a:ext>
              </a:extLst>
            </xdr:cNvPr>
            <xdr:cNvSpPr/>
          </xdr:nvSpPr>
          <xdr:spPr>
            <a:xfrm>
              <a:off x="7450747" y="2842568"/>
              <a:ext cx="2691004" cy="1158616"/>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52" name="Chart 5151">
              <a:extLst>
                <a:ext uri="{FF2B5EF4-FFF2-40B4-BE49-F238E27FC236}">
                  <a16:creationId xmlns:a16="http://schemas.microsoft.com/office/drawing/2014/main" id="{00000000-0008-0000-0800-000020140000}"/>
                </a:ext>
              </a:extLst>
            </xdr:cNvPr>
            <xdr:cNvGraphicFramePr>
              <a:graphicFrameLocks noChangeAspect="1"/>
            </xdr:cNvGraphicFramePr>
          </xdr:nvGraphicFramePr>
          <xdr:xfrm>
            <a:off x="8977025" y="3012811"/>
            <a:ext cx="968368" cy="938559"/>
          </xdr:xfrm>
          <a:graphic>
            <a:graphicData uri="http://schemas.openxmlformats.org/drawingml/2006/chart">
              <c:chart xmlns:c="http://schemas.openxmlformats.org/drawingml/2006/chart" xmlns:r="http://schemas.openxmlformats.org/officeDocument/2006/relationships" r:id="rId86"/>
            </a:graphicData>
          </a:graphic>
        </xdr:graphicFrame>
        <xdr:sp macro="" textlink="ControlChart!$BV$3">
          <xdr:nvSpPr>
            <xdr:cNvPr id="5153" name="Rectangle 5152">
              <a:extLst>
                <a:ext uri="{FF2B5EF4-FFF2-40B4-BE49-F238E27FC236}">
                  <a16:creationId xmlns:a16="http://schemas.microsoft.com/office/drawing/2014/main" id="{00000000-0008-0000-0800-000021140000}"/>
                </a:ext>
              </a:extLst>
            </xdr:cNvPr>
            <xdr:cNvSpPr/>
          </xdr:nvSpPr>
          <xdr:spPr>
            <a:xfrm>
              <a:off x="7881501" y="2914852"/>
              <a:ext cx="979861" cy="3129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FA48B2D-8876-42A3-9107-2742571B3AEC}" type="TxLink">
                <a:rPr lang="en-US" sz="1200" b="0" i="0" u="none" strike="noStrike" kern="1200">
                  <a:solidFill>
                    <a:srgbClr val="A9FEFB"/>
                  </a:solidFill>
                  <a:latin typeface="Aptos Narrow" panose="020B0004020202020204" pitchFamily="34" charset="0"/>
                  <a:cs typeface="Arial"/>
                </a:rPr>
                <a:pPr algn="l"/>
                <a:t>Category3</a:t>
              </a:fld>
              <a:endParaRPr lang="fr-CA" sz="1200" kern="1200">
                <a:solidFill>
                  <a:srgbClr val="A9FEFB"/>
                </a:solidFill>
                <a:latin typeface="Aptos Narrow" panose="020B0004020202020204" pitchFamily="34" charset="0"/>
              </a:endParaRPr>
            </a:p>
          </xdr:txBody>
        </xdr:sp>
        <xdr:sp macro="" textlink="ControlChart!$BU$3">
          <xdr:nvSpPr>
            <xdr:cNvPr id="5154" name="Rectangle 5153">
              <a:extLst>
                <a:ext uri="{FF2B5EF4-FFF2-40B4-BE49-F238E27FC236}">
                  <a16:creationId xmlns:a16="http://schemas.microsoft.com/office/drawing/2014/main" id="{00000000-0008-0000-0800-000022140000}"/>
                </a:ext>
              </a:extLst>
            </xdr:cNvPr>
            <xdr:cNvSpPr/>
          </xdr:nvSpPr>
          <xdr:spPr>
            <a:xfrm>
              <a:off x="9145453" y="3337165"/>
              <a:ext cx="656251" cy="26560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F006D926-B02B-4233-BDC9-8CA2B91F49AC}" type="TxLink">
                <a:rPr lang="en-US" sz="1200" b="0" i="0" u="none" strike="noStrike" kern="1200">
                  <a:solidFill>
                    <a:srgbClr val="C54EF8"/>
                  </a:solidFill>
                  <a:latin typeface="Aptos Narrow" panose="020B0004020202020204" pitchFamily="34" charset="0"/>
                  <a:cs typeface="Arial"/>
                </a:rPr>
                <a:pPr algn="ctr"/>
                <a:t>100.00%</a:t>
              </a:fld>
              <a:endParaRPr lang="fr-CA" sz="1200" kern="1200">
                <a:solidFill>
                  <a:srgbClr val="C54EF8"/>
                </a:solidFill>
                <a:latin typeface="Aptos Narrow" panose="020B0004020202020204" pitchFamily="34" charset="0"/>
              </a:endParaRPr>
            </a:p>
          </xdr:txBody>
        </xdr:sp>
        <xdr:sp macro="" textlink="ControlChart!$BW$3">
          <xdr:nvSpPr>
            <xdr:cNvPr id="5209" name="Rectangle 5208">
              <a:extLst>
                <a:ext uri="{FF2B5EF4-FFF2-40B4-BE49-F238E27FC236}">
                  <a16:creationId xmlns:a16="http://schemas.microsoft.com/office/drawing/2014/main" id="{00000000-0008-0000-0800-000059140000}"/>
                </a:ext>
              </a:extLst>
            </xdr:cNvPr>
            <xdr:cNvSpPr/>
          </xdr:nvSpPr>
          <xdr:spPr>
            <a:xfrm>
              <a:off x="7479791" y="3322849"/>
              <a:ext cx="1381571" cy="3127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EFCEF36-E12A-48FC-9B45-0823E46F145B}" type="TxLink">
                <a:rPr lang="en-US" sz="1600" b="0" i="0" u="none" strike="noStrike" kern="1200">
                  <a:solidFill>
                    <a:schemeClr val="bg1"/>
                  </a:solidFill>
                  <a:latin typeface="Aptos Narrow" panose="020B0004020202020204" pitchFamily="34" charset="0"/>
                  <a:cs typeface="Arial"/>
                </a:rPr>
                <a:pPr algn="ctr"/>
                <a:t> 0.00 $</a:t>
              </a:fld>
              <a:endParaRPr lang="fr-CA" sz="1600" kern="1200">
                <a:solidFill>
                  <a:schemeClr val="bg1"/>
                </a:solidFill>
                <a:latin typeface="Aptos Narrow" panose="020B0004020202020204" pitchFamily="34" charset="0"/>
              </a:endParaRPr>
            </a:p>
          </xdr:txBody>
        </xdr:sp>
        <xdr:sp macro="" textlink="ControlChart!$CD$3">
          <xdr:nvSpPr>
            <xdr:cNvPr id="5838" name="Rectangle 5837">
              <a:extLst>
                <a:ext uri="{FF2B5EF4-FFF2-40B4-BE49-F238E27FC236}">
                  <a16:creationId xmlns:a16="http://schemas.microsoft.com/office/drawing/2014/main" id="{00000000-0008-0000-0800-0000CE160000}"/>
                </a:ext>
              </a:extLst>
            </xdr:cNvPr>
            <xdr:cNvSpPr/>
          </xdr:nvSpPr>
          <xdr:spPr>
            <a:xfrm>
              <a:off x="7469607" y="3615375"/>
              <a:ext cx="1392498" cy="314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DED53B3-D126-4FC2-AE6D-213F33E76E61}" type="TxLink">
                <a:rPr lang="en-US" sz="1400" b="0" i="0" u="none" strike="noStrike" kern="1200">
                  <a:solidFill>
                    <a:schemeClr val="bg1"/>
                  </a:solidFill>
                  <a:latin typeface="Aptos Narrow" panose="020B0004020202020204" pitchFamily="34" charset="0"/>
                  <a:cs typeface="Arial"/>
                </a:rPr>
                <a:pPr algn="ctr"/>
                <a:t>( 0.00 $)</a:t>
              </a:fld>
              <a:endParaRPr lang="fr-CA" sz="1400" kern="1200">
                <a:solidFill>
                  <a:schemeClr val="bg1"/>
                </a:solidFill>
                <a:latin typeface="Aptos Narrow" panose="020B0004020202020204" pitchFamily="34" charset="0"/>
              </a:endParaRPr>
            </a:p>
          </xdr:txBody>
        </xdr:sp>
      </xdr:grpSp>
      <xdr:grpSp>
        <xdr:nvGrpSpPr>
          <xdr:cNvPr id="5600" name="Group 5599">
            <a:extLst>
              <a:ext uri="{FF2B5EF4-FFF2-40B4-BE49-F238E27FC236}">
                <a16:creationId xmlns:a16="http://schemas.microsoft.com/office/drawing/2014/main" id="{00000000-0008-0000-0800-0000E0150000}"/>
              </a:ext>
            </a:extLst>
          </xdr:cNvPr>
          <xdr:cNvGrpSpPr/>
        </xdr:nvGrpSpPr>
        <xdr:grpSpPr>
          <a:xfrm>
            <a:off x="1716956" y="1640986"/>
            <a:ext cx="2717019" cy="1093878"/>
            <a:chOff x="1716956" y="1640986"/>
            <a:chExt cx="2717019" cy="1093878"/>
          </a:xfrm>
        </xdr:grpSpPr>
        <xdr:sp macro="" textlink="">
          <xdr:nvSpPr>
            <xdr:cNvPr id="5255" name="Rectangle: Rounded Corners 5254">
              <a:extLst>
                <a:ext uri="{FF2B5EF4-FFF2-40B4-BE49-F238E27FC236}">
                  <a16:creationId xmlns:a16="http://schemas.microsoft.com/office/drawing/2014/main" id="{00000000-0008-0000-0800-000087140000}"/>
                </a:ext>
              </a:extLst>
            </xdr:cNvPr>
            <xdr:cNvSpPr/>
          </xdr:nvSpPr>
          <xdr:spPr>
            <a:xfrm>
              <a:off x="1716956" y="1640986"/>
              <a:ext cx="2717019" cy="1093878"/>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Library!A190">
          <xdr:nvSpPr>
            <xdr:cNvPr id="5257" name="Rectangle 5256">
              <a:extLst>
                <a:ext uri="{FF2B5EF4-FFF2-40B4-BE49-F238E27FC236}">
                  <a16:creationId xmlns:a16="http://schemas.microsoft.com/office/drawing/2014/main" id="{00000000-0008-0000-0800-000089140000}"/>
                </a:ext>
              </a:extLst>
            </xdr:cNvPr>
            <xdr:cNvSpPr/>
          </xdr:nvSpPr>
          <xdr:spPr>
            <a:xfrm>
              <a:off x="2229151" y="1741689"/>
              <a:ext cx="993323" cy="3142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5076F62-A246-46A3-A003-C71A4B173F08}" type="TxLink">
                <a:rPr lang="en-US" altLang="ja-JP" sz="1200" b="0" i="0" u="none" strike="noStrike" kern="1200">
                  <a:solidFill>
                    <a:srgbClr val="A9FEFB"/>
                  </a:solidFill>
                  <a:latin typeface="Aptos Narrow" panose="020B0004020202020204" pitchFamily="34" charset="0"/>
                  <a:cs typeface="Arial"/>
                </a:rPr>
                <a:pPr algn="l"/>
                <a:t>Balance</a:t>
              </a:fld>
              <a:endParaRPr lang="fr-CA" sz="1200" kern="1200">
                <a:solidFill>
                  <a:srgbClr val="A9FEFB"/>
                </a:solidFill>
                <a:latin typeface="Aptos Narrow" panose="020B0004020202020204" pitchFamily="34" charset="0"/>
              </a:endParaRPr>
            </a:p>
          </xdr:txBody>
        </xdr:sp>
        <xdr:sp macro="" textlink="ControlChart!$CM$15">
          <xdr:nvSpPr>
            <xdr:cNvPr id="5260" name="Rectangle 5259">
              <a:extLst>
                <a:ext uri="{FF2B5EF4-FFF2-40B4-BE49-F238E27FC236}">
                  <a16:creationId xmlns:a16="http://schemas.microsoft.com/office/drawing/2014/main" id="{00000000-0008-0000-0800-00008C140000}"/>
                </a:ext>
              </a:extLst>
            </xdr:cNvPr>
            <xdr:cNvSpPr/>
          </xdr:nvSpPr>
          <xdr:spPr>
            <a:xfrm>
              <a:off x="2945150" y="2320509"/>
              <a:ext cx="1396922" cy="3140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31783F2-6B76-40DB-BB34-9E92DD13891C}" type="TxLink">
                <a:rPr lang="en-US" sz="1400" b="0" i="0" u="none" strike="noStrike" kern="1200">
                  <a:solidFill>
                    <a:schemeClr val="bg1"/>
                  </a:solidFill>
                  <a:latin typeface="Aptos Narrow" panose="020B0004020202020204" pitchFamily="34" charset="0"/>
                  <a:cs typeface="Arial"/>
                </a:rPr>
                <a:pPr algn="ctr"/>
                <a:t>(0.00$)</a:t>
              </a:fld>
              <a:endParaRPr lang="fr-CA" sz="1400" kern="1200">
                <a:solidFill>
                  <a:schemeClr val="bg1"/>
                </a:solidFill>
                <a:latin typeface="Aptos Narrow" panose="020B0004020202020204" pitchFamily="34" charset="0"/>
              </a:endParaRPr>
            </a:p>
          </xdr:txBody>
        </xdr:sp>
        <xdr:grpSp>
          <xdr:nvGrpSpPr>
            <xdr:cNvPr id="5265" name="Graphic 5263" descr="Money outline">
              <a:extLst>
                <a:ext uri="{FF2B5EF4-FFF2-40B4-BE49-F238E27FC236}">
                  <a16:creationId xmlns:a16="http://schemas.microsoft.com/office/drawing/2014/main" id="{00000000-0008-0000-0800-000091140000}"/>
                </a:ext>
              </a:extLst>
            </xdr:cNvPr>
            <xdr:cNvGrpSpPr/>
          </xdr:nvGrpSpPr>
          <xdr:grpSpPr>
            <a:xfrm>
              <a:off x="1823479" y="1776165"/>
              <a:ext cx="277082" cy="191684"/>
              <a:chOff x="9584267" y="11824703"/>
              <a:chExt cx="838314" cy="497824"/>
            </a:xfrm>
            <a:solidFill>
              <a:srgbClr val="A9FEFB"/>
            </a:solidFill>
          </xdr:grpSpPr>
          <xdr:sp macro="" textlink="">
            <xdr:nvSpPr>
              <xdr:cNvPr id="5266" name="Freeform: Shape 5265">
                <a:extLst>
                  <a:ext uri="{FF2B5EF4-FFF2-40B4-BE49-F238E27FC236}">
                    <a16:creationId xmlns:a16="http://schemas.microsoft.com/office/drawing/2014/main" id="{00000000-0008-0000-0800-000092140000}"/>
                  </a:ext>
                </a:extLst>
              </xdr:cNvPr>
              <xdr:cNvSpPr/>
            </xdr:nvSpPr>
            <xdr:spPr>
              <a:xfrm>
                <a:off x="9831527" y="11910632"/>
                <a:ext cx="516053" cy="80071"/>
              </a:xfrm>
              <a:custGeom>
                <a:avLst/>
                <a:gdLst>
                  <a:gd name="connsiteX0" fmla="*/ 481611 w 516053"/>
                  <a:gd name="connsiteY0" fmla="*/ 18150 h 80071"/>
                  <a:gd name="connsiteX1" fmla="*/ 496642 w 516053"/>
                  <a:gd name="connsiteY1" fmla="*/ 80064 h 80071"/>
                  <a:gd name="connsiteX2" fmla="*/ 516054 w 516053"/>
                  <a:gd name="connsiteY2" fmla="*/ 80064 h 80071"/>
                  <a:gd name="connsiteX3" fmla="*/ 496642 w 516053"/>
                  <a:gd name="connsiteY3" fmla="*/ 0 h 80071"/>
                  <a:gd name="connsiteX4" fmla="*/ 389 w 516053"/>
                  <a:gd name="connsiteY4" fmla="*/ 79925 h 80071"/>
                  <a:gd name="connsiteX5" fmla="*/ 389 w 516053"/>
                  <a:gd name="connsiteY5" fmla="*/ 80072 h 80071"/>
                  <a:gd name="connsiteX6" fmla="*/ 97173 w 516053"/>
                  <a:gd name="connsiteY6" fmla="*/ 80072 h 800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16053" h="80071">
                    <a:moveTo>
                      <a:pt x="481611" y="18150"/>
                    </a:moveTo>
                    <a:lnTo>
                      <a:pt x="496642" y="80064"/>
                    </a:lnTo>
                    <a:lnTo>
                      <a:pt x="516054" y="80064"/>
                    </a:lnTo>
                    <a:lnTo>
                      <a:pt x="496642" y="0"/>
                    </a:lnTo>
                    <a:lnTo>
                      <a:pt x="389" y="79925"/>
                    </a:lnTo>
                    <a:cubicBezTo>
                      <a:pt x="-135" y="80010"/>
                      <a:pt x="-125" y="80072"/>
                      <a:pt x="389" y="80072"/>
                    </a:cubicBezTo>
                    <a:lnTo>
                      <a:pt x="97173" y="80072"/>
                    </a:lnTo>
                    <a:close/>
                  </a:path>
                </a:pathLst>
              </a:custGeom>
              <a:grpFill/>
              <a:ln w="9525" cap="flat">
                <a:noFill/>
                <a:prstDash val="solid"/>
                <a:miter/>
              </a:ln>
            </xdr:spPr>
            <xdr:txBody>
              <a:bodyPr rtlCol="0" anchor="ctr"/>
              <a:lstStyle/>
              <a:p>
                <a:endParaRPr lang="fr-CA"/>
              </a:p>
            </xdr:txBody>
          </xdr:sp>
          <xdr:sp macro="" textlink="">
            <xdr:nvSpPr>
              <xdr:cNvPr id="5267" name="Freeform: Shape 5266">
                <a:extLst>
                  <a:ext uri="{FF2B5EF4-FFF2-40B4-BE49-F238E27FC236}">
                    <a16:creationId xmlns:a16="http://schemas.microsoft.com/office/drawing/2014/main" id="{00000000-0008-0000-0800-000093140000}"/>
                  </a:ext>
                </a:extLst>
              </xdr:cNvPr>
              <xdr:cNvSpPr/>
            </xdr:nvSpPr>
            <xdr:spPr>
              <a:xfrm>
                <a:off x="9709894" y="11824703"/>
                <a:ext cx="537960" cy="166000"/>
              </a:xfrm>
              <a:custGeom>
                <a:avLst/>
                <a:gdLst>
                  <a:gd name="connsiteX0" fmla="*/ 490211 w 537960"/>
                  <a:gd name="connsiteY0" fmla="*/ 20195 h 166000"/>
                  <a:gd name="connsiteX1" fmla="*/ 518910 w 537960"/>
                  <a:gd name="connsiteY1" fmla="*/ 78328 h 166000"/>
                  <a:gd name="connsiteX2" fmla="*/ 537960 w 537960"/>
                  <a:gd name="connsiteY2" fmla="*/ 75241 h 166000"/>
                  <a:gd name="connsiteX3" fmla="*/ 500813 w 537960"/>
                  <a:gd name="connsiteY3" fmla="*/ 0 h 166000"/>
                  <a:gd name="connsiteX4" fmla="*/ 179 w 537960"/>
                  <a:gd name="connsiteY4" fmla="*/ 165854 h 166000"/>
                  <a:gd name="connsiteX5" fmla="*/ 179 w 537960"/>
                  <a:gd name="connsiteY5" fmla="*/ 166001 h 166000"/>
                  <a:gd name="connsiteX6" fmla="*/ 50033 w 537960"/>
                  <a:gd name="connsiteY6" fmla="*/ 166001 h 166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37960" h="166000">
                    <a:moveTo>
                      <a:pt x="490211" y="20195"/>
                    </a:moveTo>
                    <a:lnTo>
                      <a:pt x="518910" y="78328"/>
                    </a:lnTo>
                    <a:lnTo>
                      <a:pt x="537960" y="75241"/>
                    </a:lnTo>
                    <a:lnTo>
                      <a:pt x="500813" y="0"/>
                    </a:lnTo>
                    <a:lnTo>
                      <a:pt x="179" y="165854"/>
                    </a:lnTo>
                    <a:cubicBezTo>
                      <a:pt x="-69" y="165939"/>
                      <a:pt x="-50" y="166001"/>
                      <a:pt x="179" y="166001"/>
                    </a:cubicBezTo>
                    <a:lnTo>
                      <a:pt x="50033" y="166001"/>
                    </a:lnTo>
                    <a:close/>
                  </a:path>
                </a:pathLst>
              </a:custGeom>
              <a:grpFill/>
              <a:ln w="9525" cap="flat">
                <a:noFill/>
                <a:prstDash val="solid"/>
                <a:miter/>
              </a:ln>
            </xdr:spPr>
            <xdr:txBody>
              <a:bodyPr rtlCol="0" anchor="ctr"/>
              <a:lstStyle/>
              <a:p>
                <a:endParaRPr lang="fr-CA"/>
              </a:p>
            </xdr:txBody>
          </xdr:sp>
          <xdr:sp macro="" textlink="">
            <xdr:nvSpPr>
              <xdr:cNvPr id="5268" name="Freeform: Shape 5267">
                <a:extLst>
                  <a:ext uri="{FF2B5EF4-FFF2-40B4-BE49-F238E27FC236}">
                    <a16:creationId xmlns:a16="http://schemas.microsoft.com/office/drawing/2014/main" id="{00000000-0008-0000-0800-000094140000}"/>
                  </a:ext>
                </a:extLst>
              </xdr:cNvPr>
              <xdr:cNvSpPr/>
            </xdr:nvSpPr>
            <xdr:spPr>
              <a:xfrm>
                <a:off x="9584267" y="12013847"/>
                <a:ext cx="838314" cy="308680"/>
              </a:xfrm>
              <a:custGeom>
                <a:avLst/>
                <a:gdLst>
                  <a:gd name="connsiteX0" fmla="*/ 838314 w 838314"/>
                  <a:gd name="connsiteY0" fmla="*/ 0 h 308680"/>
                  <a:gd name="connsiteX1" fmla="*/ 0 w 838314"/>
                  <a:gd name="connsiteY1" fmla="*/ 0 h 308680"/>
                  <a:gd name="connsiteX2" fmla="*/ 0 w 838314"/>
                  <a:gd name="connsiteY2" fmla="*/ 308680 h 308680"/>
                  <a:gd name="connsiteX3" fmla="*/ 838314 w 838314"/>
                  <a:gd name="connsiteY3" fmla="*/ 308680 h 308680"/>
                  <a:gd name="connsiteX4" fmla="*/ 819264 w 838314"/>
                  <a:gd name="connsiteY4" fmla="*/ 293246 h 308680"/>
                  <a:gd name="connsiteX5" fmla="*/ 19050 w 838314"/>
                  <a:gd name="connsiteY5" fmla="*/ 293246 h 308680"/>
                  <a:gd name="connsiteX6" fmla="*/ 19050 w 838314"/>
                  <a:gd name="connsiteY6" fmla="*/ 15434 h 308680"/>
                  <a:gd name="connsiteX7" fmla="*/ 819264 w 838314"/>
                  <a:gd name="connsiteY7" fmla="*/ 15434 h 3086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838314" h="308680">
                    <a:moveTo>
                      <a:pt x="838314" y="0"/>
                    </a:moveTo>
                    <a:lnTo>
                      <a:pt x="0" y="0"/>
                    </a:lnTo>
                    <a:lnTo>
                      <a:pt x="0" y="308680"/>
                    </a:lnTo>
                    <a:lnTo>
                      <a:pt x="838314" y="308680"/>
                    </a:lnTo>
                    <a:close/>
                    <a:moveTo>
                      <a:pt x="819264" y="293246"/>
                    </a:moveTo>
                    <a:lnTo>
                      <a:pt x="19050" y="293246"/>
                    </a:lnTo>
                    <a:lnTo>
                      <a:pt x="19050" y="15434"/>
                    </a:lnTo>
                    <a:lnTo>
                      <a:pt x="819264" y="15434"/>
                    </a:lnTo>
                    <a:close/>
                  </a:path>
                </a:pathLst>
              </a:custGeom>
              <a:grpFill/>
              <a:ln w="9525" cap="flat">
                <a:noFill/>
                <a:prstDash val="solid"/>
                <a:miter/>
              </a:ln>
            </xdr:spPr>
            <xdr:txBody>
              <a:bodyPr rtlCol="0" anchor="ctr"/>
              <a:lstStyle/>
              <a:p>
                <a:endParaRPr lang="fr-CA"/>
              </a:p>
            </xdr:txBody>
          </xdr:sp>
          <xdr:sp macro="" textlink="">
            <xdr:nvSpPr>
              <xdr:cNvPr id="5269" name="Freeform: Shape 5268">
                <a:extLst>
                  <a:ext uri="{FF2B5EF4-FFF2-40B4-BE49-F238E27FC236}">
                    <a16:creationId xmlns:a16="http://schemas.microsoft.com/office/drawing/2014/main" id="{00000000-0008-0000-0800-000095140000}"/>
                  </a:ext>
                </a:extLst>
              </xdr:cNvPr>
              <xdr:cNvSpPr/>
            </xdr:nvSpPr>
            <xdr:spPr>
              <a:xfrm>
                <a:off x="9934844" y="12098734"/>
                <a:ext cx="137160" cy="138906"/>
              </a:xfrm>
              <a:custGeom>
                <a:avLst/>
                <a:gdLst>
                  <a:gd name="connsiteX0" fmla="*/ 68580 w 137160"/>
                  <a:gd name="connsiteY0" fmla="*/ 138906 h 138906"/>
                  <a:gd name="connsiteX1" fmla="*/ 137160 w 137160"/>
                  <a:gd name="connsiteY1" fmla="*/ 69453 h 138906"/>
                  <a:gd name="connsiteX2" fmla="*/ 68580 w 137160"/>
                  <a:gd name="connsiteY2" fmla="*/ 0 h 138906"/>
                  <a:gd name="connsiteX3" fmla="*/ 0 w 137160"/>
                  <a:gd name="connsiteY3" fmla="*/ 69453 h 138906"/>
                  <a:gd name="connsiteX4" fmla="*/ 68580 w 137160"/>
                  <a:gd name="connsiteY4" fmla="*/ 138906 h 138906"/>
                  <a:gd name="connsiteX5" fmla="*/ 68580 w 137160"/>
                  <a:gd name="connsiteY5" fmla="*/ 15434 h 138906"/>
                  <a:gd name="connsiteX6" fmla="*/ 118110 w 137160"/>
                  <a:gd name="connsiteY6" fmla="*/ 69453 h 138906"/>
                  <a:gd name="connsiteX7" fmla="*/ 68580 w 137160"/>
                  <a:gd name="connsiteY7" fmla="*/ 123472 h 138906"/>
                  <a:gd name="connsiteX8" fmla="*/ 19050 w 137160"/>
                  <a:gd name="connsiteY8" fmla="*/ 69453 h 138906"/>
                  <a:gd name="connsiteX9" fmla="*/ 68580 w 137160"/>
                  <a:gd name="connsiteY9" fmla="*/ 15434 h 13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137160" h="138906">
                    <a:moveTo>
                      <a:pt x="68580" y="138906"/>
                    </a:moveTo>
                    <a:cubicBezTo>
                      <a:pt x="106461" y="138906"/>
                      <a:pt x="137160" y="107814"/>
                      <a:pt x="137160" y="69453"/>
                    </a:cubicBezTo>
                    <a:cubicBezTo>
                      <a:pt x="137160" y="31092"/>
                      <a:pt x="106451" y="0"/>
                      <a:pt x="68580" y="0"/>
                    </a:cubicBezTo>
                    <a:cubicBezTo>
                      <a:pt x="30709" y="0"/>
                      <a:pt x="0" y="31092"/>
                      <a:pt x="0" y="69453"/>
                    </a:cubicBezTo>
                    <a:cubicBezTo>
                      <a:pt x="0" y="107814"/>
                      <a:pt x="30699" y="138906"/>
                      <a:pt x="68580" y="138906"/>
                    </a:cubicBezTo>
                    <a:close/>
                    <a:moveTo>
                      <a:pt x="68580" y="15434"/>
                    </a:moveTo>
                    <a:cubicBezTo>
                      <a:pt x="95898" y="15434"/>
                      <a:pt x="118110" y="39665"/>
                      <a:pt x="118110" y="69453"/>
                    </a:cubicBezTo>
                    <a:cubicBezTo>
                      <a:pt x="118110" y="99241"/>
                      <a:pt x="95888" y="123472"/>
                      <a:pt x="68580" y="123472"/>
                    </a:cubicBezTo>
                    <a:cubicBezTo>
                      <a:pt x="41272" y="123472"/>
                      <a:pt x="19050" y="99241"/>
                      <a:pt x="19050" y="69453"/>
                    </a:cubicBezTo>
                    <a:cubicBezTo>
                      <a:pt x="19050" y="39665"/>
                      <a:pt x="41272" y="15434"/>
                      <a:pt x="68580" y="15434"/>
                    </a:cubicBezTo>
                    <a:close/>
                  </a:path>
                </a:pathLst>
              </a:custGeom>
              <a:grpFill/>
              <a:ln w="9525" cap="flat">
                <a:noFill/>
                <a:prstDash val="solid"/>
                <a:miter/>
              </a:ln>
            </xdr:spPr>
            <xdr:txBody>
              <a:bodyPr rtlCol="0" anchor="ctr"/>
              <a:lstStyle/>
              <a:p>
                <a:endParaRPr lang="fr-CA"/>
              </a:p>
            </xdr:txBody>
          </xdr:sp>
          <xdr:sp macro="" textlink="">
            <xdr:nvSpPr>
              <xdr:cNvPr id="5270" name="Freeform: Shape 5269">
                <a:extLst>
                  <a:ext uri="{FF2B5EF4-FFF2-40B4-BE49-F238E27FC236}">
                    <a16:creationId xmlns:a16="http://schemas.microsoft.com/office/drawing/2014/main" id="{00000000-0008-0000-0800-000096140000}"/>
                  </a:ext>
                </a:extLst>
              </xdr:cNvPr>
              <xdr:cNvSpPr/>
            </xdr:nvSpPr>
            <xdr:spPr>
              <a:xfrm>
                <a:off x="9727140" y="12137304"/>
                <a:ext cx="76261" cy="61798"/>
              </a:xfrm>
              <a:custGeom>
                <a:avLst/>
                <a:gdLst>
                  <a:gd name="connsiteX0" fmla="*/ 27795 w 76261"/>
                  <a:gd name="connsiteY0" fmla="*/ 60663 h 61798"/>
                  <a:gd name="connsiteX1" fmla="*/ 74870 w 76261"/>
                  <a:gd name="connsiteY1" fmla="*/ 39090 h 61798"/>
                  <a:gd name="connsiteX2" fmla="*/ 74868 w 76261"/>
                  <a:gd name="connsiteY2" fmla="*/ 22518 h 61798"/>
                  <a:gd name="connsiteX3" fmla="*/ 48493 w 76261"/>
                  <a:gd name="connsiteY3" fmla="*/ 1141 h 61798"/>
                  <a:gd name="connsiteX4" fmla="*/ 1400 w 76261"/>
                  <a:gd name="connsiteY4" fmla="*/ 22687 h 61798"/>
                  <a:gd name="connsiteX5" fmla="*/ 1401 w 76261"/>
                  <a:gd name="connsiteY5" fmla="*/ 39302 h 61798"/>
                  <a:gd name="connsiteX6" fmla="*/ 27795 w 76261"/>
                  <a:gd name="connsiteY6" fmla="*/ 60663 h 61798"/>
                  <a:gd name="connsiteX7" fmla="*/ 38101 w 76261"/>
                  <a:gd name="connsiteY7" fmla="*/ 15449 h 61798"/>
                  <a:gd name="connsiteX8" fmla="*/ 57151 w 76261"/>
                  <a:gd name="connsiteY8" fmla="*/ 30883 h 61798"/>
                  <a:gd name="connsiteX9" fmla="*/ 38101 w 76261"/>
                  <a:gd name="connsiteY9" fmla="*/ 46317 h 61798"/>
                  <a:gd name="connsiteX10" fmla="*/ 19051 w 76261"/>
                  <a:gd name="connsiteY10" fmla="*/ 30883 h 61798"/>
                  <a:gd name="connsiteX11" fmla="*/ 38101 w 76261"/>
                  <a:gd name="connsiteY11" fmla="*/ 15449 h 6179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76261" h="61798">
                    <a:moveTo>
                      <a:pt x="27795" y="60663"/>
                    </a:moveTo>
                    <a:cubicBezTo>
                      <a:pt x="48147" y="65237"/>
                      <a:pt x="69223" y="55579"/>
                      <a:pt x="74870" y="39090"/>
                    </a:cubicBezTo>
                    <a:cubicBezTo>
                      <a:pt x="76726" y="33668"/>
                      <a:pt x="76726" y="27939"/>
                      <a:pt x="74868" y="22518"/>
                    </a:cubicBezTo>
                    <a:cubicBezTo>
                      <a:pt x="71365" y="12112"/>
                      <a:pt x="61335" y="3982"/>
                      <a:pt x="48493" y="1141"/>
                    </a:cubicBezTo>
                    <a:cubicBezTo>
                      <a:pt x="28145" y="-3445"/>
                      <a:pt x="7060" y="6201"/>
                      <a:pt x="1400" y="22687"/>
                    </a:cubicBezTo>
                    <a:cubicBezTo>
                      <a:pt x="-467" y="28122"/>
                      <a:pt x="-466" y="33867"/>
                      <a:pt x="1401" y="39302"/>
                    </a:cubicBezTo>
                    <a:cubicBezTo>
                      <a:pt x="4910" y="49707"/>
                      <a:pt x="14949" y="57832"/>
                      <a:pt x="27795" y="60663"/>
                    </a:cubicBezTo>
                    <a:close/>
                    <a:moveTo>
                      <a:pt x="38101" y="15449"/>
                    </a:moveTo>
                    <a:cubicBezTo>
                      <a:pt x="48623" y="15449"/>
                      <a:pt x="57151" y="22359"/>
                      <a:pt x="57151" y="30883"/>
                    </a:cubicBezTo>
                    <a:cubicBezTo>
                      <a:pt x="57151" y="39407"/>
                      <a:pt x="48623" y="46317"/>
                      <a:pt x="38101" y="46317"/>
                    </a:cubicBezTo>
                    <a:cubicBezTo>
                      <a:pt x="27580" y="46317"/>
                      <a:pt x="19051" y="39407"/>
                      <a:pt x="19051" y="30883"/>
                    </a:cubicBezTo>
                    <a:cubicBezTo>
                      <a:pt x="19051" y="22359"/>
                      <a:pt x="27580" y="15449"/>
                      <a:pt x="38101" y="15449"/>
                    </a:cubicBezTo>
                    <a:close/>
                  </a:path>
                </a:pathLst>
              </a:custGeom>
              <a:grpFill/>
              <a:ln w="9525" cap="flat">
                <a:noFill/>
                <a:prstDash val="solid"/>
                <a:miter/>
              </a:ln>
            </xdr:spPr>
            <xdr:txBody>
              <a:bodyPr rtlCol="0" anchor="ctr"/>
              <a:lstStyle/>
              <a:p>
                <a:endParaRPr lang="fr-CA"/>
              </a:p>
            </xdr:txBody>
          </xdr:sp>
          <xdr:sp macro="" textlink="">
            <xdr:nvSpPr>
              <xdr:cNvPr id="5271" name="Freeform: Shape 5270">
                <a:extLst>
                  <a:ext uri="{FF2B5EF4-FFF2-40B4-BE49-F238E27FC236}">
                    <a16:creationId xmlns:a16="http://schemas.microsoft.com/office/drawing/2014/main" id="{00000000-0008-0000-0800-000097140000}"/>
                  </a:ext>
                </a:extLst>
              </xdr:cNvPr>
              <xdr:cNvSpPr/>
            </xdr:nvSpPr>
            <xdr:spPr>
              <a:xfrm>
                <a:off x="10203487" y="12137160"/>
                <a:ext cx="76208" cy="61922"/>
              </a:xfrm>
              <a:custGeom>
                <a:avLst/>
                <a:gdLst>
                  <a:gd name="connsiteX0" fmla="*/ 45872 w 76208"/>
                  <a:gd name="connsiteY0" fmla="*/ 61285 h 61922"/>
                  <a:gd name="connsiteX1" fmla="*/ 76200 w 76208"/>
                  <a:gd name="connsiteY1" fmla="*/ 29646 h 61922"/>
                  <a:gd name="connsiteX2" fmla="*/ 76200 w 76208"/>
                  <a:gd name="connsiteY2" fmla="*/ 29646 h 61922"/>
                  <a:gd name="connsiteX3" fmla="*/ 59055 w 76208"/>
                  <a:gd name="connsiteY3" fmla="*/ 4766 h 61922"/>
                  <a:gd name="connsiteX4" fmla="*/ 5876 w 76208"/>
                  <a:gd name="connsiteY4" fmla="*/ 14681 h 61922"/>
                  <a:gd name="connsiteX5" fmla="*/ 0 w 76208"/>
                  <a:gd name="connsiteY5" fmla="*/ 31004 h 61922"/>
                  <a:gd name="connsiteX6" fmla="*/ 38171 w 76208"/>
                  <a:gd name="connsiteY6" fmla="*/ 61922 h 61922"/>
                  <a:gd name="connsiteX7" fmla="*/ 45872 w 76208"/>
                  <a:gd name="connsiteY7" fmla="*/ 61285 h 61922"/>
                  <a:gd name="connsiteX8" fmla="*/ 38100 w 76208"/>
                  <a:gd name="connsiteY8" fmla="*/ 15593 h 61922"/>
                  <a:gd name="connsiteX9" fmla="*/ 57150 w 76208"/>
                  <a:gd name="connsiteY9" fmla="*/ 31027 h 61922"/>
                  <a:gd name="connsiteX10" fmla="*/ 38100 w 76208"/>
                  <a:gd name="connsiteY10" fmla="*/ 46461 h 61922"/>
                  <a:gd name="connsiteX11" fmla="*/ 19050 w 76208"/>
                  <a:gd name="connsiteY11" fmla="*/ 31027 h 61922"/>
                  <a:gd name="connsiteX12" fmla="*/ 38100 w 76208"/>
                  <a:gd name="connsiteY12" fmla="*/ 15593 h 619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76208" h="61922">
                    <a:moveTo>
                      <a:pt x="45872" y="61285"/>
                    </a:moveTo>
                    <a:cubicBezTo>
                      <a:pt x="63942" y="57874"/>
                      <a:pt x="76594" y="44675"/>
                      <a:pt x="76200" y="29646"/>
                    </a:cubicBezTo>
                    <a:lnTo>
                      <a:pt x="76200" y="29646"/>
                    </a:lnTo>
                    <a:cubicBezTo>
                      <a:pt x="76448" y="19453"/>
                      <a:pt x="69894" y="9943"/>
                      <a:pt x="59055" y="4766"/>
                    </a:cubicBezTo>
                    <a:cubicBezTo>
                      <a:pt x="40991" y="-4393"/>
                      <a:pt x="17182" y="46"/>
                      <a:pt x="5876" y="14681"/>
                    </a:cubicBezTo>
                    <a:cubicBezTo>
                      <a:pt x="2094" y="19577"/>
                      <a:pt x="60" y="25228"/>
                      <a:pt x="0" y="31004"/>
                    </a:cubicBezTo>
                    <a:cubicBezTo>
                      <a:pt x="3" y="48082"/>
                      <a:pt x="17093" y="61924"/>
                      <a:pt x="38171" y="61922"/>
                    </a:cubicBezTo>
                    <a:cubicBezTo>
                      <a:pt x="40758" y="61922"/>
                      <a:pt x="43339" y="61708"/>
                      <a:pt x="45872" y="61285"/>
                    </a:cubicBezTo>
                    <a:close/>
                    <a:moveTo>
                      <a:pt x="38100" y="15593"/>
                    </a:moveTo>
                    <a:cubicBezTo>
                      <a:pt x="48621" y="15593"/>
                      <a:pt x="57150" y="22503"/>
                      <a:pt x="57150" y="31027"/>
                    </a:cubicBezTo>
                    <a:cubicBezTo>
                      <a:pt x="57150" y="39551"/>
                      <a:pt x="48621" y="46461"/>
                      <a:pt x="38100" y="46461"/>
                    </a:cubicBezTo>
                    <a:cubicBezTo>
                      <a:pt x="27579" y="46461"/>
                      <a:pt x="19050" y="39551"/>
                      <a:pt x="19050" y="31027"/>
                    </a:cubicBezTo>
                    <a:cubicBezTo>
                      <a:pt x="19050" y="22503"/>
                      <a:pt x="27579" y="15593"/>
                      <a:pt x="38100" y="15593"/>
                    </a:cubicBezTo>
                    <a:close/>
                  </a:path>
                </a:pathLst>
              </a:custGeom>
              <a:grpFill/>
              <a:ln w="9525" cap="flat">
                <a:noFill/>
                <a:prstDash val="solid"/>
                <a:miter/>
              </a:ln>
            </xdr:spPr>
            <xdr:txBody>
              <a:bodyPr rtlCol="0" anchor="ctr"/>
              <a:lstStyle/>
              <a:p>
                <a:endParaRPr lang="fr-CA"/>
              </a:p>
            </xdr:txBody>
          </xdr:sp>
          <xdr:sp macro="" textlink="">
            <xdr:nvSpPr>
              <xdr:cNvPr id="5272" name="Freeform: Shape 5271">
                <a:extLst>
                  <a:ext uri="{FF2B5EF4-FFF2-40B4-BE49-F238E27FC236}">
                    <a16:creationId xmlns:a16="http://schemas.microsoft.com/office/drawing/2014/main" id="{00000000-0008-0000-0800-000098140000}"/>
                  </a:ext>
                </a:extLst>
              </xdr:cNvPr>
              <xdr:cNvSpPr/>
            </xdr:nvSpPr>
            <xdr:spPr>
              <a:xfrm>
                <a:off x="9641417" y="12060149"/>
                <a:ext cx="724004" cy="216076"/>
              </a:xfrm>
              <a:custGeom>
                <a:avLst/>
                <a:gdLst>
                  <a:gd name="connsiteX0" fmla="*/ 695430 w 724004"/>
                  <a:gd name="connsiteY0" fmla="*/ 216076 h 216076"/>
                  <a:gd name="connsiteX1" fmla="*/ 724005 w 724004"/>
                  <a:gd name="connsiteY1" fmla="*/ 192925 h 216076"/>
                  <a:gd name="connsiteX2" fmla="*/ 724005 w 724004"/>
                  <a:gd name="connsiteY2" fmla="*/ 23151 h 216076"/>
                  <a:gd name="connsiteX3" fmla="*/ 695430 w 724004"/>
                  <a:gd name="connsiteY3" fmla="*/ 0 h 216076"/>
                  <a:gd name="connsiteX4" fmla="*/ 38100 w 724004"/>
                  <a:gd name="connsiteY4" fmla="*/ 0 h 216076"/>
                  <a:gd name="connsiteX5" fmla="*/ 0 w 724004"/>
                  <a:gd name="connsiteY5" fmla="*/ 30868 h 216076"/>
                  <a:gd name="connsiteX6" fmla="*/ 0 w 724004"/>
                  <a:gd name="connsiteY6" fmla="*/ 185208 h 216076"/>
                  <a:gd name="connsiteX7" fmla="*/ 38100 w 724004"/>
                  <a:gd name="connsiteY7" fmla="*/ 216076 h 216076"/>
                  <a:gd name="connsiteX8" fmla="*/ 19050 w 724004"/>
                  <a:gd name="connsiteY8" fmla="*/ 37273 h 216076"/>
                  <a:gd name="connsiteX9" fmla="*/ 46006 w 724004"/>
                  <a:gd name="connsiteY9" fmla="*/ 15434 h 216076"/>
                  <a:gd name="connsiteX10" fmla="*/ 687543 w 724004"/>
                  <a:gd name="connsiteY10" fmla="*/ 15434 h 216076"/>
                  <a:gd name="connsiteX11" fmla="*/ 704955 w 724004"/>
                  <a:gd name="connsiteY11" fmla="*/ 29541 h 216076"/>
                  <a:gd name="connsiteX12" fmla="*/ 704955 w 724004"/>
                  <a:gd name="connsiteY12" fmla="*/ 186551 h 216076"/>
                  <a:gd name="connsiteX13" fmla="*/ 687543 w 724004"/>
                  <a:gd name="connsiteY13" fmla="*/ 200642 h 216076"/>
                  <a:gd name="connsiteX14" fmla="*/ 46006 w 724004"/>
                  <a:gd name="connsiteY14" fmla="*/ 200642 h 216076"/>
                  <a:gd name="connsiteX15" fmla="*/ 19050 w 724004"/>
                  <a:gd name="connsiteY15" fmla="*/ 178834 h 2160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724004" h="216076">
                    <a:moveTo>
                      <a:pt x="695430" y="216076"/>
                    </a:moveTo>
                    <a:lnTo>
                      <a:pt x="724005" y="192925"/>
                    </a:lnTo>
                    <a:lnTo>
                      <a:pt x="724005" y="23151"/>
                    </a:lnTo>
                    <a:lnTo>
                      <a:pt x="695430" y="0"/>
                    </a:lnTo>
                    <a:lnTo>
                      <a:pt x="38100" y="0"/>
                    </a:lnTo>
                    <a:lnTo>
                      <a:pt x="0" y="30868"/>
                    </a:lnTo>
                    <a:lnTo>
                      <a:pt x="0" y="185208"/>
                    </a:lnTo>
                    <a:lnTo>
                      <a:pt x="38100" y="216076"/>
                    </a:lnTo>
                    <a:close/>
                    <a:moveTo>
                      <a:pt x="19050" y="37273"/>
                    </a:moveTo>
                    <a:lnTo>
                      <a:pt x="46006" y="15434"/>
                    </a:lnTo>
                    <a:lnTo>
                      <a:pt x="687543" y="15434"/>
                    </a:lnTo>
                    <a:lnTo>
                      <a:pt x="704955" y="29541"/>
                    </a:lnTo>
                    <a:lnTo>
                      <a:pt x="704955" y="186551"/>
                    </a:lnTo>
                    <a:lnTo>
                      <a:pt x="687543" y="200642"/>
                    </a:lnTo>
                    <a:lnTo>
                      <a:pt x="46006" y="200642"/>
                    </a:lnTo>
                    <a:lnTo>
                      <a:pt x="19050" y="178834"/>
                    </a:lnTo>
                    <a:close/>
                  </a:path>
                </a:pathLst>
              </a:custGeom>
              <a:grpFill/>
              <a:ln w="9525" cap="flat">
                <a:noFill/>
                <a:prstDash val="solid"/>
                <a:miter/>
              </a:ln>
            </xdr:spPr>
            <xdr:txBody>
              <a:bodyPr rtlCol="0" anchor="ctr"/>
              <a:lstStyle/>
              <a:p>
                <a:endParaRPr lang="fr-CA"/>
              </a:p>
            </xdr:txBody>
          </xdr:sp>
        </xdr:grpSp>
        <xdr:sp macro="" textlink="ControlChart!$CM$14">
          <xdr:nvSpPr>
            <xdr:cNvPr id="5577" name="Rectangle 5576">
              <a:extLst>
                <a:ext uri="{FF2B5EF4-FFF2-40B4-BE49-F238E27FC236}">
                  <a16:creationId xmlns:a16="http://schemas.microsoft.com/office/drawing/2014/main" id="{00000000-0008-0000-0800-0000C9150000}"/>
                </a:ext>
              </a:extLst>
            </xdr:cNvPr>
            <xdr:cNvSpPr/>
          </xdr:nvSpPr>
          <xdr:spPr>
            <a:xfrm>
              <a:off x="2976958" y="2007504"/>
              <a:ext cx="1396922" cy="3140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16C970B-54E9-44C0-8AC0-916FCC0A2473}" type="TxLink">
                <a:rPr lang="en-US" sz="1600" b="0" i="0" u="none" strike="noStrike" kern="1200">
                  <a:solidFill>
                    <a:schemeClr val="bg1"/>
                  </a:solidFill>
                  <a:latin typeface="Aptos Narrow" panose="020B0004020202020204" pitchFamily="34" charset="0"/>
                  <a:cs typeface="Arial"/>
                </a:rPr>
                <a:pPr algn="ctr"/>
                <a:t> 0.00 $</a:t>
              </a:fld>
              <a:endParaRPr lang="fr-CA" sz="1600" kern="1200">
                <a:solidFill>
                  <a:schemeClr val="bg1"/>
                </a:solidFill>
                <a:latin typeface="Aptos Narrow" panose="020B0004020202020204" pitchFamily="34" charset="0"/>
              </a:endParaRPr>
            </a:p>
          </xdr:txBody>
        </xdr:sp>
        <xdr:sp macro="" textlink="Library!A188">
          <xdr:nvSpPr>
            <xdr:cNvPr id="5604" name="Rectangle 5603">
              <a:extLst>
                <a:ext uri="{FF2B5EF4-FFF2-40B4-BE49-F238E27FC236}">
                  <a16:creationId xmlns:a16="http://schemas.microsoft.com/office/drawing/2014/main" id="{00000000-0008-0000-0800-0000E4150000}"/>
                </a:ext>
              </a:extLst>
            </xdr:cNvPr>
            <xdr:cNvSpPr/>
          </xdr:nvSpPr>
          <xdr:spPr>
            <a:xfrm>
              <a:off x="1738106" y="2320509"/>
              <a:ext cx="1396922" cy="3140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3D1CC6A-CD0F-4B82-B209-5B5AC066DF62}" type="TxLink">
                <a:rPr lang="en-US" altLang="ja-JP" sz="1400" b="0" i="0" u="none" strike="noStrike" kern="1200">
                  <a:solidFill>
                    <a:schemeClr val="bg1"/>
                  </a:solidFill>
                  <a:latin typeface="Aptos Narrow" panose="020B0004020202020204" pitchFamily="34" charset="0"/>
                  <a:cs typeface="Arial"/>
                </a:rPr>
                <a:pPr algn="ctr"/>
                <a:t>Average</a:t>
              </a:fld>
              <a:endParaRPr lang="en-US" sz="1400" b="0" i="0" u="none" strike="noStrike" kern="1200">
                <a:solidFill>
                  <a:schemeClr val="bg1"/>
                </a:solidFill>
                <a:latin typeface="Aptos Narrow" panose="020B0004020202020204" pitchFamily="34" charset="0"/>
                <a:cs typeface="Arial"/>
              </a:endParaRPr>
            </a:p>
          </xdr:txBody>
        </xdr:sp>
        <xdr:sp macro="" textlink="Library!A187">
          <xdr:nvSpPr>
            <xdr:cNvPr id="5615" name="Rectangle 5614">
              <a:extLst>
                <a:ext uri="{FF2B5EF4-FFF2-40B4-BE49-F238E27FC236}">
                  <a16:creationId xmlns:a16="http://schemas.microsoft.com/office/drawing/2014/main" id="{00000000-0008-0000-0800-0000EF150000}"/>
                </a:ext>
              </a:extLst>
            </xdr:cNvPr>
            <xdr:cNvSpPr/>
          </xdr:nvSpPr>
          <xdr:spPr>
            <a:xfrm>
              <a:off x="1769914" y="2007504"/>
              <a:ext cx="1396922" cy="3140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BECB993-2457-41A1-8579-ADE1FD8DCABB}" type="TxLink">
                <a:rPr lang="en-US" altLang="ja-JP" sz="1600" b="0" i="0" u="none" strike="noStrike" kern="1200">
                  <a:solidFill>
                    <a:schemeClr val="bg1"/>
                  </a:solidFill>
                  <a:latin typeface="Aptos" panose="020B0004020202020204" pitchFamily="34" charset="0"/>
                  <a:cs typeface="Arial"/>
                </a:rPr>
                <a:pPr algn="ctr"/>
                <a:t>Total</a:t>
              </a:fld>
              <a:endParaRPr lang="en-US" sz="1600" b="0" i="0" u="none" strike="noStrike" kern="1200">
                <a:solidFill>
                  <a:schemeClr val="bg1"/>
                </a:solidFill>
                <a:latin typeface="Aptos" panose="020B0004020202020204" pitchFamily="34" charset="0"/>
                <a:cs typeface="Arial"/>
              </a:endParaRPr>
            </a:p>
          </xdr:txBody>
        </xdr:sp>
      </xdr:grpSp>
      <xdr:grpSp>
        <xdr:nvGrpSpPr>
          <xdr:cNvPr id="5901" name="Group 5900">
            <a:extLst>
              <a:ext uri="{FF2B5EF4-FFF2-40B4-BE49-F238E27FC236}">
                <a16:creationId xmlns:a16="http://schemas.microsoft.com/office/drawing/2014/main" id="{00000000-0008-0000-0800-00000D170000}"/>
              </a:ext>
            </a:extLst>
          </xdr:cNvPr>
          <xdr:cNvGrpSpPr/>
        </xdr:nvGrpSpPr>
        <xdr:grpSpPr>
          <a:xfrm>
            <a:off x="4563233" y="1575604"/>
            <a:ext cx="8423956" cy="1147207"/>
            <a:chOff x="4472164" y="2154847"/>
            <a:chExt cx="8358918" cy="1104911"/>
          </a:xfrm>
        </xdr:grpSpPr>
        <xdr:sp macro="" textlink="">
          <xdr:nvSpPr>
            <xdr:cNvPr id="5126" name="Rectangle: Rounded Corners 5125">
              <a:extLst>
                <a:ext uri="{FF2B5EF4-FFF2-40B4-BE49-F238E27FC236}">
                  <a16:creationId xmlns:a16="http://schemas.microsoft.com/office/drawing/2014/main" id="{00000000-0008-0000-0800-000006140000}"/>
                </a:ext>
              </a:extLst>
            </xdr:cNvPr>
            <xdr:cNvSpPr/>
          </xdr:nvSpPr>
          <xdr:spPr>
            <a:xfrm>
              <a:off x="4472164" y="2181920"/>
              <a:ext cx="8358918" cy="1077838"/>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45" name="Chart 5144">
              <a:extLst>
                <a:ext uri="{FF2B5EF4-FFF2-40B4-BE49-F238E27FC236}">
                  <a16:creationId xmlns:a16="http://schemas.microsoft.com/office/drawing/2014/main" id="{00000000-0008-0000-0800-000019140000}"/>
                </a:ext>
              </a:extLst>
            </xdr:cNvPr>
            <xdr:cNvGraphicFramePr>
              <a:graphicFrameLocks/>
            </xdr:cNvGraphicFramePr>
          </xdr:nvGraphicFramePr>
          <xdr:xfrm>
            <a:off x="4646120" y="2252612"/>
            <a:ext cx="8042512" cy="988348"/>
          </xdr:xfrm>
          <a:graphic>
            <a:graphicData uri="http://schemas.openxmlformats.org/drawingml/2006/chart">
              <c:chart xmlns:c="http://schemas.openxmlformats.org/drawingml/2006/chart" xmlns:r="http://schemas.openxmlformats.org/officeDocument/2006/relationships" r:id="rId87"/>
            </a:graphicData>
          </a:graphic>
        </xdr:graphicFrame>
        <xdr:sp macro="" textlink="Library!A189">
          <xdr:nvSpPr>
            <xdr:cNvPr id="5320" name="Rectangle 5319">
              <a:extLst>
                <a:ext uri="{FF2B5EF4-FFF2-40B4-BE49-F238E27FC236}">
                  <a16:creationId xmlns:a16="http://schemas.microsoft.com/office/drawing/2014/main" id="{00000000-0008-0000-0800-0000C8140000}"/>
                </a:ext>
              </a:extLst>
            </xdr:cNvPr>
            <xdr:cNvSpPr/>
          </xdr:nvSpPr>
          <xdr:spPr>
            <a:xfrm>
              <a:off x="4983836" y="2193061"/>
              <a:ext cx="1361147" cy="2802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9A0F1CB-AF2D-46B3-AC9B-1082E2B2916E}" type="TxLink">
                <a:rPr lang="en-US" altLang="ja-JP" sz="1100" b="0" i="0" u="none" strike="noStrike" kern="1200">
                  <a:solidFill>
                    <a:srgbClr val="A9FEFB"/>
                  </a:solidFill>
                  <a:latin typeface="Aptos Narrow" panose="020B0004020202020204" pitchFamily="34" charset="0"/>
                  <a:cs typeface="Arial"/>
                </a:rPr>
                <a:pPr algn="r"/>
                <a:t>Target savings / Month</a:t>
              </a:fld>
              <a:endParaRPr lang="fr-CA" sz="1100" kern="1200">
                <a:solidFill>
                  <a:srgbClr val="A9FEFB"/>
                </a:solidFill>
                <a:latin typeface="Aptos Narrow" panose="020B0004020202020204" pitchFamily="34" charset="0"/>
              </a:endParaRPr>
            </a:p>
          </xdr:txBody>
        </xdr:sp>
        <xdr:sp macro="" textlink="ControlChart!$CN$3">
          <xdr:nvSpPr>
            <xdr:cNvPr id="5321" name="Rectangle 5320">
              <a:extLst>
                <a:ext uri="{FF2B5EF4-FFF2-40B4-BE49-F238E27FC236}">
                  <a16:creationId xmlns:a16="http://schemas.microsoft.com/office/drawing/2014/main" id="{00000000-0008-0000-0800-0000C9140000}"/>
                </a:ext>
              </a:extLst>
            </xdr:cNvPr>
            <xdr:cNvSpPr/>
          </xdr:nvSpPr>
          <xdr:spPr>
            <a:xfrm>
              <a:off x="6322326" y="2154847"/>
              <a:ext cx="1805394" cy="35668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C06C9E3-9AE8-4300-B9E0-A6E3FEC33945}" type="TxLink">
                <a:rPr lang="en-US" sz="1200" b="0" i="0" u="none" strike="noStrike" kern="1200">
                  <a:solidFill>
                    <a:schemeClr val="bg1"/>
                  </a:solidFill>
                  <a:latin typeface="Arial"/>
                  <a:cs typeface="Arial"/>
                </a:rPr>
                <a:pPr algn="l"/>
                <a:t> 0.00 $</a:t>
              </a:fld>
              <a:endParaRPr lang="fr-CA" sz="1200" kern="1200">
                <a:solidFill>
                  <a:schemeClr val="bg1"/>
                </a:solidFill>
              </a:endParaRPr>
            </a:p>
          </xdr:txBody>
        </xdr:sp>
        <xdr:sp macro="[0]!Chart_Analyse.Open_EPCIBLE" textlink="">
          <xdr:nvSpPr>
            <xdr:cNvPr id="5331" name="Freeform: Shape 5330">
              <a:extLst>
                <a:ext uri="{FF2B5EF4-FFF2-40B4-BE49-F238E27FC236}">
                  <a16:creationId xmlns:a16="http://schemas.microsoft.com/office/drawing/2014/main" id="{00000000-0008-0000-0800-0000D3140000}"/>
                </a:ext>
              </a:extLst>
            </xdr:cNvPr>
            <xdr:cNvSpPr/>
          </xdr:nvSpPr>
          <xdr:spPr>
            <a:xfrm>
              <a:off x="4628615" y="2309226"/>
              <a:ext cx="277384" cy="232398"/>
            </a:xfrm>
            <a:custGeom>
              <a:avLst/>
              <a:gdLst>
                <a:gd name="connsiteX0" fmla="*/ 657225 w 723900"/>
                <a:gd name="connsiteY0" fmla="*/ 600275 h 685800"/>
                <a:gd name="connsiteX1" fmla="*/ 657225 w 723900"/>
                <a:gd name="connsiteY1" fmla="*/ 571500 h 685800"/>
                <a:gd name="connsiteX2" fmla="*/ 619125 w 723900"/>
                <a:gd name="connsiteY2" fmla="*/ 571500 h 685800"/>
                <a:gd name="connsiteX3" fmla="*/ 619125 w 723900"/>
                <a:gd name="connsiteY3" fmla="*/ 276225 h 685800"/>
                <a:gd name="connsiteX4" fmla="*/ 657225 w 723900"/>
                <a:gd name="connsiteY4" fmla="*/ 276225 h 685800"/>
                <a:gd name="connsiteX5" fmla="*/ 657225 w 723900"/>
                <a:gd name="connsiteY5" fmla="*/ 228600 h 685800"/>
                <a:gd name="connsiteX6" fmla="*/ 704850 w 723900"/>
                <a:gd name="connsiteY6" fmla="*/ 228600 h 685800"/>
                <a:gd name="connsiteX7" fmla="*/ 704850 w 723900"/>
                <a:gd name="connsiteY7" fmla="*/ 209550 h 685800"/>
                <a:gd name="connsiteX8" fmla="*/ 361950 w 723900"/>
                <a:gd name="connsiteY8" fmla="*/ 0 h 685800"/>
                <a:gd name="connsiteX9" fmla="*/ 19050 w 723900"/>
                <a:gd name="connsiteY9" fmla="*/ 209550 h 685800"/>
                <a:gd name="connsiteX10" fmla="*/ 19050 w 723900"/>
                <a:gd name="connsiteY10" fmla="*/ 228600 h 685800"/>
                <a:gd name="connsiteX11" fmla="*/ 66675 w 723900"/>
                <a:gd name="connsiteY11" fmla="*/ 228600 h 685800"/>
                <a:gd name="connsiteX12" fmla="*/ 66675 w 723900"/>
                <a:gd name="connsiteY12" fmla="*/ 276225 h 685800"/>
                <a:gd name="connsiteX13" fmla="*/ 104775 w 723900"/>
                <a:gd name="connsiteY13" fmla="*/ 276225 h 685800"/>
                <a:gd name="connsiteX14" fmla="*/ 104775 w 723900"/>
                <a:gd name="connsiteY14" fmla="*/ 571500 h 685800"/>
                <a:gd name="connsiteX15" fmla="*/ 66675 w 723900"/>
                <a:gd name="connsiteY15" fmla="*/ 571500 h 685800"/>
                <a:gd name="connsiteX16" fmla="*/ 66675 w 723900"/>
                <a:gd name="connsiteY16" fmla="*/ 600275 h 685800"/>
                <a:gd name="connsiteX17" fmla="*/ 0 w 723900"/>
                <a:gd name="connsiteY17" fmla="*/ 647900 h 685800"/>
                <a:gd name="connsiteX18" fmla="*/ 0 w 723900"/>
                <a:gd name="connsiteY18" fmla="*/ 685800 h 685800"/>
                <a:gd name="connsiteX19" fmla="*/ 723900 w 723900"/>
                <a:gd name="connsiteY19" fmla="*/ 685800 h 685800"/>
                <a:gd name="connsiteX20" fmla="*/ 723900 w 723900"/>
                <a:gd name="connsiteY20" fmla="*/ 647910 h 685800"/>
                <a:gd name="connsiteX21" fmla="*/ 600075 w 723900"/>
                <a:gd name="connsiteY21" fmla="*/ 571500 h 685800"/>
                <a:gd name="connsiteX22" fmla="*/ 581025 w 723900"/>
                <a:gd name="connsiteY22" fmla="*/ 571500 h 685800"/>
                <a:gd name="connsiteX23" fmla="*/ 581025 w 723900"/>
                <a:gd name="connsiteY23" fmla="*/ 276225 h 685800"/>
                <a:gd name="connsiteX24" fmla="*/ 600075 w 723900"/>
                <a:gd name="connsiteY24" fmla="*/ 276225 h 685800"/>
                <a:gd name="connsiteX25" fmla="*/ 161925 w 723900"/>
                <a:gd name="connsiteY25" fmla="*/ 276225 h 685800"/>
                <a:gd name="connsiteX26" fmla="*/ 219075 w 723900"/>
                <a:gd name="connsiteY26" fmla="*/ 276225 h 685800"/>
                <a:gd name="connsiteX27" fmla="*/ 219075 w 723900"/>
                <a:gd name="connsiteY27" fmla="*/ 571500 h 685800"/>
                <a:gd name="connsiteX28" fmla="*/ 161925 w 723900"/>
                <a:gd name="connsiteY28" fmla="*/ 571500 h 685800"/>
                <a:gd name="connsiteX29" fmla="*/ 238125 w 723900"/>
                <a:gd name="connsiteY29" fmla="*/ 276225 h 685800"/>
                <a:gd name="connsiteX30" fmla="*/ 257175 w 723900"/>
                <a:gd name="connsiteY30" fmla="*/ 276225 h 685800"/>
                <a:gd name="connsiteX31" fmla="*/ 257175 w 723900"/>
                <a:gd name="connsiteY31" fmla="*/ 571500 h 685800"/>
                <a:gd name="connsiteX32" fmla="*/ 238125 w 723900"/>
                <a:gd name="connsiteY32" fmla="*/ 571500 h 685800"/>
                <a:gd name="connsiteX33" fmla="*/ 276225 w 723900"/>
                <a:gd name="connsiteY33" fmla="*/ 276225 h 685800"/>
                <a:gd name="connsiteX34" fmla="*/ 333375 w 723900"/>
                <a:gd name="connsiteY34" fmla="*/ 276225 h 685800"/>
                <a:gd name="connsiteX35" fmla="*/ 333375 w 723900"/>
                <a:gd name="connsiteY35" fmla="*/ 571500 h 685800"/>
                <a:gd name="connsiteX36" fmla="*/ 276225 w 723900"/>
                <a:gd name="connsiteY36" fmla="*/ 571500 h 685800"/>
                <a:gd name="connsiteX37" fmla="*/ 352425 w 723900"/>
                <a:gd name="connsiteY37" fmla="*/ 276225 h 685800"/>
                <a:gd name="connsiteX38" fmla="*/ 371475 w 723900"/>
                <a:gd name="connsiteY38" fmla="*/ 276225 h 685800"/>
                <a:gd name="connsiteX39" fmla="*/ 371475 w 723900"/>
                <a:gd name="connsiteY39" fmla="*/ 571500 h 685800"/>
                <a:gd name="connsiteX40" fmla="*/ 352425 w 723900"/>
                <a:gd name="connsiteY40" fmla="*/ 571500 h 685800"/>
                <a:gd name="connsiteX41" fmla="*/ 390525 w 723900"/>
                <a:gd name="connsiteY41" fmla="*/ 276225 h 685800"/>
                <a:gd name="connsiteX42" fmla="*/ 447675 w 723900"/>
                <a:gd name="connsiteY42" fmla="*/ 276225 h 685800"/>
                <a:gd name="connsiteX43" fmla="*/ 447675 w 723900"/>
                <a:gd name="connsiteY43" fmla="*/ 571500 h 685800"/>
                <a:gd name="connsiteX44" fmla="*/ 390525 w 723900"/>
                <a:gd name="connsiteY44" fmla="*/ 571500 h 685800"/>
                <a:gd name="connsiteX45" fmla="*/ 466725 w 723900"/>
                <a:gd name="connsiteY45" fmla="*/ 276225 h 685800"/>
                <a:gd name="connsiteX46" fmla="*/ 485775 w 723900"/>
                <a:gd name="connsiteY46" fmla="*/ 276225 h 685800"/>
                <a:gd name="connsiteX47" fmla="*/ 485775 w 723900"/>
                <a:gd name="connsiteY47" fmla="*/ 571500 h 685800"/>
                <a:gd name="connsiteX48" fmla="*/ 466725 w 723900"/>
                <a:gd name="connsiteY48" fmla="*/ 571500 h 685800"/>
                <a:gd name="connsiteX49" fmla="*/ 504825 w 723900"/>
                <a:gd name="connsiteY49" fmla="*/ 276225 h 685800"/>
                <a:gd name="connsiteX50" fmla="*/ 561975 w 723900"/>
                <a:gd name="connsiteY50" fmla="*/ 276225 h 685800"/>
                <a:gd name="connsiteX51" fmla="*/ 561975 w 723900"/>
                <a:gd name="connsiteY51" fmla="*/ 571500 h 685800"/>
                <a:gd name="connsiteX52" fmla="*/ 504825 w 723900"/>
                <a:gd name="connsiteY52" fmla="*/ 571500 h 685800"/>
                <a:gd name="connsiteX53" fmla="*/ 55874 w 723900"/>
                <a:gd name="connsiteY53" fmla="*/ 209369 h 685800"/>
                <a:gd name="connsiteX54" fmla="*/ 361950 w 723900"/>
                <a:gd name="connsiteY54" fmla="*/ 22355 h 685800"/>
                <a:gd name="connsiteX55" fmla="*/ 668026 w 723900"/>
                <a:gd name="connsiteY55" fmla="*/ 209369 h 685800"/>
                <a:gd name="connsiteX56" fmla="*/ 668087 w 723900"/>
                <a:gd name="connsiteY56" fmla="*/ 209489 h 685800"/>
                <a:gd name="connsiteX57" fmla="*/ 668026 w 723900"/>
                <a:gd name="connsiteY57" fmla="*/ 209550 h 685800"/>
                <a:gd name="connsiteX58" fmla="*/ 55931 w 723900"/>
                <a:gd name="connsiteY58" fmla="*/ 209550 h 685800"/>
                <a:gd name="connsiteX59" fmla="*/ 55840 w 723900"/>
                <a:gd name="connsiteY59" fmla="*/ 209432 h 685800"/>
                <a:gd name="connsiteX60" fmla="*/ 55874 w 723900"/>
                <a:gd name="connsiteY60" fmla="*/ 209369 h 685800"/>
                <a:gd name="connsiteX61" fmla="*/ 85725 w 723900"/>
                <a:gd name="connsiteY61" fmla="*/ 228600 h 685800"/>
                <a:gd name="connsiteX62" fmla="*/ 638175 w 723900"/>
                <a:gd name="connsiteY62" fmla="*/ 228600 h 685800"/>
                <a:gd name="connsiteX63" fmla="*/ 638175 w 723900"/>
                <a:gd name="connsiteY63" fmla="*/ 257175 h 685800"/>
                <a:gd name="connsiteX64" fmla="*/ 85725 w 723900"/>
                <a:gd name="connsiteY64" fmla="*/ 257175 h 685800"/>
                <a:gd name="connsiteX65" fmla="*/ 123825 w 723900"/>
                <a:gd name="connsiteY65" fmla="*/ 276225 h 685800"/>
                <a:gd name="connsiteX66" fmla="*/ 142875 w 723900"/>
                <a:gd name="connsiteY66" fmla="*/ 276225 h 685800"/>
                <a:gd name="connsiteX67" fmla="*/ 142875 w 723900"/>
                <a:gd name="connsiteY67" fmla="*/ 571500 h 685800"/>
                <a:gd name="connsiteX68" fmla="*/ 123825 w 723900"/>
                <a:gd name="connsiteY68" fmla="*/ 571500 h 685800"/>
                <a:gd name="connsiteX69" fmla="*/ 85725 w 723900"/>
                <a:gd name="connsiteY69" fmla="*/ 610076 h 685800"/>
                <a:gd name="connsiteX70" fmla="*/ 85725 w 723900"/>
                <a:gd name="connsiteY70" fmla="*/ 590550 h 685800"/>
                <a:gd name="connsiteX71" fmla="*/ 638175 w 723900"/>
                <a:gd name="connsiteY71" fmla="*/ 590550 h 685800"/>
                <a:gd name="connsiteX72" fmla="*/ 638175 w 723900"/>
                <a:gd name="connsiteY72" fmla="*/ 610076 h 685800"/>
                <a:gd name="connsiteX73" fmla="*/ 646147 w 723900"/>
                <a:gd name="connsiteY73" fmla="*/ 615791 h 685800"/>
                <a:gd name="connsiteX74" fmla="*/ 650834 w 723900"/>
                <a:gd name="connsiteY74" fmla="*/ 619144 h 685800"/>
                <a:gd name="connsiteX75" fmla="*/ 73066 w 723900"/>
                <a:gd name="connsiteY75" fmla="*/ 619144 h 685800"/>
                <a:gd name="connsiteX76" fmla="*/ 77762 w 723900"/>
                <a:gd name="connsiteY76" fmla="*/ 615791 h 685800"/>
                <a:gd name="connsiteX77" fmla="*/ 704850 w 723900"/>
                <a:gd name="connsiteY77" fmla="*/ 666750 h 685800"/>
                <a:gd name="connsiteX78" fmla="*/ 19050 w 723900"/>
                <a:gd name="connsiteY78" fmla="*/ 666750 h 685800"/>
                <a:gd name="connsiteX79" fmla="*/ 19050 w 723900"/>
                <a:gd name="connsiteY79" fmla="*/ 657720 h 685800"/>
                <a:gd name="connsiteX80" fmla="*/ 46396 w 723900"/>
                <a:gd name="connsiteY80" fmla="*/ 638175 h 685800"/>
                <a:gd name="connsiteX81" fmla="*/ 677551 w 723900"/>
                <a:gd name="connsiteY81" fmla="*/ 638175 h 685800"/>
                <a:gd name="connsiteX82" fmla="*/ 704850 w 723900"/>
                <a:gd name="connsiteY82" fmla="*/ 657720 h 6858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Lst>
              <a:rect l="l" t="t" r="r" b="b"/>
              <a:pathLst>
                <a:path w="723900" h="685800">
                  <a:moveTo>
                    <a:pt x="657225" y="600275"/>
                  </a:moveTo>
                  <a:lnTo>
                    <a:pt x="657225" y="571500"/>
                  </a:lnTo>
                  <a:lnTo>
                    <a:pt x="619125" y="571500"/>
                  </a:lnTo>
                  <a:lnTo>
                    <a:pt x="619125" y="276225"/>
                  </a:lnTo>
                  <a:lnTo>
                    <a:pt x="657225" y="276225"/>
                  </a:lnTo>
                  <a:lnTo>
                    <a:pt x="657225" y="228600"/>
                  </a:lnTo>
                  <a:lnTo>
                    <a:pt x="704850" y="228600"/>
                  </a:lnTo>
                  <a:lnTo>
                    <a:pt x="704850" y="209550"/>
                  </a:lnTo>
                  <a:lnTo>
                    <a:pt x="361950" y="0"/>
                  </a:lnTo>
                  <a:lnTo>
                    <a:pt x="19050" y="209550"/>
                  </a:lnTo>
                  <a:lnTo>
                    <a:pt x="19050" y="228600"/>
                  </a:lnTo>
                  <a:lnTo>
                    <a:pt x="66675" y="228600"/>
                  </a:lnTo>
                  <a:lnTo>
                    <a:pt x="66675" y="276225"/>
                  </a:lnTo>
                  <a:lnTo>
                    <a:pt x="104775" y="276225"/>
                  </a:lnTo>
                  <a:lnTo>
                    <a:pt x="104775" y="571500"/>
                  </a:lnTo>
                  <a:lnTo>
                    <a:pt x="66675" y="571500"/>
                  </a:lnTo>
                  <a:lnTo>
                    <a:pt x="66675" y="600275"/>
                  </a:lnTo>
                  <a:lnTo>
                    <a:pt x="0" y="647900"/>
                  </a:lnTo>
                  <a:lnTo>
                    <a:pt x="0" y="685800"/>
                  </a:lnTo>
                  <a:lnTo>
                    <a:pt x="723900" y="685800"/>
                  </a:lnTo>
                  <a:lnTo>
                    <a:pt x="723900" y="647910"/>
                  </a:lnTo>
                  <a:close/>
                  <a:moveTo>
                    <a:pt x="600075" y="571500"/>
                  </a:moveTo>
                  <a:lnTo>
                    <a:pt x="581025" y="571500"/>
                  </a:lnTo>
                  <a:lnTo>
                    <a:pt x="581025" y="276225"/>
                  </a:lnTo>
                  <a:lnTo>
                    <a:pt x="600075" y="276225"/>
                  </a:lnTo>
                  <a:close/>
                  <a:moveTo>
                    <a:pt x="161925" y="276225"/>
                  </a:moveTo>
                  <a:lnTo>
                    <a:pt x="219075" y="276225"/>
                  </a:lnTo>
                  <a:lnTo>
                    <a:pt x="219075" y="571500"/>
                  </a:lnTo>
                  <a:lnTo>
                    <a:pt x="161925" y="571500"/>
                  </a:lnTo>
                  <a:close/>
                  <a:moveTo>
                    <a:pt x="238125" y="276225"/>
                  </a:moveTo>
                  <a:lnTo>
                    <a:pt x="257175" y="276225"/>
                  </a:lnTo>
                  <a:lnTo>
                    <a:pt x="257175" y="571500"/>
                  </a:lnTo>
                  <a:lnTo>
                    <a:pt x="238125" y="571500"/>
                  </a:lnTo>
                  <a:close/>
                  <a:moveTo>
                    <a:pt x="276225" y="276225"/>
                  </a:moveTo>
                  <a:lnTo>
                    <a:pt x="333375" y="276225"/>
                  </a:lnTo>
                  <a:lnTo>
                    <a:pt x="333375" y="571500"/>
                  </a:lnTo>
                  <a:lnTo>
                    <a:pt x="276225" y="571500"/>
                  </a:lnTo>
                  <a:close/>
                  <a:moveTo>
                    <a:pt x="352425" y="276225"/>
                  </a:moveTo>
                  <a:lnTo>
                    <a:pt x="371475" y="276225"/>
                  </a:lnTo>
                  <a:lnTo>
                    <a:pt x="371475" y="571500"/>
                  </a:lnTo>
                  <a:lnTo>
                    <a:pt x="352425" y="571500"/>
                  </a:lnTo>
                  <a:close/>
                  <a:moveTo>
                    <a:pt x="390525" y="276225"/>
                  </a:moveTo>
                  <a:lnTo>
                    <a:pt x="447675" y="276225"/>
                  </a:lnTo>
                  <a:lnTo>
                    <a:pt x="447675" y="571500"/>
                  </a:lnTo>
                  <a:lnTo>
                    <a:pt x="390525" y="571500"/>
                  </a:lnTo>
                  <a:close/>
                  <a:moveTo>
                    <a:pt x="466725" y="276225"/>
                  </a:moveTo>
                  <a:lnTo>
                    <a:pt x="485775" y="276225"/>
                  </a:lnTo>
                  <a:lnTo>
                    <a:pt x="485775" y="571500"/>
                  </a:lnTo>
                  <a:lnTo>
                    <a:pt x="466725" y="571500"/>
                  </a:lnTo>
                  <a:close/>
                  <a:moveTo>
                    <a:pt x="504825" y="276225"/>
                  </a:moveTo>
                  <a:lnTo>
                    <a:pt x="561975" y="276225"/>
                  </a:lnTo>
                  <a:lnTo>
                    <a:pt x="561975" y="571500"/>
                  </a:lnTo>
                  <a:lnTo>
                    <a:pt x="504825" y="571500"/>
                  </a:lnTo>
                  <a:close/>
                  <a:moveTo>
                    <a:pt x="55874" y="209369"/>
                  </a:moveTo>
                  <a:lnTo>
                    <a:pt x="361950" y="22355"/>
                  </a:lnTo>
                  <a:lnTo>
                    <a:pt x="668026" y="209369"/>
                  </a:lnTo>
                  <a:cubicBezTo>
                    <a:pt x="668077" y="209385"/>
                    <a:pt x="668104" y="209440"/>
                    <a:pt x="668087" y="209489"/>
                  </a:cubicBezTo>
                  <a:cubicBezTo>
                    <a:pt x="668078" y="209518"/>
                    <a:pt x="668055" y="209540"/>
                    <a:pt x="668026" y="209550"/>
                  </a:cubicBezTo>
                  <a:lnTo>
                    <a:pt x="55931" y="209550"/>
                  </a:lnTo>
                  <a:cubicBezTo>
                    <a:pt x="55874" y="209542"/>
                    <a:pt x="55833" y="209490"/>
                    <a:pt x="55840" y="209432"/>
                  </a:cubicBezTo>
                  <a:cubicBezTo>
                    <a:pt x="55844" y="209408"/>
                    <a:pt x="55856" y="209385"/>
                    <a:pt x="55874" y="209369"/>
                  </a:cubicBezTo>
                  <a:close/>
                  <a:moveTo>
                    <a:pt x="85725" y="228600"/>
                  </a:moveTo>
                  <a:lnTo>
                    <a:pt x="638175" y="228600"/>
                  </a:lnTo>
                  <a:lnTo>
                    <a:pt x="638175" y="257175"/>
                  </a:lnTo>
                  <a:lnTo>
                    <a:pt x="85725" y="257175"/>
                  </a:lnTo>
                  <a:close/>
                  <a:moveTo>
                    <a:pt x="123825" y="276225"/>
                  </a:moveTo>
                  <a:lnTo>
                    <a:pt x="142875" y="276225"/>
                  </a:lnTo>
                  <a:lnTo>
                    <a:pt x="142875" y="571500"/>
                  </a:lnTo>
                  <a:lnTo>
                    <a:pt x="123825" y="571500"/>
                  </a:lnTo>
                  <a:close/>
                  <a:moveTo>
                    <a:pt x="85725" y="610076"/>
                  </a:moveTo>
                  <a:lnTo>
                    <a:pt x="85725" y="590550"/>
                  </a:lnTo>
                  <a:lnTo>
                    <a:pt x="638175" y="590550"/>
                  </a:lnTo>
                  <a:lnTo>
                    <a:pt x="638175" y="610076"/>
                  </a:lnTo>
                  <a:lnTo>
                    <a:pt x="646147" y="615791"/>
                  </a:lnTo>
                  <a:lnTo>
                    <a:pt x="650834" y="619144"/>
                  </a:lnTo>
                  <a:lnTo>
                    <a:pt x="73066" y="619144"/>
                  </a:lnTo>
                  <a:lnTo>
                    <a:pt x="77762" y="615791"/>
                  </a:lnTo>
                  <a:close/>
                  <a:moveTo>
                    <a:pt x="704850" y="666750"/>
                  </a:moveTo>
                  <a:lnTo>
                    <a:pt x="19050" y="666750"/>
                  </a:lnTo>
                  <a:lnTo>
                    <a:pt x="19050" y="657720"/>
                  </a:lnTo>
                  <a:lnTo>
                    <a:pt x="46396" y="638175"/>
                  </a:lnTo>
                  <a:lnTo>
                    <a:pt x="677551" y="638175"/>
                  </a:lnTo>
                  <a:lnTo>
                    <a:pt x="704850" y="657720"/>
                  </a:lnTo>
                  <a:close/>
                </a:path>
              </a:pathLst>
            </a:custGeom>
            <a:solidFill>
              <a:srgbClr val="AADCD7"/>
            </a:solidFill>
            <a:ln w="9525" cap="flat">
              <a:solidFill>
                <a:srgbClr val="AADCD7"/>
              </a:solidFill>
              <a:prstDash val="solid"/>
              <a:miter/>
            </a:ln>
          </xdr:spPr>
          <xdr:txBody>
            <a:bodyPr rtlCol="0" anchor="ctr"/>
            <a:lstStyle/>
            <a:p>
              <a:endParaRPr lang="fr-CA"/>
            </a:p>
          </xdr:txBody>
        </xdr:sp>
      </xdr:grpSp>
      <xdr:grpSp>
        <xdr:nvGrpSpPr>
          <xdr:cNvPr id="5898" name="Group 5897">
            <a:extLst>
              <a:ext uri="{FF2B5EF4-FFF2-40B4-BE49-F238E27FC236}">
                <a16:creationId xmlns:a16="http://schemas.microsoft.com/office/drawing/2014/main" id="{00000000-0008-0000-0800-00000A170000}"/>
              </a:ext>
            </a:extLst>
          </xdr:cNvPr>
          <xdr:cNvGrpSpPr/>
        </xdr:nvGrpSpPr>
        <xdr:grpSpPr>
          <a:xfrm>
            <a:off x="0" y="1069840"/>
            <a:ext cx="4438948" cy="408263"/>
            <a:chOff x="4570126" y="170744"/>
            <a:chExt cx="4548474" cy="426156"/>
          </a:xfrm>
        </xdr:grpSpPr>
        <xdr:sp macro="" textlink="">
          <xdr:nvSpPr>
            <xdr:cNvPr id="5897" name="Rectangle 5896">
              <a:extLst>
                <a:ext uri="{FF2B5EF4-FFF2-40B4-BE49-F238E27FC236}">
                  <a16:creationId xmlns:a16="http://schemas.microsoft.com/office/drawing/2014/main" id="{00000000-0008-0000-0800-000009170000}"/>
                </a:ext>
              </a:extLst>
            </xdr:cNvPr>
            <xdr:cNvSpPr/>
          </xdr:nvSpPr>
          <xdr:spPr>
            <a:xfrm>
              <a:off x="4703233" y="170744"/>
              <a:ext cx="4415367" cy="426156"/>
            </a:xfrm>
            <a:prstGeom prst="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fr-CA" sz="2400" kern="1200">
                <a:solidFill>
                  <a:srgbClr val="A9FEFB"/>
                </a:solidFill>
                <a:latin typeface="Aptos Narrow" panose="020B0004020202020204" pitchFamily="34" charset="0"/>
              </a:endParaRPr>
            </a:p>
          </xdr:txBody>
        </xdr:sp>
        <xdr:sp macro="" textlink="Library!A186">
          <xdr:nvSpPr>
            <xdr:cNvPr id="5383" name="Rectangle 5382">
              <a:extLst>
                <a:ext uri="{FF2B5EF4-FFF2-40B4-BE49-F238E27FC236}">
                  <a16:creationId xmlns:a16="http://schemas.microsoft.com/office/drawing/2014/main" id="{00000000-0008-0000-0800-000007150000}"/>
                </a:ext>
              </a:extLst>
            </xdr:cNvPr>
            <xdr:cNvSpPr/>
          </xdr:nvSpPr>
          <xdr:spPr>
            <a:xfrm>
              <a:off x="4570126" y="198074"/>
              <a:ext cx="2630773" cy="3714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23BC86-2830-4C42-9B44-16CB7892D785}" type="TxLink">
                <a:rPr lang="en-US" altLang="ja-JP" sz="2000" b="0" i="0" u="none" strike="noStrike" kern="1200">
                  <a:solidFill>
                    <a:srgbClr val="A9FEFB"/>
                  </a:solidFill>
                  <a:latin typeface="Aptos Narrow" panose="020B0004020202020204" pitchFamily="34" charset="0"/>
                  <a:cs typeface="Arial"/>
                </a:rPr>
                <a:pPr algn="ctr"/>
                <a:t>Latest analysis:</a:t>
              </a:fld>
              <a:endParaRPr lang="fr-CA" sz="2000" kern="1200">
                <a:solidFill>
                  <a:srgbClr val="A9FEFB"/>
                </a:solidFill>
                <a:latin typeface="Aptos Narrow" panose="020B0004020202020204" pitchFamily="34" charset="0"/>
              </a:endParaRPr>
            </a:p>
          </xdr:txBody>
        </xdr:sp>
        <xdr:sp macro="" textlink="Input!$M$2">
          <xdr:nvSpPr>
            <xdr:cNvPr id="5385" name="Rectangle 5384">
              <a:extLst>
                <a:ext uri="{FF2B5EF4-FFF2-40B4-BE49-F238E27FC236}">
                  <a16:creationId xmlns:a16="http://schemas.microsoft.com/office/drawing/2014/main" id="{00000000-0008-0000-0800-000009150000}"/>
                </a:ext>
              </a:extLst>
            </xdr:cNvPr>
            <xdr:cNvSpPr/>
          </xdr:nvSpPr>
          <xdr:spPr>
            <a:xfrm>
              <a:off x="7116491" y="198482"/>
              <a:ext cx="1684609" cy="37068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95AC15E-2E32-4372-A707-82DCDCCF7A03}" type="TxLink">
                <a:rPr lang="en-US" sz="2000" b="0" i="0" u="none" strike="noStrike" kern="1200">
                  <a:solidFill>
                    <a:srgbClr val="A9FEFB"/>
                  </a:solidFill>
                  <a:latin typeface="Aptos Narrow" panose="020B0004020202020204" pitchFamily="34" charset="0"/>
                  <a:cs typeface="Arial"/>
                </a:rPr>
                <a:pPr algn="ctr"/>
                <a:t>Welcome</a:t>
              </a:fld>
              <a:endParaRPr lang="fr-CA" sz="2000" kern="1200">
                <a:solidFill>
                  <a:srgbClr val="A9FEFB"/>
                </a:solidFill>
                <a:latin typeface="Aptos Narrow" panose="020B0004020202020204" pitchFamily="34" charset="0"/>
              </a:endParaRPr>
            </a:p>
          </xdr:txBody>
        </xdr:sp>
      </xdr:grpSp>
      <xdr:grpSp>
        <xdr:nvGrpSpPr>
          <xdr:cNvPr id="5436" name="Group 5435">
            <a:extLst>
              <a:ext uri="{FF2B5EF4-FFF2-40B4-BE49-F238E27FC236}">
                <a16:creationId xmlns:a16="http://schemas.microsoft.com/office/drawing/2014/main" id="{00000000-0008-0000-0800-00003C150000}"/>
              </a:ext>
            </a:extLst>
          </xdr:cNvPr>
          <xdr:cNvGrpSpPr/>
        </xdr:nvGrpSpPr>
        <xdr:grpSpPr>
          <a:xfrm>
            <a:off x="4595467" y="2842568"/>
            <a:ext cx="2689554" cy="1154554"/>
            <a:chOff x="4595467" y="2842568"/>
            <a:chExt cx="2689554" cy="1154554"/>
          </a:xfrm>
        </xdr:grpSpPr>
        <xdr:sp macro="" textlink="">
          <xdr:nvSpPr>
            <xdr:cNvPr id="5144" name="Rectangle: Rounded Corners 5143">
              <a:extLst>
                <a:ext uri="{FF2B5EF4-FFF2-40B4-BE49-F238E27FC236}">
                  <a16:creationId xmlns:a16="http://schemas.microsoft.com/office/drawing/2014/main" id="{00000000-0008-0000-0800-000018140000}"/>
                </a:ext>
              </a:extLst>
            </xdr:cNvPr>
            <xdr:cNvSpPr/>
          </xdr:nvSpPr>
          <xdr:spPr>
            <a:xfrm>
              <a:off x="4595467" y="2842568"/>
              <a:ext cx="2689554" cy="1154554"/>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46" name="Chart 5145">
              <a:extLst>
                <a:ext uri="{FF2B5EF4-FFF2-40B4-BE49-F238E27FC236}">
                  <a16:creationId xmlns:a16="http://schemas.microsoft.com/office/drawing/2014/main" id="{00000000-0008-0000-0800-00001A140000}"/>
                </a:ext>
              </a:extLst>
            </xdr:cNvPr>
            <xdr:cNvGraphicFramePr>
              <a:graphicFrameLocks noChangeAspect="1"/>
            </xdr:cNvGraphicFramePr>
          </xdr:nvGraphicFramePr>
          <xdr:xfrm>
            <a:off x="6047882" y="2977588"/>
            <a:ext cx="1091393" cy="889145"/>
          </xdr:xfrm>
          <a:graphic>
            <a:graphicData uri="http://schemas.openxmlformats.org/drawingml/2006/chart">
              <c:chart xmlns:c="http://schemas.openxmlformats.org/drawingml/2006/chart" xmlns:r="http://schemas.openxmlformats.org/officeDocument/2006/relationships" r:id="rId88"/>
            </a:graphicData>
          </a:graphic>
        </xdr:graphicFrame>
        <xdr:sp macro="" textlink="ControlChart!$BV$2">
          <xdr:nvSpPr>
            <xdr:cNvPr id="5147" name="Rectangle 5146">
              <a:extLst>
                <a:ext uri="{FF2B5EF4-FFF2-40B4-BE49-F238E27FC236}">
                  <a16:creationId xmlns:a16="http://schemas.microsoft.com/office/drawing/2014/main" id="{00000000-0008-0000-0800-00001B140000}"/>
                </a:ext>
              </a:extLst>
            </xdr:cNvPr>
            <xdr:cNvSpPr/>
          </xdr:nvSpPr>
          <xdr:spPr>
            <a:xfrm>
              <a:off x="5024580" y="2931212"/>
              <a:ext cx="1118264" cy="3121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69CF8625-7658-4085-BB67-6BF9FF6AD168}" type="TxLink">
                <a:rPr lang="en-US" sz="1200" b="0" i="0" u="none" strike="noStrike" kern="1200">
                  <a:solidFill>
                    <a:srgbClr val="A9FEFB"/>
                  </a:solidFill>
                  <a:latin typeface="Aptos Narrow" panose="020B0004020202020204" pitchFamily="34" charset="0"/>
                  <a:cs typeface="Arial"/>
                </a:rPr>
                <a:pPr algn="l"/>
                <a:t>Category2</a:t>
              </a:fld>
              <a:endParaRPr lang="fr-CA" sz="1200" kern="1200">
                <a:solidFill>
                  <a:srgbClr val="A9FEFB"/>
                </a:solidFill>
                <a:latin typeface="Aptos Narrow" panose="020B0004020202020204" pitchFamily="34" charset="0"/>
              </a:endParaRPr>
            </a:p>
          </xdr:txBody>
        </xdr:sp>
        <xdr:sp macro="" textlink="ControlChart!$BU$2">
          <xdr:nvSpPr>
            <xdr:cNvPr id="5148" name="Rectangle 5147">
              <a:extLst>
                <a:ext uri="{FF2B5EF4-FFF2-40B4-BE49-F238E27FC236}">
                  <a16:creationId xmlns:a16="http://schemas.microsoft.com/office/drawing/2014/main" id="{00000000-0008-0000-0800-00001C140000}"/>
                </a:ext>
              </a:extLst>
            </xdr:cNvPr>
            <xdr:cNvSpPr/>
          </xdr:nvSpPr>
          <xdr:spPr>
            <a:xfrm>
              <a:off x="6091924" y="3309890"/>
              <a:ext cx="917621" cy="2649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793721A4-237F-4409-843A-76BF88B3CAC1}" type="TxLink">
                <a:rPr lang="en-US" sz="1200" b="0" i="0" u="none" strike="noStrike" kern="1200">
                  <a:solidFill>
                    <a:srgbClr val="AADCD7"/>
                  </a:solidFill>
                  <a:latin typeface="Aptos Narrow" panose="020B0004020202020204" pitchFamily="34" charset="0"/>
                  <a:cs typeface="Arial"/>
                </a:rPr>
                <a:pPr algn="ctr"/>
                <a:t>100.00%</a:t>
              </a:fld>
              <a:endParaRPr lang="fr-CA" sz="1200" b="0" kern="1200">
                <a:solidFill>
                  <a:srgbClr val="AADCD7"/>
                </a:solidFill>
                <a:latin typeface="Aptos Narrow" panose="020B0004020202020204" pitchFamily="34" charset="0"/>
              </a:endParaRPr>
            </a:p>
          </xdr:txBody>
        </xdr:sp>
        <xdr:sp macro="" textlink="ControlChart!$BW$2">
          <xdr:nvSpPr>
            <xdr:cNvPr id="5193" name="Rectangle 5192">
              <a:extLst>
                <a:ext uri="{FF2B5EF4-FFF2-40B4-BE49-F238E27FC236}">
                  <a16:creationId xmlns:a16="http://schemas.microsoft.com/office/drawing/2014/main" id="{00000000-0008-0000-0800-000049140000}"/>
                </a:ext>
              </a:extLst>
            </xdr:cNvPr>
            <xdr:cNvSpPr/>
          </xdr:nvSpPr>
          <xdr:spPr>
            <a:xfrm>
              <a:off x="4619016" y="3304780"/>
              <a:ext cx="1381554" cy="3121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DC7F00F-C6D9-4468-BA85-05C98E062D04}" type="TxLink">
                <a:rPr lang="en-US" sz="1600" b="0" i="0" u="none" strike="noStrike" kern="1200">
                  <a:solidFill>
                    <a:schemeClr val="bg1"/>
                  </a:solidFill>
                  <a:latin typeface="Aptos Narrow" panose="020B0004020202020204" pitchFamily="34" charset="0"/>
                  <a:cs typeface="Arial"/>
                </a:rPr>
                <a:pPr algn="ctr"/>
                <a:t> 0.00 $</a:t>
              </a:fld>
              <a:endParaRPr lang="fr-CA" sz="1600" kern="1200">
                <a:solidFill>
                  <a:schemeClr val="bg1"/>
                </a:solidFill>
                <a:latin typeface="Aptos Narrow" panose="020B0004020202020204" pitchFamily="34" charset="0"/>
              </a:endParaRPr>
            </a:p>
          </xdr:txBody>
        </xdr:sp>
        <xdr:sp macro="" textlink="ControlChart!$CD$2">
          <xdr:nvSpPr>
            <xdr:cNvPr id="5836" name="Rectangle 5835">
              <a:extLst>
                <a:ext uri="{FF2B5EF4-FFF2-40B4-BE49-F238E27FC236}">
                  <a16:creationId xmlns:a16="http://schemas.microsoft.com/office/drawing/2014/main" id="{00000000-0008-0000-0800-0000CC160000}"/>
                </a:ext>
              </a:extLst>
            </xdr:cNvPr>
            <xdr:cNvSpPr/>
          </xdr:nvSpPr>
          <xdr:spPr>
            <a:xfrm>
              <a:off x="4621047" y="3613979"/>
              <a:ext cx="1392492" cy="3138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543273F-8C5D-480B-A0BD-0534EDEAE9D3}" type="TxLink">
                <a:rPr lang="en-US" sz="1400" b="0" i="0" u="none" strike="noStrike" kern="1200">
                  <a:solidFill>
                    <a:schemeClr val="bg1"/>
                  </a:solidFill>
                  <a:latin typeface="Aptos Narrow" panose="020B0004020202020204" pitchFamily="34" charset="0"/>
                  <a:cs typeface="Arial"/>
                </a:rPr>
                <a:pPr algn="ctr"/>
                <a:t>( 0.00 $)</a:t>
              </a:fld>
              <a:endParaRPr lang="fr-CA" sz="1400" kern="1200">
                <a:solidFill>
                  <a:schemeClr val="bg1"/>
                </a:solidFill>
                <a:latin typeface="Aptos Narrow" panose="020B0004020202020204" pitchFamily="34" charset="0"/>
              </a:endParaRPr>
            </a:p>
          </xdr:txBody>
        </xdr:sp>
      </xdr:grpSp>
      <xdr:grpSp>
        <xdr:nvGrpSpPr>
          <xdr:cNvPr id="5917" name="Group 5916">
            <a:extLst>
              <a:ext uri="{FF2B5EF4-FFF2-40B4-BE49-F238E27FC236}">
                <a16:creationId xmlns:a16="http://schemas.microsoft.com/office/drawing/2014/main" id="{00000000-0008-0000-0800-00001D170000}"/>
              </a:ext>
            </a:extLst>
          </xdr:cNvPr>
          <xdr:cNvGrpSpPr/>
        </xdr:nvGrpSpPr>
        <xdr:grpSpPr>
          <a:xfrm>
            <a:off x="10307477" y="2842568"/>
            <a:ext cx="2691004" cy="1249301"/>
            <a:chOff x="10307477" y="2842568"/>
            <a:chExt cx="2691004" cy="1249301"/>
          </a:xfrm>
        </xdr:grpSpPr>
        <xdr:sp macro="" textlink="">
          <xdr:nvSpPr>
            <xdr:cNvPr id="5156" name="Rectangle: Rounded Corners 5155">
              <a:extLst>
                <a:ext uri="{FF2B5EF4-FFF2-40B4-BE49-F238E27FC236}">
                  <a16:creationId xmlns:a16="http://schemas.microsoft.com/office/drawing/2014/main" id="{00000000-0008-0000-0800-000024140000}"/>
                </a:ext>
              </a:extLst>
            </xdr:cNvPr>
            <xdr:cNvSpPr/>
          </xdr:nvSpPr>
          <xdr:spPr>
            <a:xfrm>
              <a:off x="10307477" y="2842568"/>
              <a:ext cx="2691004" cy="1159482"/>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57" name="Chart 5156">
              <a:extLst>
                <a:ext uri="{FF2B5EF4-FFF2-40B4-BE49-F238E27FC236}">
                  <a16:creationId xmlns:a16="http://schemas.microsoft.com/office/drawing/2014/main" id="{00000000-0008-0000-0800-000025140000}"/>
                </a:ext>
              </a:extLst>
            </xdr:cNvPr>
            <xdr:cNvGraphicFramePr>
              <a:graphicFrameLocks/>
            </xdr:cNvGraphicFramePr>
          </xdr:nvGraphicFramePr>
          <xdr:xfrm>
            <a:off x="11698706" y="2906900"/>
            <a:ext cx="1299775" cy="1184969"/>
          </xdr:xfrm>
          <a:graphic>
            <a:graphicData uri="http://schemas.openxmlformats.org/drawingml/2006/chart">
              <c:chart xmlns:c="http://schemas.openxmlformats.org/drawingml/2006/chart" xmlns:r="http://schemas.openxmlformats.org/officeDocument/2006/relationships" r:id="rId89"/>
            </a:graphicData>
          </a:graphic>
        </xdr:graphicFrame>
        <xdr:sp macro="" textlink="ControlChart!$BV$4">
          <xdr:nvSpPr>
            <xdr:cNvPr id="5158" name="Rectangle 5157">
              <a:extLst>
                <a:ext uri="{FF2B5EF4-FFF2-40B4-BE49-F238E27FC236}">
                  <a16:creationId xmlns:a16="http://schemas.microsoft.com/office/drawing/2014/main" id="{00000000-0008-0000-0800-000026140000}"/>
                </a:ext>
              </a:extLst>
            </xdr:cNvPr>
            <xdr:cNvSpPr/>
          </xdr:nvSpPr>
          <xdr:spPr>
            <a:xfrm>
              <a:off x="10718845" y="2933189"/>
              <a:ext cx="979861" cy="3131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8EFD789-7588-4390-9B70-466A2969F5A2}" type="TxLink">
                <a:rPr lang="en-US" sz="1200" b="0" i="0" u="none" strike="noStrike" kern="1200">
                  <a:solidFill>
                    <a:srgbClr val="A9FEFB"/>
                  </a:solidFill>
                  <a:latin typeface="Aptos Narrow" panose="020B0004020202020204" pitchFamily="34" charset="0"/>
                  <a:cs typeface="Arial"/>
                </a:rPr>
                <a:pPr algn="l"/>
                <a:t>Category4</a:t>
              </a:fld>
              <a:endParaRPr lang="fr-CA" sz="1200" kern="1200">
                <a:solidFill>
                  <a:srgbClr val="A9FEFB"/>
                </a:solidFill>
                <a:latin typeface="Aptos Narrow" panose="020B0004020202020204" pitchFamily="34" charset="0"/>
              </a:endParaRPr>
            </a:p>
          </xdr:txBody>
        </xdr:sp>
        <xdr:sp macro="" textlink="ControlChart!$BU$4">
          <xdr:nvSpPr>
            <xdr:cNvPr id="5159" name="Rectangle 5158">
              <a:extLst>
                <a:ext uri="{FF2B5EF4-FFF2-40B4-BE49-F238E27FC236}">
                  <a16:creationId xmlns:a16="http://schemas.microsoft.com/office/drawing/2014/main" id="{00000000-0008-0000-0800-000027140000}"/>
                </a:ext>
              </a:extLst>
            </xdr:cNvPr>
            <xdr:cNvSpPr/>
          </xdr:nvSpPr>
          <xdr:spPr>
            <a:xfrm>
              <a:off x="11966505" y="3342884"/>
              <a:ext cx="656251" cy="26580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7E89B685-F017-4D87-B512-5BECDE286E55}" type="TxLink">
                <a:rPr lang="en-US" sz="1200" b="0" i="0" u="none" strike="noStrike" kern="1200">
                  <a:solidFill>
                    <a:srgbClr val="FA6148"/>
                  </a:solidFill>
                  <a:latin typeface="Aptos Narrow" panose="020B0004020202020204" pitchFamily="34" charset="0"/>
                  <a:cs typeface="Arial"/>
                </a:rPr>
                <a:pPr algn="ctr"/>
                <a:t>100.00%</a:t>
              </a:fld>
              <a:endParaRPr lang="fr-CA" sz="1200" kern="1200">
                <a:solidFill>
                  <a:srgbClr val="FA6148"/>
                </a:solidFill>
                <a:latin typeface="Aptos Narrow" panose="020B0004020202020204" pitchFamily="34" charset="0"/>
              </a:endParaRPr>
            </a:p>
          </xdr:txBody>
        </xdr:sp>
        <xdr:sp macro="" textlink="ControlChart!$BW$4">
          <xdr:nvSpPr>
            <xdr:cNvPr id="5213" name="Rectangle 5212">
              <a:extLst>
                <a:ext uri="{FF2B5EF4-FFF2-40B4-BE49-F238E27FC236}">
                  <a16:creationId xmlns:a16="http://schemas.microsoft.com/office/drawing/2014/main" id="{00000000-0008-0000-0800-00005D140000}"/>
                </a:ext>
              </a:extLst>
            </xdr:cNvPr>
            <xdr:cNvSpPr/>
          </xdr:nvSpPr>
          <xdr:spPr>
            <a:xfrm>
              <a:off x="10366240" y="3342884"/>
              <a:ext cx="1381571" cy="31300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82D7A74-040F-47B4-BBE7-47A5C1B1AC7E}" type="TxLink">
                <a:rPr lang="en-US" sz="1600" b="0" i="0" u="none" strike="noStrike" kern="1200">
                  <a:solidFill>
                    <a:schemeClr val="bg1"/>
                  </a:solidFill>
                  <a:latin typeface="Aptos Narrow" panose="020B0004020202020204" pitchFamily="34" charset="0"/>
                  <a:cs typeface="Arial"/>
                </a:rPr>
                <a:pPr algn="ctr"/>
                <a:t> 0.00 $</a:t>
              </a:fld>
              <a:endParaRPr lang="fr-CA" sz="1600" kern="1200">
                <a:solidFill>
                  <a:schemeClr val="bg1"/>
                </a:solidFill>
                <a:latin typeface="Aptos Narrow" panose="020B0004020202020204" pitchFamily="34" charset="0"/>
              </a:endParaRPr>
            </a:p>
          </xdr:txBody>
        </xdr:sp>
        <xdr:sp macro="" textlink="ControlChart!$CD$4">
          <xdr:nvSpPr>
            <xdr:cNvPr id="5839" name="Rectangle 5838">
              <a:extLst>
                <a:ext uri="{FF2B5EF4-FFF2-40B4-BE49-F238E27FC236}">
                  <a16:creationId xmlns:a16="http://schemas.microsoft.com/office/drawing/2014/main" id="{00000000-0008-0000-0800-0000CF160000}"/>
                </a:ext>
              </a:extLst>
            </xdr:cNvPr>
            <xdr:cNvSpPr/>
          </xdr:nvSpPr>
          <xdr:spPr>
            <a:xfrm>
              <a:off x="10349884" y="3614544"/>
              <a:ext cx="1392498" cy="3140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DAE3B5A-C69F-4088-95AA-3CA431295A7F}" type="TxLink">
                <a:rPr lang="en-US" sz="1400" b="0" i="0" u="none" strike="noStrike" kern="1200">
                  <a:solidFill>
                    <a:schemeClr val="bg1"/>
                  </a:solidFill>
                  <a:latin typeface="Aptos Narrow" panose="020B0004020202020204" pitchFamily="34" charset="0"/>
                  <a:cs typeface="Arial"/>
                </a:rPr>
                <a:pPr algn="ctr"/>
                <a:t>( 0.00 $)</a:t>
              </a:fld>
              <a:endParaRPr lang="fr-CA" sz="1400" kern="1200">
                <a:solidFill>
                  <a:schemeClr val="bg1"/>
                </a:solidFill>
                <a:latin typeface="Aptos Narrow" panose="020B0004020202020204" pitchFamily="34" charset="0"/>
              </a:endParaRPr>
            </a:p>
          </xdr:txBody>
        </xdr:sp>
      </xdr:grpSp>
      <xdr:grpSp>
        <xdr:nvGrpSpPr>
          <xdr:cNvPr id="5999" name="Group 5998">
            <a:extLst>
              <a:ext uri="{FF2B5EF4-FFF2-40B4-BE49-F238E27FC236}">
                <a16:creationId xmlns:a16="http://schemas.microsoft.com/office/drawing/2014/main" id="{00000000-0008-0000-0800-00006F170000}"/>
              </a:ext>
            </a:extLst>
          </xdr:cNvPr>
          <xdr:cNvGrpSpPr/>
        </xdr:nvGrpSpPr>
        <xdr:grpSpPr>
          <a:xfrm>
            <a:off x="1716956" y="4135070"/>
            <a:ext cx="2742237" cy="1236409"/>
            <a:chOff x="1716956" y="4135070"/>
            <a:chExt cx="2742237" cy="1236409"/>
          </a:xfrm>
        </xdr:grpSpPr>
        <xdr:sp macro="" textlink="">
          <xdr:nvSpPr>
            <xdr:cNvPr id="5161" name="Rectangle: Rounded Corners 5160">
              <a:extLst>
                <a:ext uri="{FF2B5EF4-FFF2-40B4-BE49-F238E27FC236}">
                  <a16:creationId xmlns:a16="http://schemas.microsoft.com/office/drawing/2014/main" id="{00000000-0008-0000-0800-000029140000}"/>
                </a:ext>
              </a:extLst>
            </xdr:cNvPr>
            <xdr:cNvSpPr/>
          </xdr:nvSpPr>
          <xdr:spPr>
            <a:xfrm>
              <a:off x="1716956" y="4141911"/>
              <a:ext cx="2713250" cy="1161791"/>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62" name="Chart 5161">
              <a:extLst>
                <a:ext uri="{FF2B5EF4-FFF2-40B4-BE49-F238E27FC236}">
                  <a16:creationId xmlns:a16="http://schemas.microsoft.com/office/drawing/2014/main" id="{00000000-0008-0000-0800-00002A140000}"/>
                </a:ext>
              </a:extLst>
            </xdr:cNvPr>
            <xdr:cNvGraphicFramePr>
              <a:graphicFrameLocks/>
            </xdr:cNvGraphicFramePr>
          </xdr:nvGraphicFramePr>
          <xdr:xfrm>
            <a:off x="3087663" y="4135070"/>
            <a:ext cx="1371530" cy="1236409"/>
          </xdr:xfrm>
          <a:graphic>
            <a:graphicData uri="http://schemas.openxmlformats.org/drawingml/2006/chart">
              <c:chart xmlns:c="http://schemas.openxmlformats.org/drawingml/2006/chart" xmlns:r="http://schemas.openxmlformats.org/officeDocument/2006/relationships" r:id="rId90"/>
            </a:graphicData>
          </a:graphic>
        </xdr:graphicFrame>
        <xdr:sp macro="" textlink="ControlChart!$BV$7">
          <xdr:nvSpPr>
            <xdr:cNvPr id="5163" name="Rectangle 5162">
              <a:extLst>
                <a:ext uri="{FF2B5EF4-FFF2-40B4-BE49-F238E27FC236}">
                  <a16:creationId xmlns:a16="http://schemas.microsoft.com/office/drawing/2014/main" id="{00000000-0008-0000-0800-00002B140000}"/>
                </a:ext>
              </a:extLst>
            </xdr:cNvPr>
            <xdr:cNvSpPr/>
          </xdr:nvSpPr>
          <xdr:spPr>
            <a:xfrm>
              <a:off x="2225792" y="4221763"/>
              <a:ext cx="989653" cy="31380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BC071E1-DA10-4348-9C8F-63A9A89C6581}" type="TxLink">
                <a:rPr lang="en-US" sz="1200" b="0" i="0" u="none" strike="noStrike" kern="1200">
                  <a:solidFill>
                    <a:srgbClr val="A9FEFB"/>
                  </a:solidFill>
                  <a:latin typeface="Aptos Narrow" panose="020B0004020202020204" pitchFamily="34" charset="0"/>
                  <a:cs typeface="Arial"/>
                </a:rPr>
                <a:pPr algn="l"/>
                <a:t>Category6</a:t>
              </a:fld>
              <a:endParaRPr lang="fr-CA" sz="1200" kern="1200">
                <a:solidFill>
                  <a:srgbClr val="A9FEFB"/>
                </a:solidFill>
                <a:latin typeface="Aptos Narrow" panose="020B0004020202020204" pitchFamily="34" charset="0"/>
              </a:endParaRPr>
            </a:p>
          </xdr:txBody>
        </xdr:sp>
        <xdr:sp macro="" textlink="ControlChart!$BU$7">
          <xdr:nvSpPr>
            <xdr:cNvPr id="5164" name="Rectangle 5163">
              <a:extLst>
                <a:ext uri="{FF2B5EF4-FFF2-40B4-BE49-F238E27FC236}">
                  <a16:creationId xmlns:a16="http://schemas.microsoft.com/office/drawing/2014/main" id="{00000000-0008-0000-0800-00002C140000}"/>
                </a:ext>
              </a:extLst>
            </xdr:cNvPr>
            <xdr:cNvSpPr/>
          </xdr:nvSpPr>
          <xdr:spPr>
            <a:xfrm>
              <a:off x="3442023" y="4620108"/>
              <a:ext cx="662810" cy="26633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555EA5A0-1971-4C1F-B12B-64E8A2F7F9F3}" type="TxLink">
                <a:rPr lang="en-US" sz="1200" b="0" i="0" u="none" strike="noStrike" kern="1200">
                  <a:solidFill>
                    <a:srgbClr val="15C2FF"/>
                  </a:solidFill>
                  <a:latin typeface="Aptos Narrow" panose="020B0004020202020204" pitchFamily="34" charset="0"/>
                  <a:cs typeface="Arial"/>
                </a:rPr>
                <a:pPr algn="ctr"/>
                <a:t>100.00%</a:t>
              </a:fld>
              <a:endParaRPr lang="fr-CA" sz="1200" kern="1200">
                <a:solidFill>
                  <a:srgbClr val="15C2FF"/>
                </a:solidFill>
                <a:latin typeface="Aptos Narrow" panose="020B0004020202020204" pitchFamily="34" charset="0"/>
              </a:endParaRPr>
            </a:p>
          </xdr:txBody>
        </xdr:sp>
        <xdr:sp macro="" textlink="ControlChart!$BW$7">
          <xdr:nvSpPr>
            <xdr:cNvPr id="5217" name="Rectangle 5216">
              <a:extLst>
                <a:ext uri="{FF2B5EF4-FFF2-40B4-BE49-F238E27FC236}">
                  <a16:creationId xmlns:a16="http://schemas.microsoft.com/office/drawing/2014/main" id="{00000000-0008-0000-0800-000061140000}"/>
                </a:ext>
              </a:extLst>
            </xdr:cNvPr>
            <xdr:cNvSpPr/>
          </xdr:nvSpPr>
          <xdr:spPr>
            <a:xfrm>
              <a:off x="1822452" y="4596461"/>
              <a:ext cx="1392992" cy="31362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6B2A2E3-F7FD-4BCB-9377-1C2825B30BA8}" type="TxLink">
                <a:rPr lang="en-US" sz="1600" b="0" i="0" u="none" strike="noStrike" kern="1200">
                  <a:solidFill>
                    <a:schemeClr val="bg1"/>
                  </a:solidFill>
                  <a:latin typeface="Aptos Narrow" panose="020B0004020202020204" pitchFamily="34" charset="0"/>
                  <a:cs typeface="Arial"/>
                </a:rPr>
                <a:pPr algn="ctr"/>
                <a:t> 0.00 $</a:t>
              </a:fld>
              <a:endParaRPr lang="fr-CA" sz="1600" kern="1200">
                <a:solidFill>
                  <a:schemeClr val="bg1"/>
                </a:solidFill>
                <a:latin typeface="Aptos Narrow" panose="020B0004020202020204" pitchFamily="34" charset="0"/>
              </a:endParaRPr>
            </a:p>
          </xdr:txBody>
        </xdr:sp>
        <xdr:sp macro="" textlink="ControlChart!$CD$7">
          <xdr:nvSpPr>
            <xdr:cNvPr id="5840" name="Rectangle 5839">
              <a:extLst>
                <a:ext uri="{FF2B5EF4-FFF2-40B4-BE49-F238E27FC236}">
                  <a16:creationId xmlns:a16="http://schemas.microsoft.com/office/drawing/2014/main" id="{00000000-0008-0000-0800-0000D0160000}"/>
                </a:ext>
              </a:extLst>
            </xdr:cNvPr>
            <xdr:cNvSpPr/>
          </xdr:nvSpPr>
          <xdr:spPr>
            <a:xfrm>
              <a:off x="1795718" y="4911956"/>
              <a:ext cx="1394838" cy="31465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4EA2160-3AC6-4E23-8FFB-A8FEDF05A40C}" type="TxLink">
                <a:rPr lang="en-US" sz="1400" b="0" i="0" u="none" strike="noStrike" kern="1200">
                  <a:solidFill>
                    <a:schemeClr val="bg1"/>
                  </a:solidFill>
                  <a:latin typeface="Aptos Narrow" panose="020B0004020202020204" pitchFamily="34" charset="0"/>
                  <a:cs typeface="Arial" panose="020B0604020202020204" pitchFamily="34" charset="0"/>
                </a:rPr>
                <a:pPr algn="ctr"/>
                <a:t>( 0.00 $)</a:t>
              </a:fld>
              <a:endParaRPr lang="fr-CA" sz="1400" kern="1200">
                <a:solidFill>
                  <a:schemeClr val="bg1"/>
                </a:solidFill>
                <a:latin typeface="Aptos Narrow" panose="020B0004020202020204" pitchFamily="34" charset="0"/>
                <a:cs typeface="Arial" panose="020B0604020202020204" pitchFamily="34" charset="0"/>
              </a:endParaRPr>
            </a:p>
          </xdr:txBody>
        </xdr:sp>
      </xdr:grpSp>
      <xdr:grpSp>
        <xdr:nvGrpSpPr>
          <xdr:cNvPr id="5997" name="Group 5996">
            <a:extLst>
              <a:ext uri="{FF2B5EF4-FFF2-40B4-BE49-F238E27FC236}">
                <a16:creationId xmlns:a16="http://schemas.microsoft.com/office/drawing/2014/main" id="{00000000-0008-0000-0800-00006D170000}"/>
              </a:ext>
            </a:extLst>
          </xdr:cNvPr>
          <xdr:cNvGrpSpPr/>
        </xdr:nvGrpSpPr>
        <xdr:grpSpPr>
          <a:xfrm>
            <a:off x="4595683" y="4135070"/>
            <a:ext cx="2695607" cy="1168964"/>
            <a:chOff x="4595683" y="4135070"/>
            <a:chExt cx="2695607" cy="1168964"/>
          </a:xfrm>
        </xdr:grpSpPr>
        <xdr:sp macro="" textlink="">
          <xdr:nvSpPr>
            <xdr:cNvPr id="5166" name="Rectangle: Rounded Corners 5165">
              <a:extLst>
                <a:ext uri="{FF2B5EF4-FFF2-40B4-BE49-F238E27FC236}">
                  <a16:creationId xmlns:a16="http://schemas.microsoft.com/office/drawing/2014/main" id="{00000000-0008-0000-0800-00002E140000}"/>
                </a:ext>
              </a:extLst>
            </xdr:cNvPr>
            <xdr:cNvSpPr/>
          </xdr:nvSpPr>
          <xdr:spPr>
            <a:xfrm>
              <a:off x="4600249" y="4135070"/>
              <a:ext cx="2691041" cy="1168964"/>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67" name="Chart 5166">
              <a:extLst>
                <a:ext uri="{FF2B5EF4-FFF2-40B4-BE49-F238E27FC236}">
                  <a16:creationId xmlns:a16="http://schemas.microsoft.com/office/drawing/2014/main" id="{00000000-0008-0000-0800-00002F140000}"/>
                </a:ext>
              </a:extLst>
            </xdr:cNvPr>
            <xdr:cNvGraphicFramePr>
              <a:graphicFrameLocks/>
            </xdr:cNvGraphicFramePr>
          </xdr:nvGraphicFramePr>
          <xdr:xfrm>
            <a:off x="6181065" y="4338183"/>
            <a:ext cx="994991" cy="816084"/>
          </xdr:xfrm>
          <a:graphic>
            <a:graphicData uri="http://schemas.openxmlformats.org/drawingml/2006/chart">
              <c:chart xmlns:c="http://schemas.openxmlformats.org/drawingml/2006/chart" xmlns:r="http://schemas.openxmlformats.org/officeDocument/2006/relationships" r:id="rId91"/>
            </a:graphicData>
          </a:graphic>
        </xdr:graphicFrame>
        <xdr:sp macro="" textlink="ControlChart!$BV$5">
          <xdr:nvSpPr>
            <xdr:cNvPr id="5168" name="Rectangle 5167">
              <a:extLst>
                <a:ext uri="{FF2B5EF4-FFF2-40B4-BE49-F238E27FC236}">
                  <a16:creationId xmlns:a16="http://schemas.microsoft.com/office/drawing/2014/main" id="{00000000-0008-0000-0800-000030140000}"/>
                </a:ext>
              </a:extLst>
            </xdr:cNvPr>
            <xdr:cNvSpPr/>
          </xdr:nvSpPr>
          <xdr:spPr>
            <a:xfrm>
              <a:off x="5000220" y="4198976"/>
              <a:ext cx="967488" cy="2998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8E4F461-71C1-4E74-84FB-4960F106999A}" type="TxLink">
                <a:rPr lang="en-US" sz="1200" b="0" i="0" u="none" strike="noStrike" kern="1200">
                  <a:solidFill>
                    <a:srgbClr val="A9FEFB"/>
                  </a:solidFill>
                  <a:latin typeface="Aptos Narrow" panose="020B0004020202020204" pitchFamily="34" charset="0"/>
                  <a:cs typeface="Arial"/>
                </a:rPr>
                <a:pPr algn="l"/>
                <a:t>Category7</a:t>
              </a:fld>
              <a:endParaRPr lang="fr-CA" sz="1200" kern="1200">
                <a:solidFill>
                  <a:srgbClr val="A9FEFB"/>
                </a:solidFill>
                <a:latin typeface="Aptos Narrow" panose="020B0004020202020204" pitchFamily="34" charset="0"/>
              </a:endParaRPr>
            </a:p>
          </xdr:txBody>
        </xdr:sp>
        <xdr:sp macro="" textlink="ControlChart!$BW$5">
          <xdr:nvSpPr>
            <xdr:cNvPr id="5221" name="Rectangle 5220">
              <a:extLst>
                <a:ext uri="{FF2B5EF4-FFF2-40B4-BE49-F238E27FC236}">
                  <a16:creationId xmlns:a16="http://schemas.microsoft.com/office/drawing/2014/main" id="{00000000-0008-0000-0800-000065140000}"/>
                </a:ext>
              </a:extLst>
            </xdr:cNvPr>
            <xdr:cNvSpPr/>
          </xdr:nvSpPr>
          <xdr:spPr>
            <a:xfrm>
              <a:off x="4648198" y="4601949"/>
              <a:ext cx="1361796" cy="29970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02B7853-48D9-485B-BBDD-147F053B19FC}" type="TxLink">
                <a:rPr lang="en-US" sz="1600" b="0" i="0" u="none" strike="noStrike" kern="1200">
                  <a:solidFill>
                    <a:schemeClr val="bg1"/>
                  </a:solidFill>
                  <a:latin typeface="Aptos Narrow" panose="020B0004020202020204" pitchFamily="34" charset="0"/>
                  <a:cs typeface="Arial"/>
                </a:rPr>
                <a:pPr algn="ctr"/>
                <a:t> 0.00 $</a:t>
              </a:fld>
              <a:endParaRPr lang="fr-CA" sz="1600" kern="1200">
                <a:solidFill>
                  <a:schemeClr val="bg1"/>
                </a:solidFill>
                <a:latin typeface="Aptos Narrow" panose="020B0004020202020204" pitchFamily="34" charset="0"/>
              </a:endParaRPr>
            </a:p>
          </xdr:txBody>
        </xdr:sp>
        <xdr:sp macro="" textlink="ControlChart!$BU$5">
          <xdr:nvSpPr>
            <xdr:cNvPr id="5169" name="Rectangle 5168">
              <a:extLst>
                <a:ext uri="{FF2B5EF4-FFF2-40B4-BE49-F238E27FC236}">
                  <a16:creationId xmlns:a16="http://schemas.microsoft.com/office/drawing/2014/main" id="{00000000-0008-0000-0800-000031140000}"/>
                </a:ext>
              </a:extLst>
            </xdr:cNvPr>
            <xdr:cNvSpPr/>
          </xdr:nvSpPr>
          <xdr:spPr>
            <a:xfrm>
              <a:off x="6354578" y="4624547"/>
              <a:ext cx="647966" cy="25450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A9B7ECE2-BF8E-4EF9-8867-D971DCB68B39}" type="TxLink">
                <a:rPr lang="en-US" sz="1200" b="0" i="0" u="none" strike="noStrike" kern="1200">
                  <a:solidFill>
                    <a:srgbClr val="FFFF00"/>
                  </a:solidFill>
                  <a:latin typeface="Aptos Narrow" panose="020B0004020202020204" pitchFamily="34" charset="0"/>
                  <a:cs typeface="Arial"/>
                </a:rPr>
                <a:pPr algn="ctr"/>
                <a:t>100.00%</a:t>
              </a:fld>
              <a:endParaRPr lang="fr-CA" sz="1200" kern="1200">
                <a:solidFill>
                  <a:srgbClr val="FFFF00"/>
                </a:solidFill>
                <a:latin typeface="Aptos Narrow" panose="020B0004020202020204" pitchFamily="34" charset="0"/>
              </a:endParaRPr>
            </a:p>
          </xdr:txBody>
        </xdr:sp>
        <xdr:sp macro="" textlink="ControlChart!$CD$5">
          <xdr:nvSpPr>
            <xdr:cNvPr id="5841" name="Rectangle 5840">
              <a:extLst>
                <a:ext uri="{FF2B5EF4-FFF2-40B4-BE49-F238E27FC236}">
                  <a16:creationId xmlns:a16="http://schemas.microsoft.com/office/drawing/2014/main" id="{00000000-0008-0000-0800-0000D1160000}"/>
                </a:ext>
              </a:extLst>
            </xdr:cNvPr>
            <xdr:cNvSpPr/>
          </xdr:nvSpPr>
          <xdr:spPr>
            <a:xfrm>
              <a:off x="4595683" y="4911229"/>
              <a:ext cx="1392517" cy="3143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69942A5-5299-4872-9B38-1BB30ECD5045}" type="TxLink">
                <a:rPr lang="en-US" sz="1400" b="0" i="0" u="none" strike="noStrike" kern="1200">
                  <a:solidFill>
                    <a:schemeClr val="bg1"/>
                  </a:solidFill>
                  <a:latin typeface="Aptos Narrow" panose="020B0004020202020204" pitchFamily="34" charset="0"/>
                  <a:cs typeface="Arial"/>
                </a:rPr>
                <a:pPr algn="ctr"/>
                <a:t>( 0.00 $)</a:t>
              </a:fld>
              <a:endParaRPr lang="fr-CA" sz="1400" kern="1200">
                <a:solidFill>
                  <a:schemeClr val="bg1"/>
                </a:solidFill>
                <a:latin typeface="Aptos Narrow" panose="020B0004020202020204" pitchFamily="34" charset="0"/>
                <a:cs typeface="Arial" panose="020B0604020202020204" pitchFamily="34" charset="0"/>
              </a:endParaRPr>
            </a:p>
          </xdr:txBody>
        </xdr:sp>
      </xdr:grpSp>
      <xdr:grpSp>
        <xdr:nvGrpSpPr>
          <xdr:cNvPr id="5996" name="Group 5995">
            <a:extLst>
              <a:ext uri="{FF2B5EF4-FFF2-40B4-BE49-F238E27FC236}">
                <a16:creationId xmlns:a16="http://schemas.microsoft.com/office/drawing/2014/main" id="{00000000-0008-0000-0800-00006C170000}"/>
              </a:ext>
            </a:extLst>
          </xdr:cNvPr>
          <xdr:cNvGrpSpPr/>
        </xdr:nvGrpSpPr>
        <xdr:grpSpPr>
          <a:xfrm>
            <a:off x="7412234" y="4135070"/>
            <a:ext cx="2738901" cy="1239452"/>
            <a:chOff x="7412234" y="4135070"/>
            <a:chExt cx="2738901" cy="1239452"/>
          </a:xfrm>
        </xdr:grpSpPr>
        <xdr:sp macro="" textlink="">
          <xdr:nvSpPr>
            <xdr:cNvPr id="5171" name="Rectangle: Rounded Corners 5170">
              <a:extLst>
                <a:ext uri="{FF2B5EF4-FFF2-40B4-BE49-F238E27FC236}">
                  <a16:creationId xmlns:a16="http://schemas.microsoft.com/office/drawing/2014/main" id="{00000000-0008-0000-0800-000033140000}"/>
                </a:ext>
              </a:extLst>
            </xdr:cNvPr>
            <xdr:cNvSpPr/>
          </xdr:nvSpPr>
          <xdr:spPr>
            <a:xfrm>
              <a:off x="7442422" y="4135070"/>
              <a:ext cx="2691813" cy="1164652"/>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72" name="Chart 5171">
              <a:extLst>
                <a:ext uri="{FF2B5EF4-FFF2-40B4-BE49-F238E27FC236}">
                  <a16:creationId xmlns:a16="http://schemas.microsoft.com/office/drawing/2014/main" id="{00000000-0008-0000-0800-000034140000}"/>
                </a:ext>
              </a:extLst>
            </xdr:cNvPr>
            <xdr:cNvGraphicFramePr>
              <a:graphicFrameLocks/>
            </xdr:cNvGraphicFramePr>
          </xdr:nvGraphicFramePr>
          <xdr:xfrm>
            <a:off x="8793262" y="4135070"/>
            <a:ext cx="1357873" cy="1239452"/>
          </xdr:xfrm>
          <a:graphic>
            <a:graphicData uri="http://schemas.openxmlformats.org/drawingml/2006/chart">
              <c:chart xmlns:c="http://schemas.openxmlformats.org/drawingml/2006/chart" xmlns:r="http://schemas.openxmlformats.org/officeDocument/2006/relationships" r:id="rId92"/>
            </a:graphicData>
          </a:graphic>
        </xdr:graphicFrame>
        <xdr:sp macro="" textlink="ControlChart!$BV$6">
          <xdr:nvSpPr>
            <xdr:cNvPr id="5173" name="Rectangle 5172">
              <a:extLst>
                <a:ext uri="{FF2B5EF4-FFF2-40B4-BE49-F238E27FC236}">
                  <a16:creationId xmlns:a16="http://schemas.microsoft.com/office/drawing/2014/main" id="{00000000-0008-0000-0800-000035140000}"/>
                </a:ext>
              </a:extLst>
            </xdr:cNvPr>
            <xdr:cNvSpPr/>
          </xdr:nvSpPr>
          <xdr:spPr>
            <a:xfrm>
              <a:off x="7867442" y="4204294"/>
              <a:ext cx="979798" cy="3145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ED7C11D8-7E16-43BB-8FAC-928A5FD612EB}" type="TxLink">
                <a:rPr lang="en-US" sz="1200" b="0" i="0" u="none" strike="noStrike" kern="1200">
                  <a:solidFill>
                    <a:srgbClr val="A9FEFB"/>
                  </a:solidFill>
                  <a:latin typeface="Aptos Narrow" panose="020B0004020202020204" pitchFamily="34" charset="0"/>
                  <a:cs typeface="Arial"/>
                </a:rPr>
                <a:pPr algn="l"/>
                <a:t>Category5</a:t>
              </a:fld>
              <a:endParaRPr lang="fr-CA" sz="1200" kern="1200">
                <a:solidFill>
                  <a:srgbClr val="A9FEFB"/>
                </a:solidFill>
                <a:latin typeface="Aptos Narrow" panose="020B0004020202020204" pitchFamily="34" charset="0"/>
              </a:endParaRPr>
            </a:p>
          </xdr:txBody>
        </xdr:sp>
        <xdr:sp macro="" textlink="ControlChart!$BU$6">
          <xdr:nvSpPr>
            <xdr:cNvPr id="5174" name="Rectangle 5173">
              <a:extLst>
                <a:ext uri="{FF2B5EF4-FFF2-40B4-BE49-F238E27FC236}">
                  <a16:creationId xmlns:a16="http://schemas.microsoft.com/office/drawing/2014/main" id="{00000000-0008-0000-0800-000036140000}"/>
                </a:ext>
              </a:extLst>
            </xdr:cNvPr>
            <xdr:cNvSpPr/>
          </xdr:nvSpPr>
          <xdr:spPr>
            <a:xfrm>
              <a:off x="9144094" y="4621302"/>
              <a:ext cx="656210" cy="2669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1D7ABD15-225C-4B6F-88E2-FC25EA36BD8B}" type="TxLink">
                <a:rPr lang="en-US" sz="1200" b="0" i="0" u="none" strike="noStrike" kern="1200">
                  <a:solidFill>
                    <a:schemeClr val="accent6">
                      <a:lumMod val="20000"/>
                      <a:lumOff val="80000"/>
                    </a:schemeClr>
                  </a:solidFill>
                  <a:latin typeface="Aptos Narrow" panose="020B0004020202020204" pitchFamily="34" charset="0"/>
                  <a:cs typeface="Arial"/>
                </a:rPr>
                <a:pPr algn="ctr"/>
                <a:t>100.00%</a:t>
              </a:fld>
              <a:endParaRPr lang="fr-CA" sz="1200" kern="1200">
                <a:solidFill>
                  <a:schemeClr val="accent6">
                    <a:lumMod val="20000"/>
                    <a:lumOff val="80000"/>
                  </a:schemeClr>
                </a:solidFill>
                <a:latin typeface="Aptos Narrow" panose="020B0004020202020204" pitchFamily="34" charset="0"/>
              </a:endParaRPr>
            </a:p>
          </xdr:txBody>
        </xdr:sp>
        <xdr:sp macro="" textlink="ControlChart!$BW$6">
          <xdr:nvSpPr>
            <xdr:cNvPr id="5239" name="Rectangle 5238">
              <a:extLst>
                <a:ext uri="{FF2B5EF4-FFF2-40B4-BE49-F238E27FC236}">
                  <a16:creationId xmlns:a16="http://schemas.microsoft.com/office/drawing/2014/main" id="{00000000-0008-0000-0800-000077140000}"/>
                </a:ext>
              </a:extLst>
            </xdr:cNvPr>
            <xdr:cNvSpPr/>
          </xdr:nvSpPr>
          <xdr:spPr>
            <a:xfrm>
              <a:off x="7432228" y="4597597"/>
              <a:ext cx="1381986" cy="314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4F1D304-4A62-48DF-99DF-D9C634DDA130}" type="TxLink">
                <a:rPr lang="en-US" sz="1600" b="0" i="0" u="none" strike="noStrike" kern="1200">
                  <a:solidFill>
                    <a:schemeClr val="bg1"/>
                  </a:solidFill>
                  <a:latin typeface="Aptos Narrow" panose="020B0004020202020204" pitchFamily="34" charset="0"/>
                  <a:cs typeface="Arial"/>
                </a:rPr>
                <a:pPr algn="ctr"/>
                <a:t> 0.00 $</a:t>
              </a:fld>
              <a:endParaRPr lang="fr-CA" sz="1600" kern="1200">
                <a:solidFill>
                  <a:schemeClr val="bg1"/>
                </a:solidFill>
                <a:latin typeface="Aptos Narrow" panose="020B0004020202020204" pitchFamily="34" charset="0"/>
              </a:endParaRPr>
            </a:p>
          </xdr:txBody>
        </xdr:sp>
        <xdr:sp macro="" textlink="ControlChart!$CD$6">
          <xdr:nvSpPr>
            <xdr:cNvPr id="5842" name="Rectangle 5841">
              <a:extLst>
                <a:ext uri="{FF2B5EF4-FFF2-40B4-BE49-F238E27FC236}">
                  <a16:creationId xmlns:a16="http://schemas.microsoft.com/office/drawing/2014/main" id="{00000000-0008-0000-0800-0000D2160000}"/>
                </a:ext>
              </a:extLst>
            </xdr:cNvPr>
            <xdr:cNvSpPr/>
          </xdr:nvSpPr>
          <xdr:spPr>
            <a:xfrm>
              <a:off x="7412234" y="4911926"/>
              <a:ext cx="1392688" cy="3146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538A851-8BA5-40B9-985D-C6E80772811F}" type="TxLink">
                <a:rPr lang="en-US" sz="1400" b="0" i="0" u="none" strike="noStrike" kern="1200">
                  <a:solidFill>
                    <a:schemeClr val="bg1"/>
                  </a:solidFill>
                  <a:latin typeface="Aptos Narrow" panose="020B0004020202020204" pitchFamily="34" charset="0"/>
                  <a:cs typeface="Arial"/>
                </a:rPr>
                <a:pPr algn="ctr"/>
                <a:t>( 0.00 $)</a:t>
              </a:fld>
              <a:endParaRPr lang="fr-CA" sz="1400" kern="1200">
                <a:solidFill>
                  <a:schemeClr val="bg1"/>
                </a:solidFill>
                <a:latin typeface="Aptos Narrow" panose="020B0004020202020204" pitchFamily="34" charset="0"/>
                <a:cs typeface="Arial" panose="020B0604020202020204" pitchFamily="34" charset="0"/>
              </a:endParaRPr>
            </a:p>
          </xdr:txBody>
        </xdr:sp>
      </xdr:grpSp>
      <xdr:grpSp>
        <xdr:nvGrpSpPr>
          <xdr:cNvPr id="5992" name="Group 5991">
            <a:extLst>
              <a:ext uri="{FF2B5EF4-FFF2-40B4-BE49-F238E27FC236}">
                <a16:creationId xmlns:a16="http://schemas.microsoft.com/office/drawing/2014/main" id="{00000000-0008-0000-0800-000068170000}"/>
              </a:ext>
            </a:extLst>
          </xdr:cNvPr>
          <xdr:cNvGrpSpPr/>
        </xdr:nvGrpSpPr>
        <xdr:grpSpPr>
          <a:xfrm>
            <a:off x="10292225" y="4135070"/>
            <a:ext cx="2691004" cy="1259330"/>
            <a:chOff x="10292225" y="4135070"/>
            <a:chExt cx="2691004" cy="1259330"/>
          </a:xfrm>
        </xdr:grpSpPr>
        <xdr:sp macro="" textlink="">
          <xdr:nvSpPr>
            <xdr:cNvPr id="5176" name="Rectangle: Rounded Corners 5175">
              <a:extLst>
                <a:ext uri="{FF2B5EF4-FFF2-40B4-BE49-F238E27FC236}">
                  <a16:creationId xmlns:a16="http://schemas.microsoft.com/office/drawing/2014/main" id="{00000000-0008-0000-0800-000038140000}"/>
                </a:ext>
              </a:extLst>
            </xdr:cNvPr>
            <xdr:cNvSpPr/>
          </xdr:nvSpPr>
          <xdr:spPr>
            <a:xfrm>
              <a:off x="10292225" y="4135070"/>
              <a:ext cx="2691004" cy="1165566"/>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77" name="Chart 5176">
              <a:extLst>
                <a:ext uri="{FF2B5EF4-FFF2-40B4-BE49-F238E27FC236}">
                  <a16:creationId xmlns:a16="http://schemas.microsoft.com/office/drawing/2014/main" id="{00000000-0008-0000-0800-000039140000}"/>
                </a:ext>
              </a:extLst>
            </xdr:cNvPr>
            <xdr:cNvGraphicFramePr>
              <a:graphicFrameLocks/>
            </xdr:cNvGraphicFramePr>
          </xdr:nvGraphicFramePr>
          <xdr:xfrm>
            <a:off x="11701556" y="4153974"/>
            <a:ext cx="1275524" cy="1240426"/>
          </xdr:xfrm>
          <a:graphic>
            <a:graphicData uri="http://schemas.openxmlformats.org/drawingml/2006/chart">
              <c:chart xmlns:c="http://schemas.openxmlformats.org/drawingml/2006/chart" xmlns:r="http://schemas.openxmlformats.org/officeDocument/2006/relationships" r:id="rId93"/>
            </a:graphicData>
          </a:graphic>
        </xdr:graphicFrame>
        <xdr:sp macro="" textlink="ControlChart!$BV$1">
          <xdr:nvSpPr>
            <xdr:cNvPr id="5178" name="Rectangle 5177">
              <a:extLst>
                <a:ext uri="{FF2B5EF4-FFF2-40B4-BE49-F238E27FC236}">
                  <a16:creationId xmlns:a16="http://schemas.microsoft.com/office/drawing/2014/main" id="{00000000-0008-0000-0800-00003A140000}"/>
                </a:ext>
              </a:extLst>
            </xdr:cNvPr>
            <xdr:cNvSpPr/>
          </xdr:nvSpPr>
          <xdr:spPr>
            <a:xfrm>
              <a:off x="10718832" y="4204100"/>
              <a:ext cx="979504" cy="31482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1383FAF-1700-4DB9-804B-A6F4BEE84D5F}" type="TxLink">
                <a:rPr lang="en-US" sz="1200" b="0" i="0" u="none" strike="noStrike" kern="1200">
                  <a:solidFill>
                    <a:srgbClr val="A9FEFB"/>
                  </a:solidFill>
                  <a:latin typeface="Aptos Narrow" panose="020B0004020202020204" pitchFamily="34" charset="0"/>
                  <a:cs typeface="Arial"/>
                </a:rPr>
                <a:pPr algn="l"/>
                <a:t>Category1</a:t>
              </a:fld>
              <a:endParaRPr lang="fr-CA" sz="1200" kern="1200">
                <a:solidFill>
                  <a:srgbClr val="A9FEFB"/>
                </a:solidFill>
                <a:latin typeface="Aptos Narrow" panose="020B0004020202020204" pitchFamily="34" charset="0"/>
              </a:endParaRPr>
            </a:p>
          </xdr:txBody>
        </xdr:sp>
        <xdr:sp macro="" textlink="ControlChart!$BU$1">
          <xdr:nvSpPr>
            <xdr:cNvPr id="5179" name="Rectangle 5178">
              <a:extLst>
                <a:ext uri="{FF2B5EF4-FFF2-40B4-BE49-F238E27FC236}">
                  <a16:creationId xmlns:a16="http://schemas.microsoft.com/office/drawing/2014/main" id="{00000000-0008-0000-0800-00003B140000}"/>
                </a:ext>
              </a:extLst>
            </xdr:cNvPr>
            <xdr:cNvSpPr/>
          </xdr:nvSpPr>
          <xdr:spPr>
            <a:xfrm>
              <a:off x="12011312" y="4640588"/>
              <a:ext cx="656013" cy="2671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890FD7D8-FB37-4F11-9F1A-B76ED17191AB}" type="TxLink">
                <a:rPr lang="en-US" sz="1200" b="0" i="0" u="none" strike="noStrike" kern="1200">
                  <a:solidFill>
                    <a:srgbClr val="F9ADF5"/>
                  </a:solidFill>
                  <a:latin typeface="Aptos Narrow" panose="020B0004020202020204" pitchFamily="34" charset="0"/>
                  <a:cs typeface="Arial"/>
                </a:rPr>
                <a:pPr algn="ctr"/>
                <a:t>100.00%</a:t>
              </a:fld>
              <a:endParaRPr lang="fr-CA" sz="1200" kern="1200">
                <a:solidFill>
                  <a:srgbClr val="F9ADF5"/>
                </a:solidFill>
                <a:latin typeface="Aptos Narrow" panose="020B0004020202020204" pitchFamily="34" charset="0"/>
              </a:endParaRPr>
            </a:p>
          </xdr:txBody>
        </xdr:sp>
        <xdr:sp macro="" textlink="ControlChart!$BW$1">
          <xdr:nvSpPr>
            <xdr:cNvPr id="5252" name="Rectangle 5251">
              <a:extLst>
                <a:ext uri="{FF2B5EF4-FFF2-40B4-BE49-F238E27FC236}">
                  <a16:creationId xmlns:a16="http://schemas.microsoft.com/office/drawing/2014/main" id="{00000000-0008-0000-0800-000084140000}"/>
                </a:ext>
              </a:extLst>
            </xdr:cNvPr>
            <xdr:cNvSpPr/>
          </xdr:nvSpPr>
          <xdr:spPr>
            <a:xfrm>
              <a:off x="10384394" y="4616864"/>
              <a:ext cx="1381571" cy="31464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0FA74EA-C7F8-4F85-8ACD-7A0E61A7A1BC}" type="TxLink">
                <a:rPr lang="en-US" sz="1600" b="0" i="0" u="none" strike="noStrike" kern="1200">
                  <a:solidFill>
                    <a:schemeClr val="bg1"/>
                  </a:solidFill>
                  <a:latin typeface="Aptos Narrow" panose="020B0004020202020204" pitchFamily="34" charset="0"/>
                  <a:cs typeface="Arial"/>
                </a:rPr>
                <a:pPr algn="ctr"/>
                <a:t> 0.00 $</a:t>
              </a:fld>
              <a:endParaRPr lang="fr-CA" sz="1600" kern="1200">
                <a:solidFill>
                  <a:schemeClr val="bg1"/>
                </a:solidFill>
                <a:latin typeface="Aptos Narrow" panose="020B0004020202020204" pitchFamily="34" charset="0"/>
              </a:endParaRPr>
            </a:p>
          </xdr:txBody>
        </xdr:sp>
        <xdr:sp macro="" textlink="ControlChart!$CD$1">
          <xdr:nvSpPr>
            <xdr:cNvPr id="5847" name="Rectangle 5846">
              <a:extLst>
                <a:ext uri="{FF2B5EF4-FFF2-40B4-BE49-F238E27FC236}">
                  <a16:creationId xmlns:a16="http://schemas.microsoft.com/office/drawing/2014/main" id="{00000000-0008-0000-0800-0000D7160000}"/>
                </a:ext>
              </a:extLst>
            </xdr:cNvPr>
            <xdr:cNvSpPr/>
          </xdr:nvSpPr>
          <xdr:spPr>
            <a:xfrm>
              <a:off x="10387813" y="4911734"/>
              <a:ext cx="1392498" cy="31456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616D303-F628-49DD-860B-800E4FC8884A}" type="TxLink">
                <a:rPr lang="en-US" sz="1400" b="0" i="0" u="none" strike="noStrike" kern="1200">
                  <a:solidFill>
                    <a:schemeClr val="bg1"/>
                  </a:solidFill>
                  <a:latin typeface="Aptos Narrow" panose="020B0004020202020204" pitchFamily="34" charset="0"/>
                  <a:cs typeface="Arial"/>
                </a:rPr>
                <a:pPr algn="ctr"/>
                <a:t>( 0.00 $)</a:t>
              </a:fld>
              <a:endParaRPr lang="fr-CA" sz="1400" kern="1200">
                <a:solidFill>
                  <a:schemeClr val="bg1"/>
                </a:solidFill>
                <a:latin typeface="Aptos Narrow" panose="020B0004020202020204" pitchFamily="34" charset="0"/>
                <a:cs typeface="Arial" panose="020B0604020202020204" pitchFamily="34" charset="0"/>
              </a:endParaRPr>
            </a:p>
          </xdr:txBody>
        </xdr:sp>
      </xdr:grpSp>
      <xdr:grpSp>
        <xdr:nvGrpSpPr>
          <xdr:cNvPr id="5871" name="Group 5870">
            <a:extLst>
              <a:ext uri="{FF2B5EF4-FFF2-40B4-BE49-F238E27FC236}">
                <a16:creationId xmlns:a16="http://schemas.microsoft.com/office/drawing/2014/main" id="{00000000-0008-0000-0800-0000EF160000}"/>
              </a:ext>
            </a:extLst>
          </xdr:cNvPr>
          <xdr:cNvGrpSpPr/>
        </xdr:nvGrpSpPr>
        <xdr:grpSpPr>
          <a:xfrm>
            <a:off x="132593" y="1599070"/>
            <a:ext cx="1377384" cy="3731588"/>
            <a:chOff x="131737" y="1598963"/>
            <a:chExt cx="1366390" cy="3732012"/>
          </a:xfrm>
        </xdr:grpSpPr>
        <xdr:sp macro="" textlink="">
          <xdr:nvSpPr>
            <xdr:cNvPr id="5421" name="Rectangle 5420">
              <a:extLst>
                <a:ext uri="{FF2B5EF4-FFF2-40B4-BE49-F238E27FC236}">
                  <a16:creationId xmlns:a16="http://schemas.microsoft.com/office/drawing/2014/main" id="{00000000-0008-0000-0800-00002D150000}"/>
                </a:ext>
              </a:extLst>
            </xdr:cNvPr>
            <xdr:cNvSpPr/>
          </xdr:nvSpPr>
          <xdr:spPr>
            <a:xfrm>
              <a:off x="131737" y="1598963"/>
              <a:ext cx="1366390" cy="3732012"/>
            </a:xfrm>
            <a:prstGeom prst="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0]!Chart_Analyse.SETTING_SETDATA" textlink="">
          <xdr:nvSpPr>
            <xdr:cNvPr id="5411" name="Rectangle: Rounded Corners 5410">
              <a:extLst>
                <a:ext uri="{FF2B5EF4-FFF2-40B4-BE49-F238E27FC236}">
                  <a16:creationId xmlns:a16="http://schemas.microsoft.com/office/drawing/2014/main" id="{00000000-0008-0000-0800-000023150000}"/>
                </a:ext>
              </a:extLst>
            </xdr:cNvPr>
            <xdr:cNvSpPr/>
          </xdr:nvSpPr>
          <xdr:spPr>
            <a:xfrm>
              <a:off x="219290" y="1719981"/>
              <a:ext cx="1187101" cy="231698"/>
            </a:xfrm>
            <a:prstGeom prst="roundRect">
              <a:avLst>
                <a:gd name="adj" fmla="val 50000"/>
              </a:avLst>
            </a:prstGeom>
            <a:solidFill>
              <a:srgbClr val="A9FEFB"/>
            </a:solidFill>
            <a:ln>
              <a:solidFill>
                <a:srgbClr val="A9FEF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ysClr val="windowText" lastClr="000000"/>
                  </a:solidFill>
                  <a:latin typeface="Aptos Narrow" panose="020B0004020202020204" pitchFamily="34" charset="0"/>
                </a:rPr>
                <a:t>SETTINGS</a:t>
              </a:r>
              <a:endParaRPr lang="fr-CA" sz="1200" b="1" kern="1200">
                <a:solidFill>
                  <a:sysClr val="windowText" lastClr="000000"/>
                </a:solidFill>
                <a:latin typeface="Aptos Narrow" panose="020B0004020202020204" pitchFamily="34" charset="0"/>
              </a:endParaRPr>
            </a:p>
          </xdr:txBody>
        </xdr:sp>
        <xdr:sp macro="[0]!Chart_Analyse.ENTER_DATA" textlink="">
          <xdr:nvSpPr>
            <xdr:cNvPr id="5413" name="Rectangle: Rounded Corners 5412">
              <a:extLst>
                <a:ext uri="{FF2B5EF4-FFF2-40B4-BE49-F238E27FC236}">
                  <a16:creationId xmlns:a16="http://schemas.microsoft.com/office/drawing/2014/main" id="{00000000-0008-0000-0800-000025150000}"/>
                </a:ext>
              </a:extLst>
            </xdr:cNvPr>
            <xdr:cNvSpPr/>
          </xdr:nvSpPr>
          <xdr:spPr>
            <a:xfrm>
              <a:off x="219290" y="2079186"/>
              <a:ext cx="1187101" cy="231699"/>
            </a:xfrm>
            <a:prstGeom prst="roundRect">
              <a:avLst>
                <a:gd name="adj" fmla="val 50000"/>
              </a:avLst>
            </a:prstGeom>
            <a:solidFill>
              <a:srgbClr val="02E8D2"/>
            </a:solidFill>
            <a:ln>
              <a:solidFill>
                <a:srgbClr val="02E8D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ysClr val="windowText" lastClr="000000"/>
                  </a:solidFill>
                  <a:latin typeface="Aptos Narrow" panose="020B0004020202020204" pitchFamily="34" charset="0"/>
                </a:rPr>
                <a:t>ENTER DATA</a:t>
              </a:r>
              <a:endParaRPr lang="fr-CA" sz="1200" b="1" kern="1200">
                <a:solidFill>
                  <a:sysClr val="windowText" lastClr="000000"/>
                </a:solidFill>
                <a:latin typeface="Aptos Narrow" panose="020B0004020202020204" pitchFamily="34" charset="0"/>
              </a:endParaRPr>
            </a:p>
          </xdr:txBody>
        </xdr:sp>
        <xdr:sp macro="[0]!Chart_Analyse.Analyse_Data" textlink="">
          <xdr:nvSpPr>
            <xdr:cNvPr id="5414" name="Rectangle: Rounded Corners 5413">
              <a:extLst>
                <a:ext uri="{FF2B5EF4-FFF2-40B4-BE49-F238E27FC236}">
                  <a16:creationId xmlns:a16="http://schemas.microsoft.com/office/drawing/2014/main" id="{00000000-0008-0000-0800-000026150000}"/>
                </a:ext>
              </a:extLst>
            </xdr:cNvPr>
            <xdr:cNvSpPr/>
          </xdr:nvSpPr>
          <xdr:spPr>
            <a:xfrm>
              <a:off x="219290" y="2797598"/>
              <a:ext cx="1187101" cy="230780"/>
            </a:xfrm>
            <a:prstGeom prst="roundRect">
              <a:avLst>
                <a:gd name="adj" fmla="val 50000"/>
              </a:avLst>
            </a:prstGeom>
            <a:solidFill>
              <a:srgbClr val="02E8D2"/>
            </a:solidFill>
            <a:ln>
              <a:solidFill>
                <a:srgbClr val="02E8D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ysClr val="windowText" lastClr="000000"/>
                  </a:solidFill>
                  <a:latin typeface="Aptos Narrow" panose="020B0004020202020204" pitchFamily="34" charset="0"/>
                </a:rPr>
                <a:t>ANALYSIS</a:t>
              </a:r>
              <a:endParaRPr lang="fr-CA" sz="1200" b="1" kern="1200">
                <a:solidFill>
                  <a:sysClr val="windowText" lastClr="000000"/>
                </a:solidFill>
                <a:latin typeface="Aptos Narrow" panose="020B0004020202020204" pitchFamily="34" charset="0"/>
              </a:endParaRPr>
            </a:p>
          </xdr:txBody>
        </xdr:sp>
        <xdr:sp macro="[0]!Chart_Analyse.Budgetisation" textlink="">
          <xdr:nvSpPr>
            <xdr:cNvPr id="5416" name="Rectangle: Rounded Corners 5415">
              <a:extLst>
                <a:ext uri="{FF2B5EF4-FFF2-40B4-BE49-F238E27FC236}">
                  <a16:creationId xmlns:a16="http://schemas.microsoft.com/office/drawing/2014/main" id="{00000000-0008-0000-0800-000028150000}"/>
                </a:ext>
              </a:extLst>
            </xdr:cNvPr>
            <xdr:cNvSpPr/>
          </xdr:nvSpPr>
          <xdr:spPr>
            <a:xfrm>
              <a:off x="219290" y="3155885"/>
              <a:ext cx="1187101" cy="231698"/>
            </a:xfrm>
            <a:prstGeom prst="roundRect">
              <a:avLst>
                <a:gd name="adj" fmla="val 50000"/>
              </a:avLst>
            </a:prstGeom>
            <a:solidFill>
              <a:srgbClr val="A9FEFB"/>
            </a:solidFill>
            <a:ln>
              <a:solidFill>
                <a:srgbClr val="A9FEF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ysClr val="windowText" lastClr="000000"/>
                  </a:solidFill>
                  <a:latin typeface="Aptos Narrow" panose="020B0004020202020204" pitchFamily="34" charset="0"/>
                </a:rPr>
                <a:t>BUDGETIZE</a:t>
              </a:r>
              <a:endParaRPr lang="fr-CA" sz="1200" b="1" kern="1200">
                <a:solidFill>
                  <a:sysClr val="windowText" lastClr="000000"/>
                </a:solidFill>
                <a:latin typeface="Aptos Narrow" panose="020B0004020202020204" pitchFamily="34" charset="0"/>
              </a:endParaRPr>
            </a:p>
          </xdr:txBody>
        </xdr:sp>
        <xdr:grpSp>
          <xdr:nvGrpSpPr>
            <xdr:cNvPr id="5890" name="Group 5889">
              <a:extLst>
                <a:ext uri="{FF2B5EF4-FFF2-40B4-BE49-F238E27FC236}">
                  <a16:creationId xmlns:a16="http://schemas.microsoft.com/office/drawing/2014/main" id="{00000000-0008-0000-0800-000002170000}"/>
                </a:ext>
              </a:extLst>
            </xdr:cNvPr>
            <xdr:cNvGrpSpPr/>
          </xdr:nvGrpSpPr>
          <xdr:grpSpPr>
            <a:xfrm>
              <a:off x="234664" y="4538637"/>
              <a:ext cx="1182066" cy="554643"/>
              <a:chOff x="214041" y="2068632"/>
              <a:chExt cx="1184219" cy="547223"/>
            </a:xfrm>
          </xdr:grpSpPr>
          <xdr:grpSp>
            <xdr:nvGrpSpPr>
              <xdr:cNvPr id="5889" name="Group 5888">
                <a:extLst>
                  <a:ext uri="{FF2B5EF4-FFF2-40B4-BE49-F238E27FC236}">
                    <a16:creationId xmlns:a16="http://schemas.microsoft.com/office/drawing/2014/main" id="{00000000-0008-0000-0800-000001170000}"/>
                  </a:ext>
                </a:extLst>
              </xdr:cNvPr>
              <xdr:cNvGrpSpPr/>
            </xdr:nvGrpSpPr>
            <xdr:grpSpPr>
              <a:xfrm>
                <a:off x="215135" y="2068632"/>
                <a:ext cx="1182031" cy="203762"/>
                <a:chOff x="219404" y="2735382"/>
                <a:chExt cx="1182031" cy="203762"/>
              </a:xfrm>
            </xdr:grpSpPr>
            <xdr:sp macro="" textlink="">
              <xdr:nvSpPr>
                <xdr:cNvPr id="5581" name="OVALB1">
                  <a:extLst>
                    <a:ext uri="{FF2B5EF4-FFF2-40B4-BE49-F238E27FC236}">
                      <a16:creationId xmlns:a16="http://schemas.microsoft.com/office/drawing/2014/main" id="{00000000-0008-0000-0800-0000CD150000}"/>
                    </a:ext>
                  </a:extLst>
                </xdr:cNvPr>
                <xdr:cNvSpPr>
                  <a:spLocks noChangeAspect="1"/>
                </xdr:cNvSpPr>
              </xdr:nvSpPr>
              <xdr:spPr>
                <a:xfrm>
                  <a:off x="219404" y="2752345"/>
                  <a:ext cx="169698" cy="169836"/>
                </a:xfrm>
                <a:prstGeom prst="ellipse">
                  <a:avLst/>
                </a:prstGeom>
                <a:solidFill>
                  <a:srgbClr val="FA61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0]!Chart_Analyse.ActiveBudget1" textlink="">
              <xdr:nvSpPr>
                <xdr:cNvPr id="5422" name="Rectangle: Rounded Corners 5421">
                  <a:extLst>
                    <a:ext uri="{FF2B5EF4-FFF2-40B4-BE49-F238E27FC236}">
                      <a16:creationId xmlns:a16="http://schemas.microsoft.com/office/drawing/2014/main" id="{00000000-0008-0000-0800-00002E150000}"/>
                    </a:ext>
                  </a:extLst>
                </xdr:cNvPr>
                <xdr:cNvSpPr/>
              </xdr:nvSpPr>
              <xdr:spPr>
                <a:xfrm>
                  <a:off x="486329" y="2735382"/>
                  <a:ext cx="915106" cy="203762"/>
                </a:xfrm>
                <a:prstGeom prst="roundRect">
                  <a:avLst>
                    <a:gd name="adj" fmla="val 50000"/>
                  </a:avLst>
                </a:prstGeom>
                <a:solidFill>
                  <a:srgbClr val="FA61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b="1" kern="1200">
                      <a:solidFill>
                        <a:sysClr val="windowText" lastClr="000000"/>
                      </a:solidFill>
                      <a:latin typeface="Aptos Narrow" panose="020B0004020202020204" pitchFamily="34" charset="0"/>
                    </a:rPr>
                    <a:t>BUDGET 1</a:t>
                  </a:r>
                </a:p>
              </xdr:txBody>
            </xdr:sp>
          </xdr:grpSp>
          <xdr:grpSp>
            <xdr:nvGrpSpPr>
              <xdr:cNvPr id="5888" name="Group 5887">
                <a:extLst>
                  <a:ext uri="{FF2B5EF4-FFF2-40B4-BE49-F238E27FC236}">
                    <a16:creationId xmlns:a16="http://schemas.microsoft.com/office/drawing/2014/main" id="{00000000-0008-0000-0800-000000170000}"/>
                  </a:ext>
                </a:extLst>
              </xdr:cNvPr>
              <xdr:cNvGrpSpPr/>
            </xdr:nvGrpSpPr>
            <xdr:grpSpPr>
              <a:xfrm>
                <a:off x="214041" y="2413000"/>
                <a:ext cx="1184219" cy="202855"/>
                <a:chOff x="217216" y="3276600"/>
                <a:chExt cx="1184219" cy="202855"/>
              </a:xfrm>
            </xdr:grpSpPr>
            <xdr:sp macro="" textlink="">
              <xdr:nvSpPr>
                <xdr:cNvPr id="5587" name="OVALB2">
                  <a:extLst>
                    <a:ext uri="{FF2B5EF4-FFF2-40B4-BE49-F238E27FC236}">
                      <a16:creationId xmlns:a16="http://schemas.microsoft.com/office/drawing/2014/main" id="{00000000-0008-0000-0800-0000D3150000}"/>
                    </a:ext>
                  </a:extLst>
                </xdr:cNvPr>
                <xdr:cNvSpPr>
                  <a:spLocks noChangeAspect="1"/>
                </xdr:cNvSpPr>
              </xdr:nvSpPr>
              <xdr:spPr>
                <a:xfrm>
                  <a:off x="217216" y="3291396"/>
                  <a:ext cx="174075" cy="173264"/>
                </a:xfrm>
                <a:prstGeom prst="ellipse">
                  <a:avLst/>
                </a:prstGeom>
                <a:solidFill>
                  <a:srgbClr val="C54EF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0]!Chart_Analyse.ActiveBudget2" textlink="">
              <xdr:nvSpPr>
                <xdr:cNvPr id="5435" name="Rectangle: Rounded Corners 5434">
                  <a:extLst>
                    <a:ext uri="{FF2B5EF4-FFF2-40B4-BE49-F238E27FC236}">
                      <a16:creationId xmlns:a16="http://schemas.microsoft.com/office/drawing/2014/main" id="{00000000-0008-0000-0800-00003B150000}"/>
                    </a:ext>
                  </a:extLst>
                </xdr:cNvPr>
                <xdr:cNvSpPr/>
              </xdr:nvSpPr>
              <xdr:spPr>
                <a:xfrm>
                  <a:off x="486329" y="3276600"/>
                  <a:ext cx="915106" cy="202855"/>
                </a:xfrm>
                <a:prstGeom prst="roundRect">
                  <a:avLst>
                    <a:gd name="adj" fmla="val 50000"/>
                  </a:avLst>
                </a:prstGeom>
                <a:solidFill>
                  <a:srgbClr val="C54EF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b="1" kern="1200">
                      <a:solidFill>
                        <a:sysClr val="windowText" lastClr="000000"/>
                      </a:solidFill>
                      <a:latin typeface="Aptos Narrow" panose="020B0004020202020204" pitchFamily="34" charset="0"/>
                    </a:rPr>
                    <a:t>BUDGET 2</a:t>
                  </a:r>
                </a:p>
              </xdr:txBody>
            </xdr:sp>
          </xdr:grpSp>
        </xdr:grpSp>
        <xdr:sp macro="[0]!Chart_Analyse.RESET_DATA" textlink="">
          <xdr:nvSpPr>
            <xdr:cNvPr id="5487" name="Rectangle: Rounded Corners 5486">
              <a:extLst>
                <a:ext uri="{FF2B5EF4-FFF2-40B4-BE49-F238E27FC236}">
                  <a16:creationId xmlns:a16="http://schemas.microsoft.com/office/drawing/2014/main" id="{00000000-0008-0000-0800-00006F150000}"/>
                </a:ext>
              </a:extLst>
            </xdr:cNvPr>
            <xdr:cNvSpPr/>
          </xdr:nvSpPr>
          <xdr:spPr>
            <a:xfrm>
              <a:off x="219290" y="3515091"/>
              <a:ext cx="1187101" cy="231698"/>
            </a:xfrm>
            <a:prstGeom prst="roundRect">
              <a:avLst>
                <a:gd name="adj" fmla="val 50000"/>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chemeClr val="bg2">
                      <a:lumMod val="75000"/>
                    </a:schemeClr>
                  </a:solidFill>
                  <a:latin typeface="Aptos Narrow" panose="020B0004020202020204" pitchFamily="34" charset="0"/>
                </a:rPr>
                <a:t>RESET</a:t>
              </a:r>
              <a:endParaRPr lang="fr-CA" sz="1200" b="1" kern="1200">
                <a:solidFill>
                  <a:schemeClr val="bg2">
                    <a:lumMod val="75000"/>
                  </a:schemeClr>
                </a:solidFill>
                <a:latin typeface="Aptos Narrow" panose="020B0004020202020204" pitchFamily="34" charset="0"/>
              </a:endParaRPr>
            </a:p>
          </xdr:txBody>
        </xdr:sp>
        <xdr:sp macro="[0]!Automate.Choise_Module" textlink="">
          <xdr:nvSpPr>
            <xdr:cNvPr id="5870" name="Rectangle: Rounded Corners 5869">
              <a:extLst>
                <a:ext uri="{FF2B5EF4-FFF2-40B4-BE49-F238E27FC236}">
                  <a16:creationId xmlns:a16="http://schemas.microsoft.com/office/drawing/2014/main" id="{00000000-0008-0000-0800-0000EE160000}"/>
                </a:ext>
              </a:extLst>
            </xdr:cNvPr>
            <xdr:cNvSpPr/>
          </xdr:nvSpPr>
          <xdr:spPr>
            <a:xfrm>
              <a:off x="219290" y="2438392"/>
              <a:ext cx="1187101" cy="231699"/>
            </a:xfrm>
            <a:prstGeom prst="roundRect">
              <a:avLst>
                <a:gd name="adj" fmla="val 50000"/>
              </a:avLst>
            </a:prstGeom>
            <a:solidFill>
              <a:srgbClr val="A9FEFB"/>
            </a:solidFill>
            <a:ln>
              <a:solidFill>
                <a:srgbClr val="A9FEF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CA" altLang="ja-JP" sz="1200" b="1" kern="1200">
                  <a:solidFill>
                    <a:sysClr val="windowText" lastClr="000000"/>
                  </a:solidFill>
                  <a:latin typeface="Aptos Narrow" panose="020B0004020202020204" pitchFamily="34" charset="0"/>
                </a:rPr>
                <a:t>Automation</a:t>
              </a:r>
              <a:endParaRPr lang="fr-CA" sz="1200" b="1" kern="1200">
                <a:solidFill>
                  <a:sysClr val="windowText" lastClr="000000"/>
                </a:solidFill>
                <a:latin typeface="Aptos Narrow" panose="020B0004020202020204" pitchFamily="34" charset="0"/>
              </a:endParaRPr>
            </a:p>
          </xdr:txBody>
        </xdr:sp>
      </xdr:grpSp>
      <xdr:grpSp>
        <xdr:nvGrpSpPr>
          <xdr:cNvPr id="5867" name="Group 5866">
            <a:extLst>
              <a:ext uri="{FF2B5EF4-FFF2-40B4-BE49-F238E27FC236}">
                <a16:creationId xmlns:a16="http://schemas.microsoft.com/office/drawing/2014/main" id="{00000000-0008-0000-0800-0000EB160000}"/>
              </a:ext>
            </a:extLst>
          </xdr:cNvPr>
          <xdr:cNvGrpSpPr/>
        </xdr:nvGrpSpPr>
        <xdr:grpSpPr>
          <a:xfrm>
            <a:off x="13363440" y="125488"/>
            <a:ext cx="7162180" cy="1285801"/>
            <a:chOff x="13354993" y="125488"/>
            <a:chExt cx="7170627" cy="1285119"/>
          </a:xfrm>
        </xdr:grpSpPr>
        <xdr:grpSp>
          <xdr:nvGrpSpPr>
            <xdr:cNvPr id="5905" name="Group 5904">
              <a:extLst>
                <a:ext uri="{FF2B5EF4-FFF2-40B4-BE49-F238E27FC236}">
                  <a16:creationId xmlns:a16="http://schemas.microsoft.com/office/drawing/2014/main" id="{00000000-0008-0000-0800-000011170000}"/>
                </a:ext>
              </a:extLst>
            </xdr:cNvPr>
            <xdr:cNvGrpSpPr/>
          </xdr:nvGrpSpPr>
          <xdr:grpSpPr>
            <a:xfrm>
              <a:off x="13354993" y="125488"/>
              <a:ext cx="7170627" cy="1285119"/>
              <a:chOff x="13574219" y="246195"/>
              <a:chExt cx="6999781" cy="1168948"/>
            </a:xfrm>
          </xdr:grpSpPr>
          <xdr:sp macro="" textlink="">
            <xdr:nvSpPr>
              <xdr:cNvPr id="5182" name="Rectangle: Rounded Corners 5181">
                <a:extLst>
                  <a:ext uri="{FF2B5EF4-FFF2-40B4-BE49-F238E27FC236}">
                    <a16:creationId xmlns:a16="http://schemas.microsoft.com/office/drawing/2014/main" id="{00000000-0008-0000-0800-00003E140000}"/>
                  </a:ext>
                </a:extLst>
              </xdr:cNvPr>
              <xdr:cNvSpPr/>
            </xdr:nvSpPr>
            <xdr:spPr>
              <a:xfrm>
                <a:off x="13574219" y="246195"/>
                <a:ext cx="6999781" cy="1168948"/>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81" name="Chart 5180">
                <a:extLst>
                  <a:ext uri="{FF2B5EF4-FFF2-40B4-BE49-F238E27FC236}">
                    <a16:creationId xmlns:a16="http://schemas.microsoft.com/office/drawing/2014/main" id="{00000000-0008-0000-0800-00003D140000}"/>
                  </a:ext>
                </a:extLst>
              </xdr:cNvPr>
              <xdr:cNvGraphicFramePr>
                <a:graphicFrameLocks/>
              </xdr:cNvGraphicFramePr>
            </xdr:nvGraphicFramePr>
            <xdr:xfrm>
              <a:off x="13747855" y="325756"/>
              <a:ext cx="6707852" cy="1030466"/>
            </xdr:xfrm>
            <a:graphic>
              <a:graphicData uri="http://schemas.openxmlformats.org/drawingml/2006/chart">
                <c:chart xmlns:c="http://schemas.openxmlformats.org/drawingml/2006/chart" xmlns:r="http://schemas.openxmlformats.org/officeDocument/2006/relationships" r:id="rId94"/>
              </a:graphicData>
            </a:graphic>
          </xdr:graphicFrame>
        </xdr:grpSp>
        <xdr:sp macro="" textlink="">
          <xdr:nvSpPr>
            <xdr:cNvPr id="5855" name="Rectangle 5854">
              <a:extLst>
                <a:ext uri="{FF2B5EF4-FFF2-40B4-BE49-F238E27FC236}">
                  <a16:creationId xmlns:a16="http://schemas.microsoft.com/office/drawing/2014/main" id="{00000000-0008-0000-0800-0000DF160000}"/>
                </a:ext>
              </a:extLst>
            </xdr:cNvPr>
            <xdr:cNvSpPr>
              <a:spLocks noChangeAspect="1"/>
            </xdr:cNvSpPr>
          </xdr:nvSpPr>
          <xdr:spPr>
            <a:xfrm>
              <a:off x="13461524" y="645583"/>
              <a:ext cx="118800" cy="118800"/>
            </a:xfrm>
            <a:prstGeom prst="rect">
              <a:avLst/>
            </a:prstGeom>
            <a:solidFill>
              <a:srgbClr val="FF5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861" name="Rectangle 5860">
              <a:extLst>
                <a:ext uri="{FF2B5EF4-FFF2-40B4-BE49-F238E27FC236}">
                  <a16:creationId xmlns:a16="http://schemas.microsoft.com/office/drawing/2014/main" id="{00000000-0008-0000-0800-0000E5160000}"/>
                </a:ext>
              </a:extLst>
            </xdr:cNvPr>
            <xdr:cNvSpPr>
              <a:spLocks noChangeAspect="1"/>
            </xdr:cNvSpPr>
          </xdr:nvSpPr>
          <xdr:spPr>
            <a:xfrm>
              <a:off x="13455174" y="819149"/>
              <a:ext cx="118800" cy="118800"/>
            </a:xfrm>
            <a:prstGeom prst="rect">
              <a:avLst/>
            </a:prstGeom>
            <a:solidFill>
              <a:srgbClr val="AADCD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Library!A45">
          <xdr:nvSpPr>
            <xdr:cNvPr id="5862" name="TextBox 5861">
              <a:extLst>
                <a:ext uri="{FF2B5EF4-FFF2-40B4-BE49-F238E27FC236}">
                  <a16:creationId xmlns:a16="http://schemas.microsoft.com/office/drawing/2014/main" id="{00000000-0008-0000-0800-0000E6160000}"/>
                </a:ext>
              </a:extLst>
            </xdr:cNvPr>
            <xdr:cNvSpPr txBox="1"/>
          </xdr:nvSpPr>
          <xdr:spPr>
            <a:xfrm>
              <a:off x="13610166" y="634999"/>
              <a:ext cx="1365251" cy="148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A78114D-B662-44FB-BA10-80587FB6F477}" type="TxLink">
                <a:rPr lang="en-US" altLang="ja-JP" sz="1200" b="0" i="0" u="none" strike="noStrike">
                  <a:solidFill>
                    <a:schemeClr val="bg2">
                      <a:lumMod val="90000"/>
                    </a:schemeClr>
                  </a:solidFill>
                  <a:latin typeface="Aptos Narrow" panose="020B0004020202020204" pitchFamily="34" charset="0"/>
                  <a:cs typeface="Arial"/>
                </a:rPr>
                <a:pPr/>
                <a:t>Expenses</a:t>
              </a:fld>
              <a:endParaRPr lang="en-CA" sz="1200">
                <a:solidFill>
                  <a:schemeClr val="bg2">
                    <a:lumMod val="90000"/>
                  </a:schemeClr>
                </a:solidFill>
                <a:latin typeface="Aptos Narrow" panose="020B0004020202020204" pitchFamily="34" charset="0"/>
              </a:endParaRPr>
            </a:p>
          </xdr:txBody>
        </xdr:sp>
        <xdr:sp macro="" textlink="WB_Data!J2">
          <xdr:nvSpPr>
            <xdr:cNvPr id="5866" name="TextBox 5865">
              <a:extLst>
                <a:ext uri="{FF2B5EF4-FFF2-40B4-BE49-F238E27FC236}">
                  <a16:creationId xmlns:a16="http://schemas.microsoft.com/office/drawing/2014/main" id="{00000000-0008-0000-0800-0000EA160000}"/>
                </a:ext>
              </a:extLst>
            </xdr:cNvPr>
            <xdr:cNvSpPr txBox="1"/>
          </xdr:nvSpPr>
          <xdr:spPr>
            <a:xfrm>
              <a:off x="13603816" y="808566"/>
              <a:ext cx="1365251" cy="148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C1B2484-3340-4BBE-9D67-387CC56B0F0D}" type="TxLink">
                <a:rPr lang="en-US" sz="1200" b="0" i="0" u="none" strike="noStrike">
                  <a:solidFill>
                    <a:schemeClr val="bg2">
                      <a:lumMod val="90000"/>
                    </a:schemeClr>
                  </a:solidFill>
                  <a:latin typeface="Aptos Narrow" panose="020B0004020202020204" pitchFamily="34" charset="0"/>
                  <a:cs typeface="Arial"/>
                </a:rPr>
                <a:pPr/>
                <a:t>i1_Income1</a:t>
              </a:fld>
              <a:endParaRPr lang="en-CA" sz="1200">
                <a:solidFill>
                  <a:schemeClr val="bg2">
                    <a:lumMod val="90000"/>
                  </a:schemeClr>
                </a:solidFill>
                <a:latin typeface="Aptos Narrow" panose="020B0004020202020204" pitchFamily="34" charset="0"/>
              </a:endParaRPr>
            </a:p>
          </xdr:txBody>
        </xdr:sp>
      </xdr:grpSp>
      <xdr:grpSp>
        <xdr:nvGrpSpPr>
          <xdr:cNvPr id="5920" name="Group 5919">
            <a:extLst>
              <a:ext uri="{FF2B5EF4-FFF2-40B4-BE49-F238E27FC236}">
                <a16:creationId xmlns:a16="http://schemas.microsoft.com/office/drawing/2014/main" id="{00000000-0008-0000-0800-000020170000}"/>
              </a:ext>
            </a:extLst>
          </xdr:cNvPr>
          <xdr:cNvGrpSpPr/>
        </xdr:nvGrpSpPr>
        <xdr:grpSpPr>
          <a:xfrm>
            <a:off x="127825" y="160391"/>
            <a:ext cx="4331236" cy="813853"/>
            <a:chOff x="127825" y="158274"/>
            <a:chExt cx="4346053" cy="803270"/>
          </a:xfrm>
        </xdr:grpSpPr>
        <xdr:grpSp>
          <xdr:nvGrpSpPr>
            <xdr:cNvPr id="5470" name="Group 5469">
              <a:extLst>
                <a:ext uri="{FF2B5EF4-FFF2-40B4-BE49-F238E27FC236}">
                  <a16:creationId xmlns:a16="http://schemas.microsoft.com/office/drawing/2014/main" id="{00000000-0008-0000-0800-00005E150000}"/>
                </a:ext>
              </a:extLst>
            </xdr:cNvPr>
            <xdr:cNvGrpSpPr/>
          </xdr:nvGrpSpPr>
          <xdr:grpSpPr>
            <a:xfrm>
              <a:off x="127825" y="158274"/>
              <a:ext cx="4346053" cy="803270"/>
              <a:chOff x="127000" y="158749"/>
              <a:chExt cx="4318000" cy="814917"/>
            </a:xfrm>
          </xdr:grpSpPr>
          <xdr:sp macro="" textlink="">
            <xdr:nvSpPr>
              <xdr:cNvPr id="5918" name="Rectangle 5917">
                <a:extLst>
                  <a:ext uri="{FF2B5EF4-FFF2-40B4-BE49-F238E27FC236}">
                    <a16:creationId xmlns:a16="http://schemas.microsoft.com/office/drawing/2014/main" id="{00000000-0008-0000-0800-00001E170000}"/>
                  </a:ext>
                </a:extLst>
              </xdr:cNvPr>
              <xdr:cNvSpPr/>
            </xdr:nvSpPr>
            <xdr:spPr>
              <a:xfrm>
                <a:off x="127000" y="158749"/>
                <a:ext cx="4318000" cy="814917"/>
              </a:xfrm>
              <a:prstGeom prst="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Library!A185">
            <xdr:nvSpPr>
              <xdr:cNvPr id="5896" name="Rectangle 5895">
                <a:extLst>
                  <a:ext uri="{FF2B5EF4-FFF2-40B4-BE49-F238E27FC236}">
                    <a16:creationId xmlns:a16="http://schemas.microsoft.com/office/drawing/2014/main" id="{00000000-0008-0000-0800-000008170000}"/>
                  </a:ext>
                </a:extLst>
              </xdr:cNvPr>
              <xdr:cNvSpPr/>
            </xdr:nvSpPr>
            <xdr:spPr>
              <a:xfrm>
                <a:off x="1026584" y="249407"/>
                <a:ext cx="3365500" cy="633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fld id="{CA0B5CF4-E186-4044-A630-CAE2C823382D}" type="TxLink">
                  <a:rPr lang="en-US" altLang="ja-JP" sz="2300" b="0" i="0" u="none" strike="noStrike" kern="1200">
                    <a:solidFill>
                      <a:srgbClr val="A9FEFB"/>
                    </a:solidFill>
                    <a:latin typeface="Aptos Narrow" panose="020B0004020202020204" pitchFamily="34" charset="0"/>
                    <a:cs typeface="Arial"/>
                  </a:rPr>
                  <a:pPr algn="ctr"/>
                  <a:t>Financial DashBoard</a:t>
                </a:fld>
                <a:endParaRPr lang="fr-CA" sz="2300" b="0" kern="1200">
                  <a:solidFill>
                    <a:srgbClr val="A9FEFB"/>
                  </a:solidFill>
                  <a:latin typeface="Aptos Narrow" panose="020B0004020202020204" pitchFamily="34" charset="0"/>
                </a:endParaRPr>
              </a:p>
            </xdr:txBody>
          </xdr:sp>
        </xdr:grpSp>
        <xdr:pic>
          <xdr:nvPicPr>
            <xdr:cNvPr id="5919" name="Picture 5918">
              <a:extLst>
                <a:ext uri="{FF2B5EF4-FFF2-40B4-BE49-F238E27FC236}">
                  <a16:creationId xmlns:a16="http://schemas.microsoft.com/office/drawing/2014/main" id="{00000000-0008-0000-0800-00001F17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Lst>
            </a:blip>
            <a:stretch>
              <a:fillRect/>
            </a:stretch>
          </xdr:blipFill>
          <xdr:spPr>
            <a:xfrm>
              <a:off x="177802" y="176085"/>
              <a:ext cx="854187" cy="766800"/>
            </a:xfrm>
            <a:prstGeom prst="rect">
              <a:avLst/>
            </a:prstGeom>
          </xdr:spPr>
        </xdr:pic>
      </xdr:grpSp>
    </xdr:grpSp>
    <xdr:clientData/>
  </xdr:twoCellAnchor>
  <xdr:twoCellAnchor editAs="absolute">
    <xdr:from>
      <xdr:col>39</xdr:col>
      <xdr:colOff>241855</xdr:colOff>
      <xdr:row>0</xdr:row>
      <xdr:rowOff>110401</xdr:rowOff>
    </xdr:from>
    <xdr:to>
      <xdr:col>68</xdr:col>
      <xdr:colOff>140226</xdr:colOff>
      <xdr:row>76</xdr:row>
      <xdr:rowOff>117929</xdr:rowOff>
    </xdr:to>
    <xdr:grpSp>
      <xdr:nvGrpSpPr>
        <xdr:cNvPr id="5854" name="Group 5853">
          <a:extLst>
            <a:ext uri="{FF2B5EF4-FFF2-40B4-BE49-F238E27FC236}">
              <a16:creationId xmlns:a16="http://schemas.microsoft.com/office/drawing/2014/main" id="{385B7CBE-A605-BD76-E7AC-55D7F363F401}"/>
            </a:ext>
          </a:extLst>
        </xdr:cNvPr>
        <xdr:cNvGrpSpPr/>
      </xdr:nvGrpSpPr>
      <xdr:grpSpPr>
        <a:xfrm>
          <a:off x="23207688" y="110401"/>
          <a:ext cx="16164955" cy="11268195"/>
          <a:chOff x="23207688" y="110401"/>
          <a:chExt cx="16164955" cy="11268195"/>
        </a:xfrm>
      </xdr:grpSpPr>
      <xdr:grpSp>
        <xdr:nvGrpSpPr>
          <xdr:cNvPr id="6009" name="Group 6008">
            <a:extLst>
              <a:ext uri="{FF2B5EF4-FFF2-40B4-BE49-F238E27FC236}">
                <a16:creationId xmlns:a16="http://schemas.microsoft.com/office/drawing/2014/main" id="{00000000-0008-0000-0800-000079170000}"/>
              </a:ext>
            </a:extLst>
          </xdr:cNvPr>
          <xdr:cNvGrpSpPr/>
        </xdr:nvGrpSpPr>
        <xdr:grpSpPr>
          <a:xfrm>
            <a:off x="23254129" y="5642435"/>
            <a:ext cx="7356407" cy="2595945"/>
            <a:chOff x="23311726" y="5529611"/>
            <a:chExt cx="7379213" cy="2543002"/>
          </a:xfrm>
        </xdr:grpSpPr>
        <xdr:sp macro="" textlink="">
          <xdr:nvSpPr>
            <xdr:cNvPr id="5354" name="Rectangle: Rounded Corners 5353">
              <a:extLst>
                <a:ext uri="{FF2B5EF4-FFF2-40B4-BE49-F238E27FC236}">
                  <a16:creationId xmlns:a16="http://schemas.microsoft.com/office/drawing/2014/main" id="{00000000-0008-0000-0800-0000EA140000}"/>
                </a:ext>
              </a:extLst>
            </xdr:cNvPr>
            <xdr:cNvSpPr/>
          </xdr:nvSpPr>
          <xdr:spPr>
            <a:xfrm>
              <a:off x="23311726" y="5529611"/>
              <a:ext cx="7379213" cy="2543002"/>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355" name="Chart 5354">
              <a:extLst>
                <a:ext uri="{FF2B5EF4-FFF2-40B4-BE49-F238E27FC236}">
                  <a16:creationId xmlns:a16="http://schemas.microsoft.com/office/drawing/2014/main" id="{00000000-0008-0000-0800-0000EB140000}"/>
                </a:ext>
              </a:extLst>
            </xdr:cNvPr>
            <xdr:cNvGraphicFramePr>
              <a:graphicFrameLocks/>
            </xdr:cNvGraphicFramePr>
          </xdr:nvGraphicFramePr>
          <xdr:xfrm>
            <a:off x="23539372" y="5859408"/>
            <a:ext cx="5115431" cy="2052036"/>
          </xdr:xfrm>
          <a:graphic>
            <a:graphicData uri="http://schemas.openxmlformats.org/drawingml/2006/chart">
              <c:chart xmlns:c="http://schemas.openxmlformats.org/drawingml/2006/chart" xmlns:r="http://schemas.openxmlformats.org/officeDocument/2006/relationships" r:id="rId96"/>
            </a:graphicData>
          </a:graphic>
        </xdr:graphicFrame>
        <mc:AlternateContent xmlns:mc="http://schemas.openxmlformats.org/markup-compatibility/2006" xmlns:a14="http://schemas.microsoft.com/office/drawing/2010/main">
          <mc:Choice Requires="a14">
            <xdr:graphicFrame macro="">
              <xdr:nvGraphicFramePr>
                <xdr:cNvPr id="5369" name="Mois (Quarter) 4">
                  <a:extLst>
                    <a:ext uri="{FF2B5EF4-FFF2-40B4-BE49-F238E27FC236}">
                      <a16:creationId xmlns:a16="http://schemas.microsoft.com/office/drawing/2014/main" id="{00000000-0008-0000-0800-0000F9140000}"/>
                    </a:ext>
                  </a:extLst>
                </xdr:cNvPr>
                <xdr:cNvGraphicFramePr/>
              </xdr:nvGraphicFramePr>
              <xdr:xfrm>
                <a:off x="25198723" y="5584215"/>
                <a:ext cx="3085434" cy="380749"/>
              </xdr:xfrm>
              <a:graphic>
                <a:graphicData uri="http://schemas.microsoft.com/office/drawing/2010/slicer">
                  <sle:slicer xmlns:sle="http://schemas.microsoft.com/office/drawing/2010/slicer" name="Mois (Quarter) 4"/>
                </a:graphicData>
              </a:graphic>
            </xdr:graphicFrame>
          </mc:Choice>
          <mc:Fallback xmlns="">
            <xdr:sp macro="" textlink="">
              <xdr:nvSpPr>
                <xdr:cNvPr id="0" name=""/>
                <xdr:cNvSpPr>
                  <a:spLocks noTextEdit="1"/>
                </xdr:cNvSpPr>
              </xdr:nvSpPr>
              <xdr:spPr>
                <a:xfrm>
                  <a:off x="25135294" y="5698176"/>
                  <a:ext cx="3075898" cy="38867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370" name="Année 11">
                  <a:extLst>
                    <a:ext uri="{FF2B5EF4-FFF2-40B4-BE49-F238E27FC236}">
                      <a16:creationId xmlns:a16="http://schemas.microsoft.com/office/drawing/2014/main" id="{00000000-0008-0000-0800-0000FA140000}"/>
                    </a:ext>
                  </a:extLst>
                </xdr:cNvPr>
                <xdr:cNvGraphicFramePr/>
              </xdr:nvGraphicFramePr>
              <xdr:xfrm>
                <a:off x="23789073" y="5592507"/>
                <a:ext cx="1453077" cy="321775"/>
              </xdr:xfrm>
              <a:graphic>
                <a:graphicData uri="http://schemas.microsoft.com/office/drawing/2010/slicer">
                  <sle:slicer xmlns:sle="http://schemas.microsoft.com/office/drawing/2010/slicer" name="Année 11"/>
                </a:graphicData>
              </a:graphic>
            </xdr:graphicFrame>
          </mc:Choice>
          <mc:Fallback xmlns="">
            <xdr:sp macro="" textlink="">
              <xdr:nvSpPr>
                <xdr:cNvPr id="0" name=""/>
                <xdr:cNvSpPr>
                  <a:spLocks noTextEdit="1"/>
                </xdr:cNvSpPr>
              </xdr:nvSpPr>
              <xdr:spPr>
                <a:xfrm>
                  <a:off x="23730001" y="5706640"/>
                  <a:ext cx="1448586" cy="32847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374" name="Cat_3 6">
                  <a:extLst>
                    <a:ext uri="{FF2B5EF4-FFF2-40B4-BE49-F238E27FC236}">
                      <a16:creationId xmlns:a16="http://schemas.microsoft.com/office/drawing/2014/main" id="{00000000-0008-0000-0800-0000FE140000}"/>
                    </a:ext>
                  </a:extLst>
                </xdr:cNvPr>
                <xdr:cNvGraphicFramePr/>
              </xdr:nvGraphicFramePr>
              <xdr:xfrm>
                <a:off x="28654803" y="5933825"/>
                <a:ext cx="1840926" cy="2049229"/>
              </xdr:xfrm>
              <a:graphic>
                <a:graphicData uri="http://schemas.microsoft.com/office/drawing/2010/slicer">
                  <sle:slicer xmlns:sle="http://schemas.microsoft.com/office/drawing/2010/slicer" name="Cat_3 6"/>
                </a:graphicData>
              </a:graphic>
            </xdr:graphicFrame>
          </mc:Choice>
          <mc:Fallback xmlns="">
            <xdr:sp macro="" textlink="">
              <xdr:nvSpPr>
                <xdr:cNvPr id="0" name=""/>
                <xdr:cNvSpPr>
                  <a:spLocks noTextEdit="1"/>
                </xdr:cNvSpPr>
              </xdr:nvSpPr>
              <xdr:spPr>
                <a:xfrm>
                  <a:off x="28580693" y="6055064"/>
                  <a:ext cx="1835236" cy="20918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ControlChart_Budget1!ES30">
          <xdr:nvSpPr>
            <xdr:cNvPr id="5403" name="Rectangle 5402">
              <a:extLst>
                <a:ext uri="{FF2B5EF4-FFF2-40B4-BE49-F238E27FC236}">
                  <a16:creationId xmlns:a16="http://schemas.microsoft.com/office/drawing/2014/main" id="{00000000-0008-0000-0800-00001B150000}"/>
                </a:ext>
              </a:extLst>
            </xdr:cNvPr>
            <xdr:cNvSpPr/>
          </xdr:nvSpPr>
          <xdr:spPr>
            <a:xfrm>
              <a:off x="28008609" y="5674030"/>
              <a:ext cx="852281" cy="18206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FA43780-B20B-4537-8978-F56981376EBD}" type="TxLink">
                <a:rPr lang="en-US" sz="1200" b="0" i="0" u="none" strike="noStrike" kern="1200">
                  <a:solidFill>
                    <a:srgbClr val="A9FEFB"/>
                  </a:solidFill>
                  <a:latin typeface="Aptos Narrow" panose="020B0004020202020204" pitchFamily="34" charset="0"/>
                  <a:cs typeface="Arial"/>
                </a:rPr>
                <a:pPr algn="r"/>
                <a:t> 0 $</a:t>
              </a:fld>
              <a:endParaRPr lang="fr-CA" sz="1200" kern="1200">
                <a:solidFill>
                  <a:srgbClr val="A9FEFB"/>
                </a:solidFill>
                <a:latin typeface="Aptos Narrow" panose="020B0004020202020204" pitchFamily="34" charset="0"/>
              </a:endParaRPr>
            </a:p>
          </xdr:txBody>
        </xdr:sp>
        <xdr:sp macro="" textlink="ControlChart_Budget1!ET30">
          <xdr:nvSpPr>
            <xdr:cNvPr id="5404" name="Rectangle 5403">
              <a:extLst>
                <a:ext uri="{FF2B5EF4-FFF2-40B4-BE49-F238E27FC236}">
                  <a16:creationId xmlns:a16="http://schemas.microsoft.com/office/drawing/2014/main" id="{00000000-0008-0000-0800-00001C150000}"/>
                </a:ext>
              </a:extLst>
            </xdr:cNvPr>
            <xdr:cNvSpPr/>
          </xdr:nvSpPr>
          <xdr:spPr>
            <a:xfrm>
              <a:off x="28818276" y="5682796"/>
              <a:ext cx="852281" cy="1645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88BC5AC-08D8-4E4D-AE5F-90A59F6BD760}" type="TxLink">
                <a:rPr lang="en-US" sz="1200" b="0" i="0" u="none" strike="noStrike" kern="1200">
                  <a:solidFill>
                    <a:srgbClr val="FA6148"/>
                  </a:solidFill>
                  <a:latin typeface="Aptos Narrow" panose="020B0004020202020204" pitchFamily="34" charset="0"/>
                  <a:cs typeface="Arial"/>
                </a:rPr>
                <a:pPr algn="ctr"/>
                <a:t> 0 $</a:t>
              </a:fld>
              <a:endParaRPr lang="fr-CA" sz="1200" kern="1200">
                <a:solidFill>
                  <a:srgbClr val="FA6148"/>
                </a:solidFill>
                <a:latin typeface="Aptos Narrow" panose="020B0004020202020204" pitchFamily="34" charset="0"/>
              </a:endParaRPr>
            </a:p>
          </xdr:txBody>
        </xdr:sp>
        <xdr:sp macro="" textlink="ControlChart_Budget1!EU30">
          <xdr:nvSpPr>
            <xdr:cNvPr id="5405" name="Rectangle 5404">
              <a:extLst>
                <a:ext uri="{FF2B5EF4-FFF2-40B4-BE49-F238E27FC236}">
                  <a16:creationId xmlns:a16="http://schemas.microsoft.com/office/drawing/2014/main" id="{00000000-0008-0000-0800-00001D150000}"/>
                </a:ext>
              </a:extLst>
            </xdr:cNvPr>
            <xdr:cNvSpPr/>
          </xdr:nvSpPr>
          <xdr:spPr>
            <a:xfrm>
              <a:off x="29636465" y="5661218"/>
              <a:ext cx="907679" cy="2076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D140F93-3A98-4185-AD79-D02BD19DA258}" type="TxLink">
                <a:rPr lang="en-US" sz="1200" b="0" i="0" u="none" strike="noStrike" kern="1200">
                  <a:solidFill>
                    <a:schemeClr val="tx1">
                      <a:lumMod val="65000"/>
                      <a:lumOff val="35000"/>
                    </a:schemeClr>
                  </a:solidFill>
                  <a:latin typeface="Aptos Narrow" panose="020B0004020202020204" pitchFamily="34" charset="0"/>
                  <a:cs typeface="Arial"/>
                </a:rPr>
                <a:pPr algn="l"/>
                <a:t> 0 $</a:t>
              </a:fld>
              <a:endParaRPr lang="fr-CA" sz="1200" kern="1200">
                <a:solidFill>
                  <a:schemeClr val="tx1">
                    <a:lumMod val="65000"/>
                    <a:lumOff val="35000"/>
                  </a:schemeClr>
                </a:solidFill>
                <a:latin typeface="Aptos Narrow" panose="020B0004020202020204" pitchFamily="34" charset="0"/>
              </a:endParaRPr>
            </a:p>
          </xdr:txBody>
        </xdr:sp>
      </xdr:grpSp>
      <xdr:grpSp>
        <xdr:nvGrpSpPr>
          <xdr:cNvPr id="6010" name="Group 6009">
            <a:extLst>
              <a:ext uri="{FF2B5EF4-FFF2-40B4-BE49-F238E27FC236}">
                <a16:creationId xmlns:a16="http://schemas.microsoft.com/office/drawing/2014/main" id="{00000000-0008-0000-0800-00007A170000}"/>
              </a:ext>
            </a:extLst>
          </xdr:cNvPr>
          <xdr:cNvGrpSpPr/>
        </xdr:nvGrpSpPr>
        <xdr:grpSpPr>
          <a:xfrm>
            <a:off x="23207688" y="8378044"/>
            <a:ext cx="7423307" cy="3000552"/>
            <a:chOff x="23265144" y="8209429"/>
            <a:chExt cx="7446322" cy="2939357"/>
          </a:xfrm>
        </xdr:grpSpPr>
        <xdr:sp macro="" textlink="">
          <xdr:nvSpPr>
            <xdr:cNvPr id="5341" name="Rectangle: Rounded Corners 5340">
              <a:extLst>
                <a:ext uri="{FF2B5EF4-FFF2-40B4-BE49-F238E27FC236}">
                  <a16:creationId xmlns:a16="http://schemas.microsoft.com/office/drawing/2014/main" id="{00000000-0008-0000-0800-0000DD140000}"/>
                </a:ext>
              </a:extLst>
            </xdr:cNvPr>
            <xdr:cNvSpPr/>
          </xdr:nvSpPr>
          <xdr:spPr>
            <a:xfrm>
              <a:off x="23265144" y="8209429"/>
              <a:ext cx="7446322" cy="2939357"/>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340" name="Papillon1">
              <a:extLst>
                <a:ext uri="{FF2B5EF4-FFF2-40B4-BE49-F238E27FC236}">
                  <a16:creationId xmlns:a16="http://schemas.microsoft.com/office/drawing/2014/main" id="{00000000-0008-0000-0800-0000DC140000}"/>
                </a:ext>
              </a:extLst>
            </xdr:cNvPr>
            <xdr:cNvGraphicFramePr>
              <a:graphicFrameLocks/>
            </xdr:cNvGraphicFramePr>
          </xdr:nvGraphicFramePr>
          <xdr:xfrm>
            <a:off x="23574579" y="8679841"/>
            <a:ext cx="5644711" cy="2414504"/>
          </xdr:xfrm>
          <a:graphic>
            <a:graphicData uri="http://schemas.openxmlformats.org/drawingml/2006/chart">
              <c:chart xmlns:c="http://schemas.openxmlformats.org/drawingml/2006/chart" xmlns:r="http://schemas.openxmlformats.org/officeDocument/2006/relationships" r:id="rId97"/>
            </a:graphicData>
          </a:graphic>
        </xdr:graphicFrame>
        <mc:AlternateContent xmlns:mc="http://schemas.openxmlformats.org/markup-compatibility/2006" xmlns:a14="http://schemas.microsoft.com/office/drawing/2010/main">
          <mc:Choice Requires="a14">
            <xdr:graphicFrame macro="">
              <xdr:nvGraphicFramePr>
                <xdr:cNvPr id="5371" name="Mois (Quarter) 5">
                  <a:extLst>
                    <a:ext uri="{FF2B5EF4-FFF2-40B4-BE49-F238E27FC236}">
                      <a16:creationId xmlns:a16="http://schemas.microsoft.com/office/drawing/2014/main" id="{00000000-0008-0000-0800-0000FB140000}"/>
                    </a:ext>
                  </a:extLst>
                </xdr:cNvPr>
                <xdr:cNvGraphicFramePr/>
              </xdr:nvGraphicFramePr>
              <xdr:xfrm>
                <a:off x="25807930" y="10753418"/>
                <a:ext cx="3087352" cy="331682"/>
              </xdr:xfrm>
              <a:graphic>
                <a:graphicData uri="http://schemas.microsoft.com/office/drawing/2010/slicer">
                  <sle:slicer xmlns:sle="http://schemas.microsoft.com/office/drawing/2010/slicer" name="Mois (Quarter) 5"/>
                </a:graphicData>
              </a:graphic>
            </xdr:graphicFrame>
          </mc:Choice>
          <mc:Fallback xmlns="">
            <xdr:sp macro="" textlink="">
              <xdr:nvSpPr>
                <xdr:cNvPr id="0" name=""/>
                <xdr:cNvSpPr>
                  <a:spLocks noTextEdit="1"/>
                </xdr:cNvSpPr>
              </xdr:nvSpPr>
              <xdr:spPr>
                <a:xfrm>
                  <a:off x="25742615" y="10974997"/>
                  <a:ext cx="3077810" cy="33858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372" name="Année 12">
                  <a:extLst>
                    <a:ext uri="{FF2B5EF4-FFF2-40B4-BE49-F238E27FC236}">
                      <a16:creationId xmlns:a16="http://schemas.microsoft.com/office/drawing/2014/main" id="{00000000-0008-0000-0800-0000FC140000}"/>
                    </a:ext>
                  </a:extLst>
                </xdr:cNvPr>
                <xdr:cNvGraphicFramePr/>
              </xdr:nvGraphicFramePr>
              <xdr:xfrm>
                <a:off x="24006609" y="10746585"/>
                <a:ext cx="1848163" cy="338515"/>
              </xdr:xfrm>
              <a:graphic>
                <a:graphicData uri="http://schemas.microsoft.com/office/drawing/2010/slicer">
                  <sle:slicer xmlns:sle="http://schemas.microsoft.com/office/drawing/2010/slicer" name="Année 12"/>
                </a:graphicData>
              </a:graphic>
            </xdr:graphicFrame>
          </mc:Choice>
          <mc:Fallback xmlns="">
            <xdr:sp macro="" textlink="">
              <xdr:nvSpPr>
                <xdr:cNvPr id="0" name=""/>
                <xdr:cNvSpPr>
                  <a:spLocks noTextEdit="1"/>
                </xdr:cNvSpPr>
              </xdr:nvSpPr>
              <xdr:spPr>
                <a:xfrm>
                  <a:off x="23946861" y="10968022"/>
                  <a:ext cx="1842451" cy="34556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375" name="Cat_2">
                  <a:extLst>
                    <a:ext uri="{FF2B5EF4-FFF2-40B4-BE49-F238E27FC236}">
                      <a16:creationId xmlns:a16="http://schemas.microsoft.com/office/drawing/2014/main" id="{00000000-0008-0000-0800-0000FF140000}"/>
                    </a:ext>
                  </a:extLst>
                </xdr:cNvPr>
                <xdr:cNvGraphicFramePr/>
              </xdr:nvGraphicFramePr>
              <xdr:xfrm>
                <a:off x="29251956" y="8720195"/>
                <a:ext cx="1286324" cy="2045286"/>
              </xdr:xfrm>
              <a:graphic>
                <a:graphicData uri="http://schemas.microsoft.com/office/drawing/2010/slicer">
                  <sle:slicer xmlns:sle="http://schemas.microsoft.com/office/drawing/2010/slicer" name="Cat_2"/>
                </a:graphicData>
              </a:graphic>
            </xdr:graphicFrame>
          </mc:Choice>
          <mc:Fallback xmlns="">
            <xdr:sp macro="" textlink="">
              <xdr:nvSpPr>
                <xdr:cNvPr id="0" name=""/>
                <xdr:cNvSpPr>
                  <a:spLocks noTextEdit="1"/>
                </xdr:cNvSpPr>
              </xdr:nvSpPr>
              <xdr:spPr>
                <a:xfrm>
                  <a:off x="29175996" y="8899444"/>
                  <a:ext cx="1282348" cy="208786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sp macro="" textlink="">
              <xdr:nvSpPr>
                <xdr:cNvPr id="5434" name="B1MED" hidden="1">
                  <a:extLst>
                    <a:ext uri="{63B3BB69-23CF-44E3-9099-C40C66FF867C}">
                      <a14:compatExt spid="_x0000_s5144"/>
                    </a:ext>
                    <a:ext uri="{FF2B5EF4-FFF2-40B4-BE49-F238E27FC236}">
                      <a16:creationId xmlns:a16="http://schemas.microsoft.com/office/drawing/2014/main" id="{00000000-0008-0000-0800-00003A150000}"/>
                    </a:ext>
                  </a:extLst>
                </xdr:cNvPr>
                <xdr:cNvSpPr/>
              </xdr:nvSpPr>
              <xdr:spPr bwMode="auto">
                <a:xfrm>
                  <a:off x="24144991" y="8291233"/>
                  <a:ext cx="1351109" cy="19162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43" name="B1MEP" hidden="1">
                  <a:extLst>
                    <a:ext uri="{63B3BB69-23CF-44E3-9099-C40C66FF867C}">
                      <a14:compatExt spid="_x0000_s5143"/>
                    </a:ext>
                    <a:ext uri="{FF2B5EF4-FFF2-40B4-BE49-F238E27FC236}">
                      <a16:creationId xmlns:a16="http://schemas.microsoft.com/office/drawing/2014/main" id="{00000000-0008-0000-0800-000017140000}"/>
                    </a:ext>
                  </a:extLst>
                </xdr:cNvPr>
                <xdr:cNvSpPr/>
              </xdr:nvSpPr>
              <xdr:spPr bwMode="auto">
                <a:xfrm>
                  <a:off x="24147834" y="8507270"/>
                  <a:ext cx="1014845" cy="1870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423" name="B1LMD" hidden="1">
                  <a:extLst>
                    <a:ext uri="{63B3BB69-23CF-44E3-9099-C40C66FF867C}">
                      <a14:compatExt spid="_x0000_s5147"/>
                    </a:ext>
                    <a:ext uri="{FF2B5EF4-FFF2-40B4-BE49-F238E27FC236}">
                      <a16:creationId xmlns:a16="http://schemas.microsoft.com/office/drawing/2014/main" id="{00000000-0008-0000-0800-00002F150000}"/>
                    </a:ext>
                  </a:extLst>
                </xdr:cNvPr>
                <xdr:cNvSpPr/>
              </xdr:nvSpPr>
              <xdr:spPr bwMode="auto">
                <a:xfrm>
                  <a:off x="27352266" y="8290558"/>
                  <a:ext cx="1392375" cy="17156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429" name="B1LMP" hidden="1">
                  <a:extLst>
                    <a:ext uri="{63B3BB69-23CF-44E3-9099-C40C66FF867C}">
                      <a14:compatExt spid="_x0000_s5145"/>
                    </a:ext>
                    <a:ext uri="{FF2B5EF4-FFF2-40B4-BE49-F238E27FC236}">
                      <a16:creationId xmlns:a16="http://schemas.microsoft.com/office/drawing/2014/main" id="{00000000-0008-0000-0800-000035150000}"/>
                    </a:ext>
                  </a:extLst>
                </xdr:cNvPr>
                <xdr:cNvSpPr/>
              </xdr:nvSpPr>
              <xdr:spPr bwMode="auto">
                <a:xfrm>
                  <a:off x="27343030" y="8493136"/>
                  <a:ext cx="1015555" cy="185751"/>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6008" name="Group 6007">
            <a:extLst>
              <a:ext uri="{FF2B5EF4-FFF2-40B4-BE49-F238E27FC236}">
                <a16:creationId xmlns:a16="http://schemas.microsoft.com/office/drawing/2014/main" id="{00000000-0008-0000-0800-000078170000}"/>
              </a:ext>
            </a:extLst>
          </xdr:cNvPr>
          <xdr:cNvGrpSpPr/>
        </xdr:nvGrpSpPr>
        <xdr:grpSpPr>
          <a:xfrm>
            <a:off x="23253398" y="2875462"/>
            <a:ext cx="7362364" cy="2596554"/>
            <a:chOff x="23310993" y="2819070"/>
            <a:chExt cx="7385189" cy="2543599"/>
          </a:xfrm>
        </xdr:grpSpPr>
        <xdr:sp macro="" textlink="">
          <xdr:nvSpPr>
            <xdr:cNvPr id="5351" name="Rectangle: Rounded Corners 5350">
              <a:extLst>
                <a:ext uri="{FF2B5EF4-FFF2-40B4-BE49-F238E27FC236}">
                  <a16:creationId xmlns:a16="http://schemas.microsoft.com/office/drawing/2014/main" id="{00000000-0008-0000-0800-0000E7140000}"/>
                </a:ext>
              </a:extLst>
            </xdr:cNvPr>
            <xdr:cNvSpPr/>
          </xdr:nvSpPr>
          <xdr:spPr>
            <a:xfrm>
              <a:off x="23310993" y="2819070"/>
              <a:ext cx="7385189" cy="2543599"/>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350" name="Chart 5349">
              <a:extLst>
                <a:ext uri="{FF2B5EF4-FFF2-40B4-BE49-F238E27FC236}">
                  <a16:creationId xmlns:a16="http://schemas.microsoft.com/office/drawing/2014/main" id="{00000000-0008-0000-0800-0000E6140000}"/>
                </a:ext>
              </a:extLst>
            </xdr:cNvPr>
            <xdr:cNvGraphicFramePr>
              <a:graphicFrameLocks/>
            </xdr:cNvGraphicFramePr>
          </xdr:nvGraphicFramePr>
          <xdr:xfrm>
            <a:off x="23519550" y="3148656"/>
            <a:ext cx="5128488" cy="2091193"/>
          </xdr:xfrm>
          <a:graphic>
            <a:graphicData uri="http://schemas.openxmlformats.org/drawingml/2006/chart">
              <c:chart xmlns:c="http://schemas.openxmlformats.org/drawingml/2006/chart" xmlns:r="http://schemas.openxmlformats.org/officeDocument/2006/relationships" r:id="rId98"/>
            </a:graphicData>
          </a:graphic>
        </xdr:graphicFrame>
        <mc:AlternateContent xmlns:mc="http://schemas.openxmlformats.org/markup-compatibility/2006" xmlns:a14="http://schemas.microsoft.com/office/drawing/2010/main">
          <mc:Choice Requires="a14">
            <xdr:graphicFrame macro="">
              <xdr:nvGraphicFramePr>
                <xdr:cNvPr id="5365" name="Mois (Quarter) 2">
                  <a:extLst>
                    <a:ext uri="{FF2B5EF4-FFF2-40B4-BE49-F238E27FC236}">
                      <a16:creationId xmlns:a16="http://schemas.microsoft.com/office/drawing/2014/main" id="{00000000-0008-0000-0800-0000F5140000}"/>
                    </a:ext>
                  </a:extLst>
                </xdr:cNvPr>
                <xdr:cNvGraphicFramePr/>
              </xdr:nvGraphicFramePr>
              <xdr:xfrm>
                <a:off x="25130593" y="2880252"/>
                <a:ext cx="3087933" cy="350847"/>
              </xdr:xfrm>
              <a:graphic>
                <a:graphicData uri="http://schemas.microsoft.com/office/drawing/2010/slicer">
                  <sle:slicer xmlns:sle="http://schemas.microsoft.com/office/drawing/2010/slicer" name="Mois (Quarter) 2"/>
                </a:graphicData>
              </a:graphic>
            </xdr:graphicFrame>
          </mc:Choice>
          <mc:Fallback xmlns="">
            <xdr:sp macro="" textlink="">
              <xdr:nvSpPr>
                <xdr:cNvPr id="0" name=""/>
                <xdr:cNvSpPr>
                  <a:spLocks noTextEdit="1"/>
                </xdr:cNvSpPr>
              </xdr:nvSpPr>
              <xdr:spPr>
                <a:xfrm>
                  <a:off x="25067374" y="2937918"/>
                  <a:ext cx="3078389" cy="35815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366" name="Année 9">
                  <a:extLst>
                    <a:ext uri="{FF2B5EF4-FFF2-40B4-BE49-F238E27FC236}">
                      <a16:creationId xmlns:a16="http://schemas.microsoft.com/office/drawing/2014/main" id="{00000000-0008-0000-0800-0000F6140000}"/>
                    </a:ext>
                  </a:extLst>
                </xdr:cNvPr>
                <xdr:cNvGraphicFramePr/>
              </xdr:nvGraphicFramePr>
              <xdr:xfrm>
                <a:off x="23724754" y="2884520"/>
                <a:ext cx="1460723" cy="324646"/>
              </xdr:xfrm>
              <a:graphic>
                <a:graphicData uri="http://schemas.microsoft.com/office/drawing/2010/slicer">
                  <sle:slicer xmlns:sle="http://schemas.microsoft.com/office/drawing/2010/slicer" name="Année 9"/>
                </a:graphicData>
              </a:graphic>
            </xdr:graphicFrame>
          </mc:Choice>
          <mc:Fallback xmlns="">
            <xdr:sp macro="" textlink="">
              <xdr:nvSpPr>
                <xdr:cNvPr id="0" name=""/>
                <xdr:cNvSpPr>
                  <a:spLocks noTextEdit="1"/>
                </xdr:cNvSpPr>
              </xdr:nvSpPr>
              <xdr:spPr>
                <a:xfrm>
                  <a:off x="23665880" y="2942275"/>
                  <a:ext cx="1456208" cy="33140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373" name="Cat_3 5">
                  <a:extLst>
                    <a:ext uri="{FF2B5EF4-FFF2-40B4-BE49-F238E27FC236}">
                      <a16:creationId xmlns:a16="http://schemas.microsoft.com/office/drawing/2014/main" id="{00000000-0008-0000-0800-0000FD140000}"/>
                    </a:ext>
                  </a:extLst>
                </xdr:cNvPr>
                <xdr:cNvGraphicFramePr/>
              </xdr:nvGraphicFramePr>
              <xdr:xfrm>
                <a:off x="28735164" y="3202633"/>
                <a:ext cx="1765650" cy="2048770"/>
              </xdr:xfrm>
              <a:graphic>
                <a:graphicData uri="http://schemas.microsoft.com/office/drawing/2010/slicer">
                  <sle:slicer xmlns:sle="http://schemas.microsoft.com/office/drawing/2010/slicer" name="Cat_3 5"/>
                </a:graphicData>
              </a:graphic>
            </xdr:graphicFrame>
          </mc:Choice>
          <mc:Fallback xmlns="">
            <xdr:sp macro="" textlink="">
              <xdr:nvSpPr>
                <xdr:cNvPr id="0" name=""/>
                <xdr:cNvSpPr>
                  <a:spLocks noTextEdit="1"/>
                </xdr:cNvSpPr>
              </xdr:nvSpPr>
              <xdr:spPr>
                <a:xfrm>
                  <a:off x="28660805" y="3267010"/>
                  <a:ext cx="1760193" cy="209142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ControlChart_Budget1!ES15">
          <xdr:nvSpPr>
            <xdr:cNvPr id="5400" name="Rectangle 5399">
              <a:extLst>
                <a:ext uri="{FF2B5EF4-FFF2-40B4-BE49-F238E27FC236}">
                  <a16:creationId xmlns:a16="http://schemas.microsoft.com/office/drawing/2014/main" id="{00000000-0008-0000-0800-000018150000}"/>
                </a:ext>
              </a:extLst>
            </xdr:cNvPr>
            <xdr:cNvSpPr/>
          </xdr:nvSpPr>
          <xdr:spPr>
            <a:xfrm>
              <a:off x="27978984" y="2951288"/>
              <a:ext cx="852971" cy="18202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804F3D5B-3EDB-493C-98D0-A2F65779ED0C}" type="TxLink">
                <a:rPr lang="en-US" sz="1200" b="0" i="0" u="none" strike="noStrike" kern="1200">
                  <a:solidFill>
                    <a:srgbClr val="A9FEFB"/>
                  </a:solidFill>
                  <a:latin typeface="Aptos Narrow" panose="020B0004020202020204" pitchFamily="34" charset="0"/>
                  <a:cs typeface="Arial"/>
                </a:rPr>
                <a:pPr algn="r"/>
                <a:t> 0 $</a:t>
              </a:fld>
              <a:endParaRPr lang="fr-CA" sz="1200" kern="1200">
                <a:solidFill>
                  <a:srgbClr val="A9FEFB"/>
                </a:solidFill>
                <a:latin typeface="Aptos Narrow" panose="020B0004020202020204" pitchFamily="34" charset="0"/>
              </a:endParaRPr>
            </a:p>
          </xdr:txBody>
        </xdr:sp>
        <xdr:sp macro="" textlink="ControlChart_Budget1!ET15">
          <xdr:nvSpPr>
            <xdr:cNvPr id="5401" name="Rectangle 5400">
              <a:extLst>
                <a:ext uri="{FF2B5EF4-FFF2-40B4-BE49-F238E27FC236}">
                  <a16:creationId xmlns:a16="http://schemas.microsoft.com/office/drawing/2014/main" id="{00000000-0008-0000-0800-000019150000}"/>
                </a:ext>
              </a:extLst>
            </xdr:cNvPr>
            <xdr:cNvSpPr/>
          </xdr:nvSpPr>
          <xdr:spPr>
            <a:xfrm>
              <a:off x="28789306" y="2960053"/>
              <a:ext cx="852971" cy="1644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F1CB73E-C6B2-44B6-B832-B1D070984B27}" type="TxLink">
                <a:rPr lang="en-US" sz="1200" b="0" i="0" u="none" strike="noStrike" kern="1200">
                  <a:solidFill>
                    <a:srgbClr val="FA6148"/>
                  </a:solidFill>
                  <a:latin typeface="Aptos Narrow" panose="020B0004020202020204" pitchFamily="34" charset="0"/>
                  <a:cs typeface="Arial"/>
                </a:rPr>
                <a:pPr algn="ctr"/>
                <a:t> 0 $</a:t>
              </a:fld>
              <a:endParaRPr lang="fr-CA" sz="1200" kern="1200">
                <a:solidFill>
                  <a:srgbClr val="FA6148"/>
                </a:solidFill>
                <a:latin typeface="Aptos Narrow" panose="020B0004020202020204" pitchFamily="34" charset="0"/>
              </a:endParaRPr>
            </a:p>
          </xdr:txBody>
        </xdr:sp>
        <xdr:sp macro="" textlink="ControlChart_Budget1!EU15">
          <xdr:nvSpPr>
            <xdr:cNvPr id="5402" name="Rectangle 5401">
              <a:extLst>
                <a:ext uri="{FF2B5EF4-FFF2-40B4-BE49-F238E27FC236}">
                  <a16:creationId xmlns:a16="http://schemas.microsoft.com/office/drawing/2014/main" id="{00000000-0008-0000-0800-00001A150000}"/>
                </a:ext>
              </a:extLst>
            </xdr:cNvPr>
            <xdr:cNvSpPr/>
          </xdr:nvSpPr>
          <xdr:spPr>
            <a:xfrm>
              <a:off x="29608158" y="2938479"/>
              <a:ext cx="908414" cy="20764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F20C7EDA-EE6D-4B08-A7E4-770E8FD81FA3}" type="TxLink">
                <a:rPr lang="en-US" sz="1200" b="0" i="0" u="none" strike="noStrike" kern="1200">
                  <a:solidFill>
                    <a:schemeClr val="tx1">
                      <a:lumMod val="65000"/>
                      <a:lumOff val="35000"/>
                    </a:schemeClr>
                  </a:solidFill>
                  <a:latin typeface="Aptos Narrow" panose="020B0004020202020204" pitchFamily="34" charset="0"/>
                  <a:cs typeface="Arial"/>
                </a:rPr>
                <a:pPr algn="l"/>
                <a:t> 0 $</a:t>
              </a:fld>
              <a:endParaRPr lang="fr-CA" sz="1200" kern="1200">
                <a:solidFill>
                  <a:schemeClr val="tx1">
                    <a:lumMod val="65000"/>
                    <a:lumOff val="35000"/>
                  </a:schemeClr>
                </a:solidFill>
                <a:latin typeface="Aptos Narrow" panose="020B0004020202020204" pitchFamily="34" charset="0"/>
              </a:endParaRPr>
            </a:p>
          </xdr:txBody>
        </xdr:sp>
      </xdr:grpSp>
      <xdr:grpSp>
        <xdr:nvGrpSpPr>
          <xdr:cNvPr id="6007" name="Group 6006">
            <a:extLst>
              <a:ext uri="{FF2B5EF4-FFF2-40B4-BE49-F238E27FC236}">
                <a16:creationId xmlns:a16="http://schemas.microsoft.com/office/drawing/2014/main" id="{00000000-0008-0000-0800-000077170000}"/>
              </a:ext>
            </a:extLst>
          </xdr:cNvPr>
          <xdr:cNvGrpSpPr/>
        </xdr:nvGrpSpPr>
        <xdr:grpSpPr>
          <a:xfrm>
            <a:off x="25302297" y="110401"/>
            <a:ext cx="5328700" cy="2652590"/>
            <a:chOff x="25366243" y="110401"/>
            <a:chExt cx="5345220" cy="2598492"/>
          </a:xfrm>
        </xdr:grpSpPr>
        <xdr:sp macro="" textlink="">
          <xdr:nvSpPr>
            <xdr:cNvPr id="5362" name="Rectangle: Rounded Corners 5361">
              <a:extLst>
                <a:ext uri="{FF2B5EF4-FFF2-40B4-BE49-F238E27FC236}">
                  <a16:creationId xmlns:a16="http://schemas.microsoft.com/office/drawing/2014/main" id="{00000000-0008-0000-0800-0000F2140000}"/>
                </a:ext>
              </a:extLst>
            </xdr:cNvPr>
            <xdr:cNvSpPr/>
          </xdr:nvSpPr>
          <xdr:spPr>
            <a:xfrm>
              <a:off x="25366243" y="110401"/>
              <a:ext cx="5345220" cy="2598492"/>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361" name="Chart 5360">
              <a:extLst>
                <a:ext uri="{FF2B5EF4-FFF2-40B4-BE49-F238E27FC236}">
                  <a16:creationId xmlns:a16="http://schemas.microsoft.com/office/drawing/2014/main" id="{00000000-0008-0000-0800-0000F1140000}"/>
                </a:ext>
              </a:extLst>
            </xdr:cNvPr>
            <xdr:cNvGraphicFramePr>
              <a:graphicFrameLocks/>
            </xdr:cNvGraphicFramePr>
          </xdr:nvGraphicFramePr>
          <xdr:xfrm>
            <a:off x="25586504" y="175203"/>
            <a:ext cx="4880427" cy="2374729"/>
          </xdr:xfrm>
          <a:graphic>
            <a:graphicData uri="http://schemas.openxmlformats.org/drawingml/2006/chart">
              <c:chart xmlns:c="http://schemas.openxmlformats.org/drawingml/2006/chart" xmlns:r="http://schemas.openxmlformats.org/officeDocument/2006/relationships" r:id="rId99"/>
            </a:graphicData>
          </a:graphic>
        </xdr:graphicFrame>
        <mc:AlternateContent xmlns:mc="http://schemas.openxmlformats.org/markup-compatibility/2006" xmlns:a14="http://schemas.microsoft.com/office/drawing/2010/main">
          <mc:Choice Requires="a14">
            <xdr:graphicFrame macro="">
              <xdr:nvGraphicFramePr>
                <xdr:cNvPr id="5485" name="Mois (Quarter) 9">
                  <a:extLst>
                    <a:ext uri="{FF2B5EF4-FFF2-40B4-BE49-F238E27FC236}">
                      <a16:creationId xmlns:a16="http://schemas.microsoft.com/office/drawing/2014/main" id="{00000000-0008-0000-0800-00006D150000}"/>
                    </a:ext>
                  </a:extLst>
                </xdr:cNvPr>
                <xdr:cNvGraphicFramePr/>
              </xdr:nvGraphicFramePr>
              <xdr:xfrm>
                <a:off x="27683281" y="127816"/>
                <a:ext cx="2543057" cy="301863"/>
              </xdr:xfrm>
              <a:graphic>
                <a:graphicData uri="http://schemas.microsoft.com/office/drawing/2010/slicer">
                  <sle:slicer xmlns:sle="http://schemas.microsoft.com/office/drawing/2010/slicer" name="Mois (Quarter) 9"/>
                </a:graphicData>
              </a:graphic>
            </xdr:graphicFrame>
          </mc:Choice>
          <mc:Fallback xmlns="">
            <xdr:sp macro="" textlink="">
              <xdr:nvSpPr>
                <xdr:cNvPr id="0" name=""/>
                <xdr:cNvSpPr>
                  <a:spLocks noTextEdit="1"/>
                </xdr:cNvSpPr>
              </xdr:nvSpPr>
              <xdr:spPr>
                <a:xfrm>
                  <a:off x="27612174" y="128179"/>
                  <a:ext cx="2535197" cy="30814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486" name="Année 16">
                  <a:extLst>
                    <a:ext uri="{FF2B5EF4-FFF2-40B4-BE49-F238E27FC236}">
                      <a16:creationId xmlns:a16="http://schemas.microsoft.com/office/drawing/2014/main" id="{00000000-0008-0000-0800-00006E150000}"/>
                    </a:ext>
                  </a:extLst>
                </xdr:cNvPr>
                <xdr:cNvGraphicFramePr/>
              </xdr:nvGraphicFramePr>
              <xdr:xfrm>
                <a:off x="25961421" y="143565"/>
                <a:ext cx="1620196" cy="325774"/>
              </xdr:xfrm>
              <a:graphic>
                <a:graphicData uri="http://schemas.microsoft.com/office/drawing/2010/slicer">
                  <sle:slicer xmlns:sle="http://schemas.microsoft.com/office/drawing/2010/slicer" name="Année 16"/>
                </a:graphicData>
              </a:graphic>
            </xdr:graphicFrame>
          </mc:Choice>
          <mc:Fallback xmlns="">
            <xdr:sp macro="" textlink="">
              <xdr:nvSpPr>
                <xdr:cNvPr id="0" name=""/>
                <xdr:cNvSpPr>
                  <a:spLocks noTextEdit="1"/>
                </xdr:cNvSpPr>
              </xdr:nvSpPr>
              <xdr:spPr>
                <a:xfrm>
                  <a:off x="25895636" y="144255"/>
                  <a:ext cx="1615189" cy="33255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384" name="Group 5383">
            <a:extLst>
              <a:ext uri="{FF2B5EF4-FFF2-40B4-BE49-F238E27FC236}">
                <a16:creationId xmlns:a16="http://schemas.microsoft.com/office/drawing/2014/main" id="{00000000-0008-0000-0800-000008150000}"/>
              </a:ext>
            </a:extLst>
          </xdr:cNvPr>
          <xdr:cNvGrpSpPr/>
        </xdr:nvGrpSpPr>
        <xdr:grpSpPr>
          <a:xfrm>
            <a:off x="23253057" y="125952"/>
            <a:ext cx="1933496" cy="2645830"/>
            <a:chOff x="23253057" y="125952"/>
            <a:chExt cx="1933496" cy="2645830"/>
          </a:xfrm>
        </xdr:grpSpPr>
        <xdr:sp macro="" textlink="">
          <xdr:nvSpPr>
            <xdr:cNvPr id="5380" name="Rectangle: Rounded Corners 5379">
              <a:extLst>
                <a:ext uri="{FF2B5EF4-FFF2-40B4-BE49-F238E27FC236}">
                  <a16:creationId xmlns:a16="http://schemas.microsoft.com/office/drawing/2014/main" id="{00000000-0008-0000-0800-000004150000}"/>
                </a:ext>
              </a:extLst>
            </xdr:cNvPr>
            <xdr:cNvSpPr/>
          </xdr:nvSpPr>
          <xdr:spPr>
            <a:xfrm>
              <a:off x="23253057" y="125952"/>
              <a:ext cx="1933496" cy="2645830"/>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mc:AlternateContent xmlns:mc="http://schemas.openxmlformats.org/markup-compatibility/2006" xmlns:a14="http://schemas.microsoft.com/office/drawing/2010/main">
          <mc:Choice Requires="a14">
            <xdr:graphicFrame macro="">
              <xdr:nvGraphicFramePr>
                <xdr:cNvPr id="5378" name="Année 13">
                  <a:extLst>
                    <a:ext uri="{FF2B5EF4-FFF2-40B4-BE49-F238E27FC236}">
                      <a16:creationId xmlns:a16="http://schemas.microsoft.com/office/drawing/2014/main" id="{00000000-0008-0000-0800-000002150000}"/>
                    </a:ext>
                  </a:extLst>
                </xdr:cNvPr>
                <xdr:cNvGraphicFramePr/>
              </xdr:nvGraphicFramePr>
              <xdr:xfrm>
                <a:off x="23314450" y="1412866"/>
                <a:ext cx="849148" cy="729965"/>
              </xdr:xfrm>
              <a:graphic>
                <a:graphicData uri="http://schemas.microsoft.com/office/drawing/2010/slicer">
                  <sle:slicer xmlns:sle="http://schemas.microsoft.com/office/drawing/2010/slicer" name="Année 13"/>
                </a:graphicData>
              </a:graphic>
            </xdr:graphicFrame>
          </mc:Choice>
          <mc:Fallback xmlns="">
            <xdr:sp macro="" textlink="">
              <xdr:nvSpPr>
                <xdr:cNvPr id="0" name=""/>
                <xdr:cNvSpPr>
                  <a:spLocks noTextEdit="1"/>
                </xdr:cNvSpPr>
              </xdr:nvSpPr>
              <xdr:spPr>
                <a:xfrm>
                  <a:off x="23314450" y="1412866"/>
                  <a:ext cx="849148" cy="72996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379" name="Mois (Quarter) 6">
                  <a:extLst>
                    <a:ext uri="{FF2B5EF4-FFF2-40B4-BE49-F238E27FC236}">
                      <a16:creationId xmlns:a16="http://schemas.microsoft.com/office/drawing/2014/main" id="{00000000-0008-0000-0800-000003150000}"/>
                    </a:ext>
                  </a:extLst>
                </xdr:cNvPr>
                <xdr:cNvGraphicFramePr/>
              </xdr:nvGraphicFramePr>
              <xdr:xfrm>
                <a:off x="24136779" y="1423497"/>
                <a:ext cx="951347" cy="1213386"/>
              </xdr:xfrm>
              <a:graphic>
                <a:graphicData uri="http://schemas.microsoft.com/office/drawing/2010/slicer">
                  <sle:slicer xmlns:sle="http://schemas.microsoft.com/office/drawing/2010/slicer" name="Mois (Quarter) 6"/>
                </a:graphicData>
              </a:graphic>
            </xdr:graphicFrame>
          </mc:Choice>
          <mc:Fallback xmlns="">
            <xdr:sp macro="" textlink="">
              <xdr:nvSpPr>
                <xdr:cNvPr id="0" name=""/>
                <xdr:cNvSpPr>
                  <a:spLocks noTextEdit="1"/>
                </xdr:cNvSpPr>
              </xdr:nvSpPr>
              <xdr:spPr>
                <a:xfrm>
                  <a:off x="24136779" y="1423497"/>
                  <a:ext cx="951347" cy="121338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Chart_Analyse.GoBudget1" textlink="">
          <xdr:nvSpPr>
            <xdr:cNvPr id="5887" name="Rectangle: Rounded Corners 5886">
              <a:extLst>
                <a:ext uri="{FF2B5EF4-FFF2-40B4-BE49-F238E27FC236}">
                  <a16:creationId xmlns:a16="http://schemas.microsoft.com/office/drawing/2014/main" id="{00000000-0008-0000-0800-0000FF160000}"/>
                </a:ext>
              </a:extLst>
            </xdr:cNvPr>
            <xdr:cNvSpPr/>
          </xdr:nvSpPr>
          <xdr:spPr>
            <a:xfrm>
              <a:off x="23615650" y="402167"/>
              <a:ext cx="1259417" cy="328083"/>
            </a:xfrm>
            <a:prstGeom prst="roundRect">
              <a:avLst>
                <a:gd name="adj" fmla="val 50000"/>
              </a:avLst>
            </a:prstGeom>
            <a:solidFill>
              <a:srgbClr val="FA614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chemeClr val="tx1"/>
                  </a:solidFill>
                  <a:latin typeface="Aptos Narrow" panose="020B0004020202020204" pitchFamily="34" charset="0"/>
                </a:rPr>
                <a:t>BUDGETIZE</a:t>
              </a:r>
              <a:endParaRPr lang="fr-CA" sz="1200" b="1" kern="1200">
                <a:solidFill>
                  <a:schemeClr val="tx1"/>
                </a:solidFill>
                <a:latin typeface="Aptos Narrow" panose="020B0004020202020204" pitchFamily="34" charset="0"/>
              </a:endParaRPr>
            </a:p>
          </xdr:txBody>
        </xdr:sp>
        <xdr:sp macro="[0]!Chart_Analyse.LaunchBudget1" textlink="">
          <xdr:nvSpPr>
            <xdr:cNvPr id="34" name="Rectangle: Rounded Corners 33">
              <a:extLst>
                <a:ext uri="{FF2B5EF4-FFF2-40B4-BE49-F238E27FC236}">
                  <a16:creationId xmlns:a16="http://schemas.microsoft.com/office/drawing/2014/main" id="{00000000-0008-0000-0800-000022000000}"/>
                </a:ext>
              </a:extLst>
            </xdr:cNvPr>
            <xdr:cNvSpPr/>
          </xdr:nvSpPr>
          <xdr:spPr>
            <a:xfrm>
              <a:off x="23615650" y="787402"/>
              <a:ext cx="1259417" cy="328083"/>
            </a:xfrm>
            <a:prstGeom prst="roundRect">
              <a:avLst>
                <a:gd name="adj" fmla="val 50000"/>
              </a:avLst>
            </a:prstGeom>
            <a:solidFill>
              <a:srgbClr val="FA614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b="1" kern="1200">
                  <a:solidFill>
                    <a:schemeClr val="tx1"/>
                  </a:solidFill>
                  <a:latin typeface="Aptos Narrow" panose="020B0004020202020204" pitchFamily="34" charset="0"/>
                </a:rPr>
                <a:t>BUDGET</a:t>
              </a:r>
              <a:r>
                <a:rPr lang="fr-CA" sz="1200" b="1" kern="1200" baseline="0">
                  <a:solidFill>
                    <a:schemeClr val="tx1"/>
                  </a:solidFill>
                  <a:latin typeface="Aptos Narrow" panose="020B0004020202020204" pitchFamily="34" charset="0"/>
                </a:rPr>
                <a:t> 1</a:t>
              </a:r>
              <a:endParaRPr lang="fr-CA" sz="1200" b="1" kern="1200">
                <a:solidFill>
                  <a:schemeClr val="tx1"/>
                </a:solidFill>
                <a:latin typeface="Aptos Narrow" panose="020B0004020202020204" pitchFamily="34" charset="0"/>
              </a:endParaRPr>
            </a:p>
          </xdr:txBody>
        </xdr:sp>
      </xdr:grpSp>
      <xdr:grpSp>
        <xdr:nvGrpSpPr>
          <xdr:cNvPr id="5829" name="Group 5828">
            <a:extLst>
              <a:ext uri="{FF2B5EF4-FFF2-40B4-BE49-F238E27FC236}">
                <a16:creationId xmlns:a16="http://schemas.microsoft.com/office/drawing/2014/main" id="{3CB2E057-6E8E-40C0-E8F7-AEA3F6AA4C0A}"/>
              </a:ext>
            </a:extLst>
          </xdr:cNvPr>
          <xdr:cNvGrpSpPr/>
        </xdr:nvGrpSpPr>
        <xdr:grpSpPr>
          <a:xfrm>
            <a:off x="30850745" y="8068259"/>
            <a:ext cx="8521898" cy="3300736"/>
            <a:chOff x="30850745" y="8068259"/>
            <a:chExt cx="8521898" cy="3300736"/>
          </a:xfrm>
        </xdr:grpSpPr>
        <xdr:sp macro="" textlink="">
          <xdr:nvSpPr>
            <xdr:cNvPr id="5155" name="Rectangle: Rounded Corners 5154">
              <a:extLst>
                <a:ext uri="{FF2B5EF4-FFF2-40B4-BE49-F238E27FC236}">
                  <a16:creationId xmlns:a16="http://schemas.microsoft.com/office/drawing/2014/main" id="{00000000-0008-0000-0800-000023140000}"/>
                </a:ext>
              </a:extLst>
            </xdr:cNvPr>
            <xdr:cNvSpPr/>
          </xdr:nvSpPr>
          <xdr:spPr>
            <a:xfrm>
              <a:off x="30850745" y="8068259"/>
              <a:ext cx="8521898" cy="3300736"/>
            </a:xfrm>
            <a:prstGeom prst="roundRect">
              <a:avLst/>
            </a:prstGeom>
            <a:solidFill>
              <a:schemeClr val="tx1"/>
            </a:solidFill>
            <a:ln>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150" name="Chart Prevision1">
              <a:extLst>
                <a:ext uri="{FF2B5EF4-FFF2-40B4-BE49-F238E27FC236}">
                  <a16:creationId xmlns:a16="http://schemas.microsoft.com/office/drawing/2014/main" id="{00000000-0008-0000-0800-00001E140000}"/>
                </a:ext>
              </a:extLst>
            </xdr:cNvPr>
            <xdr:cNvGraphicFramePr>
              <a:graphicFrameLocks/>
            </xdr:cNvGraphicFramePr>
          </xdr:nvGraphicFramePr>
          <xdr:xfrm>
            <a:off x="31115704" y="8307279"/>
            <a:ext cx="7935608" cy="2867168"/>
          </xdr:xfrm>
          <a:graphic>
            <a:graphicData uri="http://schemas.openxmlformats.org/drawingml/2006/chart">
              <c:chart xmlns:c="http://schemas.openxmlformats.org/drawingml/2006/chart" xmlns:r="http://schemas.openxmlformats.org/officeDocument/2006/relationships" r:id="rId100"/>
            </a:graphicData>
          </a:graphic>
        </xdr:graphicFrame>
        <xdr:sp macro="" textlink="A_Budget1!AC21">
          <xdr:nvSpPr>
            <xdr:cNvPr id="5397" name="Rectangle 5396">
              <a:extLst>
                <a:ext uri="{FF2B5EF4-FFF2-40B4-BE49-F238E27FC236}">
                  <a16:creationId xmlns:a16="http://schemas.microsoft.com/office/drawing/2014/main" id="{00000000-0008-0000-0800-000015150000}"/>
                </a:ext>
              </a:extLst>
            </xdr:cNvPr>
            <xdr:cNvSpPr/>
          </xdr:nvSpPr>
          <xdr:spPr>
            <a:xfrm>
              <a:off x="36530226" y="8197067"/>
              <a:ext cx="849749" cy="1706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12D6E80-E99F-433D-9782-838021C86BC3}" type="TxLink">
                <a:rPr lang="en-US" sz="1200" b="0" i="0" u="none" strike="noStrike" kern="1200">
                  <a:solidFill>
                    <a:srgbClr val="FA6148"/>
                  </a:solidFill>
                  <a:latin typeface="Aptos Narrow" panose="020B0004020202020204" pitchFamily="34" charset="0"/>
                  <a:cs typeface="Arial"/>
                </a:rPr>
                <a:pPr algn="ctr"/>
                <a:t> 0 $</a:t>
              </a:fld>
              <a:endParaRPr lang="fr-CA" sz="1200" kern="1200">
                <a:solidFill>
                  <a:srgbClr val="FA6148"/>
                </a:solidFill>
                <a:latin typeface="Aptos Narrow" panose="020B0004020202020204" pitchFamily="34" charset="0"/>
              </a:endParaRPr>
            </a:p>
          </xdr:txBody>
        </xdr:sp>
        <xdr:sp macro="" textlink="A_Budget1!AB21">
          <xdr:nvSpPr>
            <xdr:cNvPr id="5398" name="Rectangle 5397">
              <a:extLst>
                <a:ext uri="{FF2B5EF4-FFF2-40B4-BE49-F238E27FC236}">
                  <a16:creationId xmlns:a16="http://schemas.microsoft.com/office/drawing/2014/main" id="{00000000-0008-0000-0800-000016150000}"/>
                </a:ext>
              </a:extLst>
            </xdr:cNvPr>
            <xdr:cNvSpPr/>
          </xdr:nvSpPr>
          <xdr:spPr>
            <a:xfrm>
              <a:off x="37345864" y="8175514"/>
              <a:ext cx="905175" cy="2137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1F1D953-A84B-49A6-AE4D-F1BD35A6FB9E}" type="TxLink">
                <a:rPr lang="en-US" sz="1200" b="0" i="0" u="none" strike="noStrike" kern="1200">
                  <a:solidFill>
                    <a:schemeClr val="tx1">
                      <a:lumMod val="65000"/>
                      <a:lumOff val="35000"/>
                    </a:schemeClr>
                  </a:solidFill>
                  <a:latin typeface="Aptos Narrow" panose="020B0004020202020204" pitchFamily="34" charset="0"/>
                  <a:cs typeface="Arial"/>
                </a:rPr>
                <a:pPr algn="l"/>
                <a:t> 0 $</a:t>
              </a:fld>
              <a:endParaRPr lang="fr-CA" sz="1200" kern="1200">
                <a:solidFill>
                  <a:schemeClr val="tx1">
                    <a:lumMod val="65000"/>
                    <a:lumOff val="35000"/>
                  </a:schemeClr>
                </a:solidFill>
                <a:latin typeface="Aptos Narrow" panose="020B0004020202020204" pitchFamily="34" charset="0"/>
              </a:endParaRPr>
            </a:p>
          </xdr:txBody>
        </xdr:sp>
        <xdr:sp macro="" textlink="A_Budget1!AD23">
          <xdr:nvSpPr>
            <xdr:cNvPr id="5609" name="Rectangle 5608">
              <a:extLst>
                <a:ext uri="{FF2B5EF4-FFF2-40B4-BE49-F238E27FC236}">
                  <a16:creationId xmlns:a16="http://schemas.microsoft.com/office/drawing/2014/main" id="{00000000-0008-0000-0800-0000E9150000}"/>
                </a:ext>
              </a:extLst>
            </xdr:cNvPr>
            <xdr:cNvSpPr/>
          </xdr:nvSpPr>
          <xdr:spPr>
            <a:xfrm>
              <a:off x="35944287" y="8165537"/>
              <a:ext cx="743303" cy="2337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C9083C6-3B09-435D-9EBE-A66992A21AD4}" type="TxLink">
                <a:rPr lang="en-US" sz="1200" b="0" i="0" u="none" strike="noStrike" kern="1200">
                  <a:solidFill>
                    <a:srgbClr val="A9FEFB"/>
                  </a:solidFill>
                  <a:latin typeface="Aptos Narrow" panose="020B0004020202020204" pitchFamily="34" charset="0"/>
                  <a:cs typeface="Arial"/>
                </a:rPr>
                <a:pPr algn="ctr"/>
                <a:t> 0 $</a:t>
              </a:fld>
              <a:endParaRPr lang="fr-CA" sz="1200" kern="1200">
                <a:solidFill>
                  <a:srgbClr val="A9FEFB"/>
                </a:solidFill>
                <a:latin typeface="Aptos Narrow" panose="020B0004020202020204" pitchFamily="34" charset="0"/>
              </a:endParaRPr>
            </a:p>
          </xdr:txBody>
        </xdr:sp>
        <mc:AlternateContent xmlns:mc="http://schemas.openxmlformats.org/markup-compatibility/2006" xmlns:a14="http://schemas.microsoft.com/office/drawing/2010/main">
          <mc:Choice Requires="a14">
            <xdr:graphicFrame macro="">
              <xdr:nvGraphicFramePr>
                <xdr:cNvPr id="5828" name="Cat_2 4">
                  <a:extLst>
                    <a:ext uri="{FF2B5EF4-FFF2-40B4-BE49-F238E27FC236}">
                      <a16:creationId xmlns:a16="http://schemas.microsoft.com/office/drawing/2014/main" id="{59C5A0F6-09A6-4540-B91C-AF0840F5EAA5}"/>
                    </a:ext>
                  </a:extLst>
                </xdr:cNvPr>
                <xdr:cNvGraphicFramePr/>
              </xdr:nvGraphicFramePr>
              <xdr:xfrm>
                <a:off x="32078083" y="8138583"/>
                <a:ext cx="2715642" cy="301752"/>
              </xdr:xfrm>
              <a:graphic>
                <a:graphicData uri="http://schemas.microsoft.com/office/drawing/2010/slicer">
                  <sle:slicer xmlns:sle="http://schemas.microsoft.com/office/drawing/2010/slicer" name="Cat_2 4"/>
                </a:graphicData>
              </a:graphic>
            </xdr:graphicFrame>
          </mc:Choice>
          <mc:Fallback xmlns="">
            <xdr:sp macro="" textlink="">
              <xdr:nvSpPr>
                <xdr:cNvPr id="0" name=""/>
                <xdr:cNvSpPr>
                  <a:spLocks noTextEdit="1"/>
                </xdr:cNvSpPr>
              </xdr:nvSpPr>
              <xdr:spPr>
                <a:xfrm>
                  <a:off x="32078083" y="8138583"/>
                  <a:ext cx="2715642" cy="30175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fLocksWithSheet="0"/>
  </xdr:twoCellAnchor>
  <xdr:twoCellAnchor editAs="absolute">
    <xdr:from>
      <xdr:col>39</xdr:col>
      <xdr:colOff>191557</xdr:colOff>
      <xdr:row>77</xdr:row>
      <xdr:rowOff>63500</xdr:rowOff>
    </xdr:from>
    <xdr:to>
      <xdr:col>68</xdr:col>
      <xdr:colOff>148165</xdr:colOff>
      <xdr:row>152</xdr:row>
      <xdr:rowOff>45484</xdr:rowOff>
    </xdr:to>
    <xdr:grpSp>
      <xdr:nvGrpSpPr>
        <xdr:cNvPr id="5859" name="Group 5858">
          <a:extLst>
            <a:ext uri="{FF2B5EF4-FFF2-40B4-BE49-F238E27FC236}">
              <a16:creationId xmlns:a16="http://schemas.microsoft.com/office/drawing/2014/main" id="{69DFE9AD-74C9-BCF0-B7E4-143EE2B65FBB}"/>
            </a:ext>
          </a:extLst>
        </xdr:cNvPr>
        <xdr:cNvGrpSpPr/>
      </xdr:nvGrpSpPr>
      <xdr:grpSpPr>
        <a:xfrm>
          <a:off x="23157390" y="11472333"/>
          <a:ext cx="16223192" cy="11094484"/>
          <a:chOff x="23157390" y="11472333"/>
          <a:chExt cx="16223192" cy="11094484"/>
        </a:xfrm>
      </xdr:grpSpPr>
      <xdr:grpSp>
        <xdr:nvGrpSpPr>
          <xdr:cNvPr id="5550" name="Group 5549">
            <a:extLst>
              <a:ext uri="{FF2B5EF4-FFF2-40B4-BE49-F238E27FC236}">
                <a16:creationId xmlns:a16="http://schemas.microsoft.com/office/drawing/2014/main" id="{00000000-0008-0000-0800-0000AE150000}"/>
              </a:ext>
            </a:extLst>
          </xdr:cNvPr>
          <xdr:cNvGrpSpPr/>
        </xdr:nvGrpSpPr>
        <xdr:grpSpPr>
          <a:xfrm>
            <a:off x="23157390" y="19362329"/>
            <a:ext cx="7669980" cy="3204485"/>
            <a:chOff x="22729825" y="20764315"/>
            <a:chExt cx="6135536" cy="3391057"/>
          </a:xfrm>
        </xdr:grpSpPr>
        <xdr:sp macro="" textlink="">
          <xdr:nvSpPr>
            <xdr:cNvPr id="5433" name="Rectangle: Rounded Corners 5432">
              <a:extLst>
                <a:ext uri="{FF2B5EF4-FFF2-40B4-BE49-F238E27FC236}">
                  <a16:creationId xmlns:a16="http://schemas.microsoft.com/office/drawing/2014/main" id="{00000000-0008-0000-0800-000039150000}"/>
                </a:ext>
              </a:extLst>
            </xdr:cNvPr>
            <xdr:cNvSpPr/>
          </xdr:nvSpPr>
          <xdr:spPr>
            <a:xfrm>
              <a:off x="22729825" y="20764315"/>
              <a:ext cx="6135536" cy="3391057"/>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mc:AlternateContent xmlns:mc="http://schemas.openxmlformats.org/markup-compatibility/2006">
          <mc:Choice xmlns:a14="http://schemas.microsoft.com/office/drawing/2010/main" Requires="a14">
            <xdr:sp macro="" textlink="">
              <xdr:nvSpPr>
                <xdr:cNvPr id="46" name="B2MED" hidden="1">
                  <a:extLst>
                    <a:ext uri="{63B3BB69-23CF-44E3-9099-C40C66FF867C}">
                      <a14:compatExt spid="_x0000_s5156"/>
                    </a:ext>
                    <a:ext uri="{FF2B5EF4-FFF2-40B4-BE49-F238E27FC236}">
                      <a16:creationId xmlns:a16="http://schemas.microsoft.com/office/drawing/2014/main" id="{00000000-0008-0000-0800-00002E000000}"/>
                    </a:ext>
                  </a:extLst>
                </xdr:cNvPr>
                <xdr:cNvSpPr/>
              </xdr:nvSpPr>
              <xdr:spPr bwMode="auto">
                <a:xfrm>
                  <a:off x="23590250" y="20833307"/>
                  <a:ext cx="1111319" cy="21646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9" name="B2MEP" hidden="1">
                  <a:extLst>
                    <a:ext uri="{63B3BB69-23CF-44E3-9099-C40C66FF867C}">
                      <a14:compatExt spid="_x0000_s5157"/>
                    </a:ext>
                    <a:ext uri="{FF2B5EF4-FFF2-40B4-BE49-F238E27FC236}">
                      <a16:creationId xmlns:a16="http://schemas.microsoft.com/office/drawing/2014/main" id="{00000000-0008-0000-0800-000027000000}"/>
                    </a:ext>
                  </a:extLst>
                </xdr:cNvPr>
                <xdr:cNvSpPr/>
              </xdr:nvSpPr>
              <xdr:spPr bwMode="auto">
                <a:xfrm>
                  <a:off x="23590250" y="21055556"/>
                  <a:ext cx="838200" cy="190499"/>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8" name="B2LMD" hidden="1">
                  <a:extLst>
                    <a:ext uri="{63B3BB69-23CF-44E3-9099-C40C66FF867C}">
                      <a14:compatExt spid="_x0000_s5158"/>
                    </a:ext>
                    <a:ext uri="{FF2B5EF4-FFF2-40B4-BE49-F238E27FC236}">
                      <a16:creationId xmlns:a16="http://schemas.microsoft.com/office/drawing/2014/main" id="{00000000-0008-0000-0800-000026000000}"/>
                    </a:ext>
                  </a:extLst>
                </xdr:cNvPr>
                <xdr:cNvSpPr/>
              </xdr:nvSpPr>
              <xdr:spPr bwMode="auto">
                <a:xfrm>
                  <a:off x="26238200" y="20833307"/>
                  <a:ext cx="1028582" cy="21646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6" name="B2LMP" hidden="1">
                  <a:extLst>
                    <a:ext uri="{63B3BB69-23CF-44E3-9099-C40C66FF867C}">
                      <a14:compatExt spid="_x0000_s5159"/>
                    </a:ext>
                    <a:ext uri="{FF2B5EF4-FFF2-40B4-BE49-F238E27FC236}">
                      <a16:creationId xmlns:a16="http://schemas.microsoft.com/office/drawing/2014/main" id="{00000000-0008-0000-0800-00001A000000}"/>
                    </a:ext>
                  </a:extLst>
                </xdr:cNvPr>
                <xdr:cNvSpPr/>
              </xdr:nvSpPr>
              <xdr:spPr bwMode="auto">
                <a:xfrm>
                  <a:off x="26225500" y="21036506"/>
                  <a:ext cx="844550" cy="196850"/>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5523" name="Papillon2">
              <a:extLst>
                <a:ext uri="{FF2B5EF4-FFF2-40B4-BE49-F238E27FC236}">
                  <a16:creationId xmlns:a16="http://schemas.microsoft.com/office/drawing/2014/main" id="{00000000-0008-0000-0800-000093150000}"/>
                </a:ext>
              </a:extLst>
            </xdr:cNvPr>
            <xdr:cNvGraphicFramePr>
              <a:graphicFrameLocks/>
            </xdr:cNvGraphicFramePr>
          </xdr:nvGraphicFramePr>
          <xdr:xfrm>
            <a:off x="22940631" y="21273765"/>
            <a:ext cx="5003434" cy="2497492"/>
          </xdr:xfrm>
          <a:graphic>
            <a:graphicData uri="http://schemas.openxmlformats.org/drawingml/2006/chart">
              <c:chart xmlns:c="http://schemas.openxmlformats.org/drawingml/2006/chart" xmlns:r="http://schemas.openxmlformats.org/officeDocument/2006/relationships" r:id="rId101"/>
            </a:graphicData>
          </a:graphic>
        </xdr:graphicFrame>
        <mc:AlternateContent xmlns:mc="http://schemas.openxmlformats.org/markup-compatibility/2006" xmlns:a14="http://schemas.microsoft.com/office/drawing/2010/main">
          <mc:Choice Requires="a14">
            <xdr:graphicFrame macro="">
              <xdr:nvGraphicFramePr>
                <xdr:cNvPr id="5476" name="Cat_2 1">
                  <a:extLst>
                    <a:ext uri="{FF2B5EF4-FFF2-40B4-BE49-F238E27FC236}">
                      <a16:creationId xmlns:a16="http://schemas.microsoft.com/office/drawing/2014/main" id="{00000000-0008-0000-0800-000064150000}"/>
                    </a:ext>
                  </a:extLst>
                </xdr:cNvPr>
                <xdr:cNvGraphicFramePr/>
              </xdr:nvGraphicFramePr>
              <xdr:xfrm>
                <a:off x="27952531" y="21296166"/>
                <a:ext cx="863768" cy="2389334"/>
              </xdr:xfrm>
              <a:graphic>
                <a:graphicData uri="http://schemas.microsoft.com/office/drawing/2010/slicer">
                  <sle:slicer xmlns:sle="http://schemas.microsoft.com/office/drawing/2010/slicer" name="Cat_2 1"/>
                </a:graphicData>
              </a:graphic>
            </xdr:graphicFrame>
          </mc:Choice>
          <mc:Fallback xmlns="">
            <xdr:sp macro="" textlink="">
              <xdr:nvSpPr>
                <xdr:cNvPr id="0" name=""/>
                <xdr:cNvSpPr>
                  <a:spLocks noTextEdit="1"/>
                </xdr:cNvSpPr>
              </xdr:nvSpPr>
              <xdr:spPr>
                <a:xfrm>
                  <a:off x="29686249" y="19864918"/>
                  <a:ext cx="1079789" cy="225787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01" name="Année 17">
                  <a:extLst>
                    <a:ext uri="{FF2B5EF4-FFF2-40B4-BE49-F238E27FC236}">
                      <a16:creationId xmlns:a16="http://schemas.microsoft.com/office/drawing/2014/main" id="{00000000-0008-0000-0800-00007D150000}"/>
                    </a:ext>
                  </a:extLst>
                </xdr:cNvPr>
                <xdr:cNvGraphicFramePr/>
              </xdr:nvGraphicFramePr>
              <xdr:xfrm>
                <a:off x="23306604" y="23748999"/>
                <a:ext cx="1841500" cy="387351"/>
              </xdr:xfrm>
              <a:graphic>
                <a:graphicData uri="http://schemas.microsoft.com/office/drawing/2010/slicer">
                  <sle:slicer xmlns:sle="http://schemas.microsoft.com/office/drawing/2010/slicer" name="Année 17"/>
                </a:graphicData>
              </a:graphic>
            </xdr:graphicFrame>
          </mc:Choice>
          <mc:Fallback xmlns="">
            <xdr:sp macro="" textlink="">
              <xdr:nvSpPr>
                <xdr:cNvPr id="0" name=""/>
                <xdr:cNvSpPr>
                  <a:spLocks noTextEdit="1"/>
                </xdr:cNvSpPr>
              </xdr:nvSpPr>
              <xdr:spPr>
                <a:xfrm>
                  <a:off x="23878416" y="22182799"/>
                  <a:ext cx="2302043" cy="36603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05" name="Mois (Quarter) 10">
                  <a:extLst>
                    <a:ext uri="{FF2B5EF4-FFF2-40B4-BE49-F238E27FC236}">
                      <a16:creationId xmlns:a16="http://schemas.microsoft.com/office/drawing/2014/main" id="{00000000-0008-0000-0800-000081150000}"/>
                    </a:ext>
                  </a:extLst>
                </xdr:cNvPr>
                <xdr:cNvGraphicFramePr/>
              </xdr:nvGraphicFramePr>
              <xdr:xfrm>
                <a:off x="25154454" y="23752173"/>
                <a:ext cx="2611966" cy="381000"/>
              </xdr:xfrm>
              <a:graphic>
                <a:graphicData uri="http://schemas.microsoft.com/office/drawing/2010/slicer">
                  <sle:slicer xmlns:sle="http://schemas.microsoft.com/office/drawing/2010/slicer" name="Mois (Quarter) 10"/>
                </a:graphicData>
              </a:graphic>
            </xdr:graphicFrame>
          </mc:Choice>
          <mc:Fallback xmlns="">
            <xdr:sp macro="" textlink="">
              <xdr:nvSpPr>
                <xdr:cNvPr id="0" name=""/>
                <xdr:cNvSpPr>
                  <a:spLocks noTextEdit="1"/>
                </xdr:cNvSpPr>
              </xdr:nvSpPr>
              <xdr:spPr>
                <a:xfrm>
                  <a:off x="26188398" y="22185799"/>
                  <a:ext cx="3265196" cy="36003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547" name="Group 5546">
            <a:extLst>
              <a:ext uri="{FF2B5EF4-FFF2-40B4-BE49-F238E27FC236}">
                <a16:creationId xmlns:a16="http://schemas.microsoft.com/office/drawing/2014/main" id="{00000000-0008-0000-0800-0000AB150000}"/>
              </a:ext>
            </a:extLst>
          </xdr:cNvPr>
          <xdr:cNvGrpSpPr/>
        </xdr:nvGrpSpPr>
        <xdr:grpSpPr>
          <a:xfrm>
            <a:off x="23205329" y="16760052"/>
            <a:ext cx="7577918" cy="2466240"/>
            <a:chOff x="22768496" y="17998829"/>
            <a:chExt cx="6061463" cy="2622729"/>
          </a:xfrm>
        </xdr:grpSpPr>
        <xdr:sp macro="" textlink="">
          <xdr:nvSpPr>
            <xdr:cNvPr id="5412" name="Rectangle: Rounded Corners 5411">
              <a:extLst>
                <a:ext uri="{FF2B5EF4-FFF2-40B4-BE49-F238E27FC236}">
                  <a16:creationId xmlns:a16="http://schemas.microsoft.com/office/drawing/2014/main" id="{00000000-0008-0000-0800-000024150000}"/>
                </a:ext>
              </a:extLst>
            </xdr:cNvPr>
            <xdr:cNvSpPr/>
          </xdr:nvSpPr>
          <xdr:spPr>
            <a:xfrm>
              <a:off x="22768496" y="17998829"/>
              <a:ext cx="6061463" cy="2622729"/>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ES30">
          <xdr:nvSpPr>
            <xdr:cNvPr id="5417" name="Rectangle 5416">
              <a:extLst>
                <a:ext uri="{FF2B5EF4-FFF2-40B4-BE49-F238E27FC236}">
                  <a16:creationId xmlns:a16="http://schemas.microsoft.com/office/drawing/2014/main" id="{00000000-0008-0000-0800-000029150000}"/>
                </a:ext>
              </a:extLst>
            </xdr:cNvPr>
            <xdr:cNvSpPr/>
          </xdr:nvSpPr>
          <xdr:spPr>
            <a:xfrm>
              <a:off x="26648349" y="18133304"/>
              <a:ext cx="704732" cy="1887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421FD65-75EB-4291-8C3C-6B4ED26E72EE}" type="TxLink">
                <a:rPr lang="en-US" sz="1200" b="0" i="0" u="none" strike="noStrike" kern="1200">
                  <a:solidFill>
                    <a:srgbClr val="A9FEFB"/>
                  </a:solidFill>
                  <a:latin typeface="Aptos Narrow" panose="020B0004020202020204" pitchFamily="34" charset="0"/>
                  <a:cs typeface="Arial"/>
                </a:rPr>
                <a:pPr algn="r"/>
                <a:t> 0 $</a:t>
              </a:fld>
              <a:endParaRPr lang="fr-CA" sz="1200" kern="1200">
                <a:solidFill>
                  <a:srgbClr val="A9FEFB"/>
                </a:solidFill>
                <a:latin typeface="Aptos Narrow" panose="020B0004020202020204" pitchFamily="34" charset="0"/>
              </a:endParaRPr>
            </a:p>
          </xdr:txBody>
        </xdr:sp>
        <xdr:sp macro="" textlink="ControlChart_Budget2!ET30">
          <xdr:nvSpPr>
            <xdr:cNvPr id="5418" name="Rectangle 5417">
              <a:extLst>
                <a:ext uri="{FF2B5EF4-FFF2-40B4-BE49-F238E27FC236}">
                  <a16:creationId xmlns:a16="http://schemas.microsoft.com/office/drawing/2014/main" id="{00000000-0008-0000-0800-00002A150000}"/>
                </a:ext>
              </a:extLst>
            </xdr:cNvPr>
            <xdr:cNvSpPr/>
          </xdr:nvSpPr>
          <xdr:spPr>
            <a:xfrm>
              <a:off x="27317713" y="18142554"/>
              <a:ext cx="704733" cy="1702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3A7D30C-EBFC-48F4-B83D-D4837219754E}" type="TxLink">
                <a:rPr lang="en-US" sz="1200" b="0" i="0" u="none" strike="noStrike" kern="1200">
                  <a:solidFill>
                    <a:srgbClr val="C54EF8"/>
                  </a:solidFill>
                  <a:latin typeface="Aptos Narrow" panose="020B0004020202020204" pitchFamily="34" charset="0"/>
                  <a:cs typeface="Arial"/>
                </a:rPr>
                <a:pPr algn="ctr"/>
                <a:t> 0 $</a:t>
              </a:fld>
              <a:endParaRPr lang="fr-CA" sz="1200" kern="1200">
                <a:solidFill>
                  <a:srgbClr val="C54EF8"/>
                </a:solidFill>
                <a:latin typeface="Aptos Narrow" panose="020B0004020202020204" pitchFamily="34" charset="0"/>
              </a:endParaRPr>
            </a:p>
          </xdr:txBody>
        </xdr:sp>
        <xdr:sp macro="" textlink="ControlChart_Budget2!EU30">
          <xdr:nvSpPr>
            <xdr:cNvPr id="5419" name="Rectangle 5418">
              <a:extLst>
                <a:ext uri="{FF2B5EF4-FFF2-40B4-BE49-F238E27FC236}">
                  <a16:creationId xmlns:a16="http://schemas.microsoft.com/office/drawing/2014/main" id="{00000000-0008-0000-0800-00002B150000}"/>
                </a:ext>
              </a:extLst>
            </xdr:cNvPr>
            <xdr:cNvSpPr/>
          </xdr:nvSpPr>
          <xdr:spPr>
            <a:xfrm>
              <a:off x="27994151" y="18121467"/>
              <a:ext cx="750709" cy="21241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CB5A6B8-8AE2-460C-9785-CC0266F6AB44}" type="TxLink">
                <a:rPr lang="en-US" sz="1200" b="0" i="0" u="none" strike="noStrike" kern="1200">
                  <a:solidFill>
                    <a:schemeClr val="tx1">
                      <a:lumMod val="65000"/>
                      <a:lumOff val="35000"/>
                    </a:schemeClr>
                  </a:solidFill>
                  <a:latin typeface="Aptos Narrow" panose="020B0004020202020204" pitchFamily="34" charset="0"/>
                  <a:cs typeface="Arial"/>
                </a:rPr>
                <a:pPr algn="l"/>
                <a:t> 0 $</a:t>
              </a:fld>
              <a:endParaRPr lang="fr-CA" sz="1200" kern="1200">
                <a:solidFill>
                  <a:schemeClr val="tx1">
                    <a:lumMod val="65000"/>
                    <a:lumOff val="35000"/>
                  </a:schemeClr>
                </a:solidFill>
                <a:latin typeface="Aptos Narrow" panose="020B0004020202020204" pitchFamily="34" charset="0"/>
              </a:endParaRPr>
            </a:p>
          </xdr:txBody>
        </xdr:sp>
        <xdr:graphicFrame macro="">
          <xdr:nvGraphicFramePr>
            <xdr:cNvPr id="5522" name="Chart 5521">
              <a:extLst>
                <a:ext uri="{FF2B5EF4-FFF2-40B4-BE49-F238E27FC236}">
                  <a16:creationId xmlns:a16="http://schemas.microsoft.com/office/drawing/2014/main" id="{00000000-0008-0000-0800-000092150000}"/>
                </a:ext>
              </a:extLst>
            </xdr:cNvPr>
            <xdr:cNvGraphicFramePr>
              <a:graphicFrameLocks/>
            </xdr:cNvGraphicFramePr>
          </xdr:nvGraphicFramePr>
          <xdr:xfrm>
            <a:off x="22921259" y="18375033"/>
            <a:ext cx="4312023" cy="2089524"/>
          </xdr:xfrm>
          <a:graphic>
            <a:graphicData uri="http://schemas.openxmlformats.org/drawingml/2006/chart">
              <c:chart xmlns:c="http://schemas.openxmlformats.org/drawingml/2006/chart" xmlns:r="http://schemas.openxmlformats.org/officeDocument/2006/relationships" r:id="rId102"/>
            </a:graphicData>
          </a:graphic>
        </xdr:graphicFrame>
        <mc:AlternateContent xmlns:mc="http://schemas.openxmlformats.org/markup-compatibility/2006" xmlns:a14="http://schemas.microsoft.com/office/drawing/2010/main">
          <mc:Choice Requires="a14">
            <xdr:graphicFrame macro="">
              <xdr:nvGraphicFramePr>
                <xdr:cNvPr id="5484" name="Cat_3 8">
                  <a:extLst>
                    <a:ext uri="{FF2B5EF4-FFF2-40B4-BE49-F238E27FC236}">
                      <a16:creationId xmlns:a16="http://schemas.microsoft.com/office/drawing/2014/main" id="{00000000-0008-0000-0800-00006C150000}"/>
                    </a:ext>
                  </a:extLst>
                </xdr:cNvPr>
                <xdr:cNvGraphicFramePr/>
              </xdr:nvGraphicFramePr>
              <xdr:xfrm>
                <a:off x="27070050" y="18345150"/>
                <a:ext cx="1625600" cy="2165350"/>
              </xdr:xfrm>
              <a:graphic>
                <a:graphicData uri="http://schemas.microsoft.com/office/drawing/2010/slicer">
                  <sle:slicer xmlns:sle="http://schemas.microsoft.com/office/drawing/2010/slicer" name="Cat_3 8"/>
                </a:graphicData>
              </a:graphic>
            </xdr:graphicFrame>
          </mc:Choice>
          <mc:Fallback xmlns="">
            <xdr:sp macro="" textlink="">
              <xdr:nvSpPr>
                <xdr:cNvPr id="0" name=""/>
                <xdr:cNvSpPr>
                  <a:spLocks noTextEdit="1"/>
                </xdr:cNvSpPr>
              </xdr:nvSpPr>
              <xdr:spPr>
                <a:xfrm>
                  <a:off x="28583044" y="17085709"/>
                  <a:ext cx="2032292" cy="203615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07" name="Année 19">
                  <a:extLst>
                    <a:ext uri="{FF2B5EF4-FFF2-40B4-BE49-F238E27FC236}">
                      <a16:creationId xmlns:a16="http://schemas.microsoft.com/office/drawing/2014/main" id="{00000000-0008-0000-0800-000083150000}"/>
                    </a:ext>
                  </a:extLst>
                </xdr:cNvPr>
                <xdr:cNvGraphicFramePr/>
              </xdr:nvGraphicFramePr>
              <xdr:xfrm>
                <a:off x="23088600" y="18034000"/>
                <a:ext cx="1200150" cy="387351"/>
              </xdr:xfrm>
              <a:graphic>
                <a:graphicData uri="http://schemas.microsoft.com/office/drawing/2010/slicer">
                  <sle:slicer xmlns:sle="http://schemas.microsoft.com/office/drawing/2010/slicer" name="Année 19"/>
                </a:graphicData>
              </a:graphic>
            </xdr:graphicFrame>
          </mc:Choice>
          <mc:Fallback xmlns="">
            <xdr:sp macro="" textlink="">
              <xdr:nvSpPr>
                <xdr:cNvPr id="0" name=""/>
                <xdr:cNvSpPr>
                  <a:spLocks noTextEdit="1"/>
                </xdr:cNvSpPr>
              </xdr:nvSpPr>
              <xdr:spPr>
                <a:xfrm>
                  <a:off x="23605517" y="16793124"/>
                  <a:ext cx="1500403" cy="36423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11" name="Mois (Quarter) 12">
                  <a:extLst>
                    <a:ext uri="{FF2B5EF4-FFF2-40B4-BE49-F238E27FC236}">
                      <a16:creationId xmlns:a16="http://schemas.microsoft.com/office/drawing/2014/main" id="{00000000-0008-0000-0800-000087150000}"/>
                    </a:ext>
                  </a:extLst>
                </xdr:cNvPr>
                <xdr:cNvGraphicFramePr/>
              </xdr:nvGraphicFramePr>
              <xdr:xfrm>
                <a:off x="24266342" y="18014665"/>
                <a:ext cx="2443869" cy="381000"/>
              </xdr:xfrm>
              <a:graphic>
                <a:graphicData uri="http://schemas.microsoft.com/office/drawing/2010/slicer">
                  <sle:slicer xmlns:sle="http://schemas.microsoft.com/office/drawing/2010/slicer" name="Mois (Quarter) 12"/>
                </a:graphicData>
              </a:graphic>
            </xdr:graphicFrame>
          </mc:Choice>
          <mc:Fallback xmlns="">
            <xdr:sp macro="" textlink="">
              <xdr:nvSpPr>
                <xdr:cNvPr id="0" name=""/>
                <xdr:cNvSpPr>
                  <a:spLocks noTextEdit="1"/>
                </xdr:cNvSpPr>
              </xdr:nvSpPr>
              <xdr:spPr>
                <a:xfrm>
                  <a:off x="25077906" y="16774943"/>
                  <a:ext cx="3055275" cy="35826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6015" name="Group 6014">
            <a:extLst>
              <a:ext uri="{FF2B5EF4-FFF2-40B4-BE49-F238E27FC236}">
                <a16:creationId xmlns:a16="http://schemas.microsoft.com/office/drawing/2014/main" id="{00000000-0008-0000-0800-00007F170000}"/>
              </a:ext>
            </a:extLst>
          </xdr:cNvPr>
          <xdr:cNvGrpSpPr/>
        </xdr:nvGrpSpPr>
        <xdr:grpSpPr>
          <a:xfrm>
            <a:off x="23205329" y="14118176"/>
            <a:ext cx="7577918" cy="2461621"/>
            <a:chOff x="23262676" y="13830647"/>
            <a:chExt cx="7597710" cy="2414747"/>
          </a:xfrm>
        </xdr:grpSpPr>
        <xdr:sp macro="" textlink="">
          <xdr:nvSpPr>
            <xdr:cNvPr id="5420" name="Rectangle: Rounded Corners 5419">
              <a:extLst>
                <a:ext uri="{FF2B5EF4-FFF2-40B4-BE49-F238E27FC236}">
                  <a16:creationId xmlns:a16="http://schemas.microsoft.com/office/drawing/2014/main" id="{00000000-0008-0000-0800-00002C150000}"/>
                </a:ext>
              </a:extLst>
            </xdr:cNvPr>
            <xdr:cNvSpPr/>
          </xdr:nvSpPr>
          <xdr:spPr>
            <a:xfrm>
              <a:off x="23262676" y="13830647"/>
              <a:ext cx="7597710" cy="2414747"/>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_Budget2!ES15">
          <xdr:nvSpPr>
            <xdr:cNvPr id="5425" name="Rectangle 5424">
              <a:extLst>
                <a:ext uri="{FF2B5EF4-FFF2-40B4-BE49-F238E27FC236}">
                  <a16:creationId xmlns:a16="http://schemas.microsoft.com/office/drawing/2014/main" id="{00000000-0008-0000-0800-000031150000}"/>
                </a:ext>
              </a:extLst>
            </xdr:cNvPr>
            <xdr:cNvSpPr/>
          </xdr:nvSpPr>
          <xdr:spPr>
            <a:xfrm>
              <a:off x="28091872" y="13950439"/>
              <a:ext cx="883343" cy="1736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A1123238-5F8D-4A8E-9A0A-56AAB03C1A61}" type="TxLink">
                <a:rPr lang="en-US" sz="1200" b="0" i="0" u="none" strike="noStrike" kern="1200">
                  <a:solidFill>
                    <a:srgbClr val="A9FEFB"/>
                  </a:solidFill>
                  <a:latin typeface="Aptos Narrow" panose="020B0004020202020204" pitchFamily="34" charset="0"/>
                  <a:cs typeface="Arial"/>
                </a:rPr>
                <a:pPr algn="r"/>
                <a:t> 0 $</a:t>
              </a:fld>
              <a:endParaRPr lang="fr-CA" sz="1200" kern="1200">
                <a:solidFill>
                  <a:srgbClr val="A9FEFB"/>
                </a:solidFill>
                <a:latin typeface="Aptos Narrow" panose="020B0004020202020204" pitchFamily="34" charset="0"/>
              </a:endParaRPr>
            </a:p>
          </xdr:txBody>
        </xdr:sp>
        <xdr:sp macro="" textlink="ControlChart_Budget2!ET15">
          <xdr:nvSpPr>
            <xdr:cNvPr id="5426" name="Rectangle 5425">
              <a:extLst>
                <a:ext uri="{FF2B5EF4-FFF2-40B4-BE49-F238E27FC236}">
                  <a16:creationId xmlns:a16="http://schemas.microsoft.com/office/drawing/2014/main" id="{00000000-0008-0000-0800-000032150000}"/>
                </a:ext>
              </a:extLst>
            </xdr:cNvPr>
            <xdr:cNvSpPr/>
          </xdr:nvSpPr>
          <xdr:spPr>
            <a:xfrm>
              <a:off x="28930882" y="13958951"/>
              <a:ext cx="883344" cy="1566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6208DAD-0481-4C73-ABE5-1AFB66E2D3EE}" type="TxLink">
                <a:rPr lang="en-US" sz="1200" b="0" i="0" u="none" strike="noStrike" kern="1200">
                  <a:solidFill>
                    <a:srgbClr val="C54EF8"/>
                  </a:solidFill>
                  <a:latin typeface="Aptos Narrow" panose="020B0004020202020204" pitchFamily="34" charset="0"/>
                  <a:cs typeface="Arial"/>
                </a:rPr>
                <a:pPr algn="ctr"/>
                <a:t> 0 $</a:t>
              </a:fld>
              <a:endParaRPr lang="fr-CA" sz="1200" kern="1200">
                <a:solidFill>
                  <a:srgbClr val="C54EF8"/>
                </a:solidFill>
                <a:latin typeface="Aptos Narrow" panose="020B0004020202020204" pitchFamily="34" charset="0"/>
              </a:endParaRPr>
            </a:p>
          </xdr:txBody>
        </xdr:sp>
        <xdr:sp macro="" textlink="ControlChart_Budget2!EU15">
          <xdr:nvSpPr>
            <xdr:cNvPr id="5427" name="Rectangle 5426">
              <a:extLst>
                <a:ext uri="{FF2B5EF4-FFF2-40B4-BE49-F238E27FC236}">
                  <a16:creationId xmlns:a16="http://schemas.microsoft.com/office/drawing/2014/main" id="{00000000-0008-0000-0800-000033150000}"/>
                </a:ext>
              </a:extLst>
            </xdr:cNvPr>
            <xdr:cNvSpPr/>
          </xdr:nvSpPr>
          <xdr:spPr>
            <a:xfrm>
              <a:off x="29778761" y="13937999"/>
              <a:ext cx="940972" cy="1985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23DFBF0-6F1F-47BF-A73C-1C457D5E370A}" type="TxLink">
                <a:rPr lang="en-US" sz="1200" b="0" i="0" u="none" strike="noStrike" kern="1200">
                  <a:solidFill>
                    <a:schemeClr val="tx1">
                      <a:lumMod val="65000"/>
                      <a:lumOff val="35000"/>
                    </a:schemeClr>
                  </a:solidFill>
                  <a:latin typeface="Aptos Narrow" panose="020B0004020202020204" pitchFamily="34" charset="0"/>
                  <a:cs typeface="Arial"/>
                </a:rPr>
                <a:pPr algn="l"/>
                <a:t> 0 $</a:t>
              </a:fld>
              <a:endParaRPr lang="fr-CA" sz="1200" kern="1200">
                <a:solidFill>
                  <a:schemeClr val="tx1">
                    <a:lumMod val="65000"/>
                    <a:lumOff val="35000"/>
                  </a:schemeClr>
                </a:solidFill>
                <a:latin typeface="Aptos Narrow" panose="020B0004020202020204" pitchFamily="34" charset="0"/>
              </a:endParaRPr>
            </a:p>
          </xdr:txBody>
        </xdr:sp>
        <xdr:graphicFrame macro="">
          <xdr:nvGraphicFramePr>
            <xdr:cNvPr id="5521" name="Chart 5520">
              <a:extLst>
                <a:ext uri="{FF2B5EF4-FFF2-40B4-BE49-F238E27FC236}">
                  <a16:creationId xmlns:a16="http://schemas.microsoft.com/office/drawing/2014/main" id="{00000000-0008-0000-0800-000091150000}"/>
                </a:ext>
              </a:extLst>
            </xdr:cNvPr>
            <xdr:cNvGraphicFramePr>
              <a:graphicFrameLocks/>
            </xdr:cNvGraphicFramePr>
          </xdr:nvGraphicFramePr>
          <xdr:xfrm>
            <a:off x="23519702" y="14153730"/>
            <a:ext cx="5423612" cy="1987554"/>
          </xdr:xfrm>
          <a:graphic>
            <a:graphicData uri="http://schemas.openxmlformats.org/drawingml/2006/chart">
              <c:chart xmlns:c="http://schemas.openxmlformats.org/drawingml/2006/chart" xmlns:r="http://schemas.openxmlformats.org/officeDocument/2006/relationships" r:id="rId103"/>
            </a:graphicData>
          </a:graphic>
        </xdr:graphicFrame>
        <mc:AlternateContent xmlns:mc="http://schemas.openxmlformats.org/markup-compatibility/2006" xmlns:a14="http://schemas.microsoft.com/office/drawing/2010/main">
          <mc:Choice Requires="a14">
            <xdr:graphicFrame macro="">
              <xdr:nvGraphicFramePr>
                <xdr:cNvPr id="5483" name="Cat_3 9">
                  <a:extLst>
                    <a:ext uri="{FF2B5EF4-FFF2-40B4-BE49-F238E27FC236}">
                      <a16:creationId xmlns:a16="http://schemas.microsoft.com/office/drawing/2014/main" id="{00000000-0008-0000-0800-00006B150000}"/>
                    </a:ext>
                  </a:extLst>
                </xdr:cNvPr>
                <xdr:cNvGraphicFramePr/>
              </xdr:nvGraphicFramePr>
              <xdr:xfrm>
                <a:off x="28837503" y="14146855"/>
                <a:ext cx="1790859" cy="2016085"/>
              </xdr:xfrm>
              <a:graphic>
                <a:graphicData uri="http://schemas.microsoft.com/office/drawing/2010/slicer">
                  <sle:slicer xmlns:sle="http://schemas.microsoft.com/office/drawing/2010/slicer" name="Cat_3 9"/>
                </a:graphicData>
              </a:graphic>
            </xdr:graphicFrame>
          </mc:Choice>
          <mc:Fallback xmlns="">
            <xdr:sp macro="" textlink="">
              <xdr:nvSpPr>
                <xdr:cNvPr id="0" name=""/>
                <xdr:cNvSpPr>
                  <a:spLocks noTextEdit="1"/>
                </xdr:cNvSpPr>
              </xdr:nvSpPr>
              <xdr:spPr>
                <a:xfrm>
                  <a:off x="28765634" y="14440522"/>
                  <a:ext cx="1786194" cy="20552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17" name="Année 20">
                  <a:extLst>
                    <a:ext uri="{FF2B5EF4-FFF2-40B4-BE49-F238E27FC236}">
                      <a16:creationId xmlns:a16="http://schemas.microsoft.com/office/drawing/2014/main" id="{00000000-0008-0000-0800-00008D150000}"/>
                    </a:ext>
                  </a:extLst>
                </xdr:cNvPr>
                <xdr:cNvGraphicFramePr/>
              </xdr:nvGraphicFramePr>
              <xdr:xfrm>
                <a:off x="23655949" y="13859052"/>
                <a:ext cx="1416769" cy="356468"/>
              </xdr:xfrm>
              <a:graphic>
                <a:graphicData uri="http://schemas.microsoft.com/office/drawing/2010/slicer">
                  <sle:slicer xmlns:sle="http://schemas.microsoft.com/office/drawing/2010/slicer" name="Année 20"/>
                </a:graphicData>
              </a:graphic>
            </xdr:graphicFrame>
          </mc:Choice>
          <mc:Fallback xmlns="">
            <xdr:sp macro="" textlink="">
              <xdr:nvSpPr>
                <xdr:cNvPr id="0" name=""/>
                <xdr:cNvSpPr>
                  <a:spLocks noTextEdit="1"/>
                </xdr:cNvSpPr>
              </xdr:nvSpPr>
              <xdr:spPr>
                <a:xfrm>
                  <a:off x="23597578" y="14147132"/>
                  <a:ext cx="1413078" cy="36338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19" name="Mois (Quarter) 13">
                  <a:extLst>
                    <a:ext uri="{FF2B5EF4-FFF2-40B4-BE49-F238E27FC236}">
                      <a16:creationId xmlns:a16="http://schemas.microsoft.com/office/drawing/2014/main" id="{00000000-0008-0000-0800-00008F150000}"/>
                    </a:ext>
                  </a:extLst>
                </xdr:cNvPr>
                <xdr:cNvGraphicFramePr/>
              </xdr:nvGraphicFramePr>
              <xdr:xfrm>
                <a:off x="25032921" y="13861974"/>
                <a:ext cx="3273955" cy="350624"/>
              </xdr:xfrm>
              <a:graphic>
                <a:graphicData uri="http://schemas.microsoft.com/office/drawing/2010/slicer">
                  <sle:slicer xmlns:sle="http://schemas.microsoft.com/office/drawing/2010/slicer" name="Mois (Quarter) 13"/>
                </a:graphicData>
              </a:graphic>
            </xdr:graphicFrame>
          </mc:Choice>
          <mc:Fallback xmlns="">
            <xdr:sp macro="" textlink="">
              <xdr:nvSpPr>
                <xdr:cNvPr id="0" name=""/>
                <xdr:cNvSpPr>
                  <a:spLocks noTextEdit="1"/>
                </xdr:cNvSpPr>
              </xdr:nvSpPr>
              <xdr:spPr>
                <a:xfrm>
                  <a:off x="24970963" y="14150111"/>
                  <a:ext cx="3265426" cy="35743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6014" name="Group 6013">
            <a:extLst>
              <a:ext uri="{FF2B5EF4-FFF2-40B4-BE49-F238E27FC236}">
                <a16:creationId xmlns:a16="http://schemas.microsoft.com/office/drawing/2014/main" id="{00000000-0008-0000-0800-00007E170000}"/>
              </a:ext>
            </a:extLst>
          </xdr:cNvPr>
          <xdr:cNvGrpSpPr/>
        </xdr:nvGrpSpPr>
        <xdr:grpSpPr>
          <a:xfrm>
            <a:off x="25325934" y="11477257"/>
            <a:ext cx="5457313" cy="2527813"/>
            <a:chOff x="25389095" y="11244502"/>
            <a:chExt cx="5471218" cy="2476615"/>
          </a:xfrm>
        </xdr:grpSpPr>
        <xdr:sp macro="" textlink="">
          <xdr:nvSpPr>
            <xdr:cNvPr id="5258" name="Rectangle: Rounded Corners 5257">
              <a:extLst>
                <a:ext uri="{FF2B5EF4-FFF2-40B4-BE49-F238E27FC236}">
                  <a16:creationId xmlns:a16="http://schemas.microsoft.com/office/drawing/2014/main" id="{00000000-0008-0000-0800-00008A140000}"/>
                </a:ext>
              </a:extLst>
            </xdr:cNvPr>
            <xdr:cNvSpPr/>
          </xdr:nvSpPr>
          <xdr:spPr>
            <a:xfrm>
              <a:off x="25389095" y="11244502"/>
              <a:ext cx="5471218" cy="2476615"/>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5518" name="Chart 5517">
              <a:extLst>
                <a:ext uri="{FF2B5EF4-FFF2-40B4-BE49-F238E27FC236}">
                  <a16:creationId xmlns:a16="http://schemas.microsoft.com/office/drawing/2014/main" id="{00000000-0008-0000-0800-00008E150000}"/>
                </a:ext>
              </a:extLst>
            </xdr:cNvPr>
            <xdr:cNvGraphicFramePr>
              <a:graphicFrameLocks/>
            </xdr:cNvGraphicFramePr>
          </xdr:nvGraphicFramePr>
          <xdr:xfrm>
            <a:off x="25652601" y="11355335"/>
            <a:ext cx="5023512" cy="2243871"/>
          </xdr:xfrm>
          <a:graphic>
            <a:graphicData uri="http://schemas.openxmlformats.org/drawingml/2006/chart">
              <c:chart xmlns:c="http://schemas.openxmlformats.org/drawingml/2006/chart" xmlns:r="http://schemas.openxmlformats.org/officeDocument/2006/relationships" r:id="rId104"/>
            </a:graphicData>
          </a:graphic>
        </xdr:graphicFrame>
        <mc:AlternateContent xmlns:mc="http://schemas.openxmlformats.org/markup-compatibility/2006" xmlns:a14="http://schemas.microsoft.com/office/drawing/2010/main">
          <mc:Choice Requires="a14">
            <xdr:graphicFrame macro="">
              <xdr:nvGraphicFramePr>
                <xdr:cNvPr id="5543" name="Année 21">
                  <a:extLst>
                    <a:ext uri="{FF2B5EF4-FFF2-40B4-BE49-F238E27FC236}">
                      <a16:creationId xmlns:a16="http://schemas.microsoft.com/office/drawing/2014/main" id="{00000000-0008-0000-0800-0000A7150000}"/>
                    </a:ext>
                  </a:extLst>
                </xdr:cNvPr>
                <xdr:cNvGraphicFramePr/>
              </xdr:nvGraphicFramePr>
              <xdr:xfrm>
                <a:off x="25812573" y="11287022"/>
                <a:ext cx="1687438" cy="357752"/>
              </xdr:xfrm>
              <a:graphic>
                <a:graphicData uri="http://schemas.microsoft.com/office/drawing/2010/slicer">
                  <sle:slicer xmlns:sle="http://schemas.microsoft.com/office/drawing/2010/slicer" name="Année 21"/>
                </a:graphicData>
              </a:graphic>
            </xdr:graphicFrame>
          </mc:Choice>
          <mc:Fallback xmlns="">
            <xdr:sp macro="" textlink="">
              <xdr:nvSpPr>
                <xdr:cNvPr id="0" name=""/>
                <xdr:cNvSpPr>
                  <a:spLocks noTextEdit="1"/>
                </xdr:cNvSpPr>
              </xdr:nvSpPr>
              <xdr:spPr>
                <a:xfrm>
                  <a:off x="25748336" y="11520656"/>
                  <a:ext cx="1683149" cy="36514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44" name="Mois (Quarter) 14">
                  <a:extLst>
                    <a:ext uri="{FF2B5EF4-FFF2-40B4-BE49-F238E27FC236}">
                      <a16:creationId xmlns:a16="http://schemas.microsoft.com/office/drawing/2014/main" id="{00000000-0008-0000-0800-0000A8150000}"/>
                    </a:ext>
                  </a:extLst>
                </xdr:cNvPr>
                <xdr:cNvGraphicFramePr/>
              </xdr:nvGraphicFramePr>
              <xdr:xfrm>
                <a:off x="27515930" y="11289954"/>
                <a:ext cx="2992814" cy="351886"/>
              </xdr:xfrm>
              <a:graphic>
                <a:graphicData uri="http://schemas.microsoft.com/office/drawing/2010/slicer">
                  <sle:slicer xmlns:sle="http://schemas.microsoft.com/office/drawing/2010/slicer" name="Mois (Quarter) 14"/>
                </a:graphicData>
              </a:graphic>
            </xdr:graphicFrame>
          </mc:Choice>
          <mc:Fallback xmlns="">
            <xdr:sp macro="" textlink="">
              <xdr:nvSpPr>
                <xdr:cNvPr id="0" name=""/>
                <xdr:cNvSpPr>
                  <a:spLocks noTextEdit="1"/>
                </xdr:cNvSpPr>
              </xdr:nvSpPr>
              <xdr:spPr>
                <a:xfrm>
                  <a:off x="27447364" y="11523649"/>
                  <a:ext cx="2985208" cy="35916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424" name="Group 5423">
            <a:extLst>
              <a:ext uri="{FF2B5EF4-FFF2-40B4-BE49-F238E27FC236}">
                <a16:creationId xmlns:a16="http://schemas.microsoft.com/office/drawing/2014/main" id="{00000000-0008-0000-0800-000030150000}"/>
              </a:ext>
            </a:extLst>
          </xdr:cNvPr>
          <xdr:cNvGrpSpPr/>
        </xdr:nvGrpSpPr>
        <xdr:grpSpPr>
          <a:xfrm>
            <a:off x="23205328" y="11472333"/>
            <a:ext cx="1999069" cy="2543873"/>
            <a:chOff x="23205320" y="11472333"/>
            <a:chExt cx="1998703" cy="2543873"/>
          </a:xfrm>
        </xdr:grpSpPr>
        <xdr:sp macro="" textlink="">
          <xdr:nvSpPr>
            <xdr:cNvPr id="5160" name="Rectangle: Rounded Corners 5159">
              <a:extLst>
                <a:ext uri="{FF2B5EF4-FFF2-40B4-BE49-F238E27FC236}">
                  <a16:creationId xmlns:a16="http://schemas.microsoft.com/office/drawing/2014/main" id="{00000000-0008-0000-0800-000028140000}"/>
                </a:ext>
              </a:extLst>
            </xdr:cNvPr>
            <xdr:cNvSpPr/>
          </xdr:nvSpPr>
          <xdr:spPr>
            <a:xfrm>
              <a:off x="23205320" y="11472333"/>
              <a:ext cx="1998703" cy="2543873"/>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mc:AlternateContent xmlns:mc="http://schemas.openxmlformats.org/markup-compatibility/2006" xmlns:a14="http://schemas.microsoft.com/office/drawing/2010/main">
          <mc:Choice Requires="a14">
            <xdr:graphicFrame macro="">
              <xdr:nvGraphicFramePr>
                <xdr:cNvPr id="5493" name="Année 18">
                  <a:extLst>
                    <a:ext uri="{FF2B5EF4-FFF2-40B4-BE49-F238E27FC236}">
                      <a16:creationId xmlns:a16="http://schemas.microsoft.com/office/drawing/2014/main" id="{00000000-0008-0000-0800-000075150000}"/>
                    </a:ext>
                  </a:extLst>
                </xdr:cNvPr>
                <xdr:cNvGraphicFramePr/>
              </xdr:nvGraphicFramePr>
              <xdr:xfrm>
                <a:off x="23325072" y="12755154"/>
                <a:ext cx="795426" cy="657563"/>
              </xdr:xfrm>
              <a:graphic>
                <a:graphicData uri="http://schemas.microsoft.com/office/drawing/2010/slicer">
                  <sle:slicer xmlns:sle="http://schemas.microsoft.com/office/drawing/2010/slicer" name="Année 18"/>
                </a:graphicData>
              </a:graphic>
            </xdr:graphicFrame>
          </mc:Choice>
          <mc:Fallback xmlns="">
            <xdr:sp macro="" textlink="">
              <xdr:nvSpPr>
                <xdr:cNvPr id="0" name=""/>
                <xdr:cNvSpPr>
                  <a:spLocks noTextEdit="1"/>
                </xdr:cNvSpPr>
              </xdr:nvSpPr>
              <xdr:spPr>
                <a:xfrm>
                  <a:off x="23325102" y="12755154"/>
                  <a:ext cx="795572" cy="65756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495" name="Mois (Quarter) 11">
                  <a:extLst>
                    <a:ext uri="{FF2B5EF4-FFF2-40B4-BE49-F238E27FC236}">
                      <a16:creationId xmlns:a16="http://schemas.microsoft.com/office/drawing/2014/main" id="{00000000-0008-0000-0800-000077150000}"/>
                    </a:ext>
                  </a:extLst>
                </xdr:cNvPr>
                <xdr:cNvGraphicFramePr/>
              </xdr:nvGraphicFramePr>
              <xdr:xfrm>
                <a:off x="24174437" y="12747693"/>
                <a:ext cx="891261" cy="1191912"/>
              </xdr:xfrm>
              <a:graphic>
                <a:graphicData uri="http://schemas.microsoft.com/office/drawing/2010/slicer">
                  <sle:slicer xmlns:sle="http://schemas.microsoft.com/office/drawing/2010/slicer" name="Mois (Quarter) 11"/>
                </a:graphicData>
              </a:graphic>
            </xdr:graphicFrame>
          </mc:Choice>
          <mc:Fallback xmlns="">
            <xdr:sp macro="" textlink="">
              <xdr:nvSpPr>
                <xdr:cNvPr id="0" name=""/>
                <xdr:cNvSpPr>
                  <a:spLocks noTextEdit="1"/>
                </xdr:cNvSpPr>
              </xdr:nvSpPr>
              <xdr:spPr>
                <a:xfrm>
                  <a:off x="24174622" y="12747693"/>
                  <a:ext cx="891424" cy="119191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Chart_Analyse.GoBudget2" textlink="">
          <xdr:nvSpPr>
            <xdr:cNvPr id="5388" name="Rectangle: Rounded Corners 5387">
              <a:extLst>
                <a:ext uri="{FF2B5EF4-FFF2-40B4-BE49-F238E27FC236}">
                  <a16:creationId xmlns:a16="http://schemas.microsoft.com/office/drawing/2014/main" id="{00000000-0008-0000-0800-00000C150000}"/>
                </a:ext>
              </a:extLst>
            </xdr:cNvPr>
            <xdr:cNvSpPr/>
          </xdr:nvSpPr>
          <xdr:spPr>
            <a:xfrm>
              <a:off x="23635910" y="11726333"/>
              <a:ext cx="1195916" cy="317500"/>
            </a:xfrm>
            <a:prstGeom prst="roundRect">
              <a:avLst>
                <a:gd name="adj" fmla="val 50000"/>
              </a:avLst>
            </a:prstGeom>
            <a:solidFill>
              <a:srgbClr val="C54EF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chemeClr val="tx1"/>
                  </a:solidFill>
                  <a:latin typeface="Aptos Narrow" panose="020B0004020202020204" pitchFamily="34" charset="0"/>
                </a:rPr>
                <a:t>BUDGETIZE</a:t>
              </a:r>
              <a:endParaRPr lang="fr-CA" sz="1200" b="1" kern="1200">
                <a:solidFill>
                  <a:schemeClr val="tx1"/>
                </a:solidFill>
                <a:latin typeface="Aptos Narrow" panose="020B0004020202020204" pitchFamily="34" charset="0"/>
              </a:endParaRPr>
            </a:p>
          </xdr:txBody>
        </xdr:sp>
        <xdr:sp macro="[0]!Chart_Analyse.LaunchBudget2" textlink="">
          <xdr:nvSpPr>
            <xdr:cNvPr id="5415" name="Rectangle: Rounded Corners 5414">
              <a:extLst>
                <a:ext uri="{FF2B5EF4-FFF2-40B4-BE49-F238E27FC236}">
                  <a16:creationId xmlns:a16="http://schemas.microsoft.com/office/drawing/2014/main" id="{00000000-0008-0000-0800-000027150000}"/>
                </a:ext>
              </a:extLst>
            </xdr:cNvPr>
            <xdr:cNvSpPr/>
          </xdr:nvSpPr>
          <xdr:spPr>
            <a:xfrm>
              <a:off x="23635910" y="12139083"/>
              <a:ext cx="1195916" cy="317500"/>
            </a:xfrm>
            <a:prstGeom prst="roundRect">
              <a:avLst>
                <a:gd name="adj" fmla="val 50000"/>
              </a:avLst>
            </a:prstGeom>
            <a:solidFill>
              <a:srgbClr val="C54EF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200" b="1" kern="1200">
                  <a:solidFill>
                    <a:schemeClr val="tx1"/>
                  </a:solidFill>
                  <a:latin typeface="Aptos Narrow" panose="020B0004020202020204" pitchFamily="34" charset="0"/>
                </a:rPr>
                <a:t>BUDGET 2</a:t>
              </a:r>
            </a:p>
          </xdr:txBody>
        </xdr:sp>
      </xdr:grpSp>
      <xdr:grpSp>
        <xdr:nvGrpSpPr>
          <xdr:cNvPr id="5848" name="Group 5847">
            <a:extLst>
              <a:ext uri="{FF2B5EF4-FFF2-40B4-BE49-F238E27FC236}">
                <a16:creationId xmlns:a16="http://schemas.microsoft.com/office/drawing/2014/main" id="{CA25EC94-56E8-6185-BB01-D08537482E8C}"/>
              </a:ext>
            </a:extLst>
          </xdr:cNvPr>
          <xdr:cNvGrpSpPr/>
        </xdr:nvGrpSpPr>
        <xdr:grpSpPr>
          <a:xfrm>
            <a:off x="30934523" y="19087261"/>
            <a:ext cx="8446059" cy="3479556"/>
            <a:chOff x="30934523" y="19087261"/>
            <a:chExt cx="8446059" cy="3479556"/>
          </a:xfrm>
        </xdr:grpSpPr>
        <xdr:sp macro="" textlink="">
          <xdr:nvSpPr>
            <xdr:cNvPr id="5428" name="Rectangle: Rounded Corners 5427">
              <a:extLst>
                <a:ext uri="{FF2B5EF4-FFF2-40B4-BE49-F238E27FC236}">
                  <a16:creationId xmlns:a16="http://schemas.microsoft.com/office/drawing/2014/main" id="{00000000-0008-0000-0800-000034150000}"/>
                </a:ext>
              </a:extLst>
            </xdr:cNvPr>
            <xdr:cNvSpPr/>
          </xdr:nvSpPr>
          <xdr:spPr>
            <a:xfrm>
              <a:off x="30934523" y="19087261"/>
              <a:ext cx="8446059" cy="3479556"/>
            </a:xfrm>
            <a:prstGeom prst="roundRect">
              <a:avLst/>
            </a:prstGeom>
            <a:solidFill>
              <a:schemeClr val="tx1"/>
            </a:solidFill>
            <a:ln>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A_Budget2!AD23">
          <xdr:nvSpPr>
            <xdr:cNvPr id="5430" name="Rectangle 5429">
              <a:extLst>
                <a:ext uri="{FF2B5EF4-FFF2-40B4-BE49-F238E27FC236}">
                  <a16:creationId xmlns:a16="http://schemas.microsoft.com/office/drawing/2014/main" id="{00000000-0008-0000-0800-000036150000}"/>
                </a:ext>
              </a:extLst>
            </xdr:cNvPr>
            <xdr:cNvSpPr/>
          </xdr:nvSpPr>
          <xdr:spPr>
            <a:xfrm>
              <a:off x="36126659" y="19253551"/>
              <a:ext cx="877951" cy="1834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5334E68D-9636-40E6-951D-1EE6564E1081}" type="TxLink">
                <a:rPr lang="en-US" sz="1200" b="0" i="0" u="none" strike="noStrike" kern="1200">
                  <a:solidFill>
                    <a:srgbClr val="A9FEFB"/>
                  </a:solidFill>
                  <a:latin typeface="Aptos Narrow" panose="020B0004020202020204" pitchFamily="34" charset="0"/>
                  <a:cs typeface="Arial"/>
                </a:rPr>
                <a:pPr algn="r"/>
                <a:t> 0 $</a:t>
              </a:fld>
              <a:endParaRPr lang="fr-CA" sz="1200" kern="1200">
                <a:solidFill>
                  <a:srgbClr val="A9FEFB"/>
                </a:solidFill>
                <a:latin typeface="Aptos Narrow" panose="020B0004020202020204" pitchFamily="34" charset="0"/>
              </a:endParaRPr>
            </a:p>
          </xdr:txBody>
        </xdr:sp>
        <xdr:sp macro="" textlink="A_Budget2!AC21">
          <xdr:nvSpPr>
            <xdr:cNvPr id="5431" name="Rectangle 5430">
              <a:extLst>
                <a:ext uri="{FF2B5EF4-FFF2-40B4-BE49-F238E27FC236}">
                  <a16:creationId xmlns:a16="http://schemas.microsoft.com/office/drawing/2014/main" id="{00000000-0008-0000-0800-000037150000}"/>
                </a:ext>
              </a:extLst>
            </xdr:cNvPr>
            <xdr:cNvSpPr/>
          </xdr:nvSpPr>
          <xdr:spPr>
            <a:xfrm>
              <a:off x="36961202" y="19261552"/>
              <a:ext cx="887758" cy="1674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1252A65-CCB8-43CA-A7BB-1E6AAF5CCCA5}" type="TxLink">
                <a:rPr lang="en-US" sz="1200" b="0" i="0" u="none" strike="noStrike" kern="1200">
                  <a:solidFill>
                    <a:srgbClr val="C54EF8"/>
                  </a:solidFill>
                  <a:latin typeface="Aptos Narrow" panose="020B0004020202020204" pitchFamily="34" charset="0"/>
                  <a:cs typeface="Arial"/>
                </a:rPr>
                <a:pPr algn="ctr"/>
                <a:t> 0 $</a:t>
              </a:fld>
              <a:endParaRPr lang="fr-CA" sz="1200" kern="1200">
                <a:solidFill>
                  <a:srgbClr val="C54EF8"/>
                </a:solidFill>
                <a:latin typeface="Aptos Narrow" panose="020B0004020202020204" pitchFamily="34" charset="0"/>
              </a:endParaRPr>
            </a:p>
          </xdr:txBody>
        </xdr:sp>
        <xdr:sp macro="" textlink="A_Budget2!AB21">
          <xdr:nvSpPr>
            <xdr:cNvPr id="5432" name="Rectangle 5431">
              <a:extLst>
                <a:ext uri="{FF2B5EF4-FFF2-40B4-BE49-F238E27FC236}">
                  <a16:creationId xmlns:a16="http://schemas.microsoft.com/office/drawing/2014/main" id="{00000000-0008-0000-0800-000038150000}"/>
                </a:ext>
              </a:extLst>
            </xdr:cNvPr>
            <xdr:cNvSpPr/>
          </xdr:nvSpPr>
          <xdr:spPr>
            <a:xfrm>
              <a:off x="37814234" y="19241860"/>
              <a:ext cx="934379" cy="2067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323FAD0-586A-4986-8488-180148EE4E51}" type="TxLink">
                <a:rPr lang="en-US" sz="1200" b="0" i="0" u="none" strike="noStrike" kern="1200">
                  <a:solidFill>
                    <a:schemeClr val="tx1">
                      <a:lumMod val="65000"/>
                      <a:lumOff val="35000"/>
                    </a:schemeClr>
                  </a:solidFill>
                  <a:latin typeface="Aptos Narrow" panose="020B0004020202020204" pitchFamily="34" charset="0"/>
                  <a:cs typeface="Arial"/>
                </a:rPr>
                <a:pPr algn="l"/>
                <a:t> 0 $</a:t>
              </a:fld>
              <a:endParaRPr lang="fr-CA" sz="1200" kern="1200">
                <a:solidFill>
                  <a:schemeClr val="tx1">
                    <a:lumMod val="65000"/>
                    <a:lumOff val="35000"/>
                  </a:schemeClr>
                </a:solidFill>
                <a:latin typeface="Aptos Narrow" panose="020B0004020202020204" pitchFamily="34" charset="0"/>
              </a:endParaRPr>
            </a:p>
          </xdr:txBody>
        </xdr:sp>
        <xdr:graphicFrame macro="">
          <xdr:nvGraphicFramePr>
            <xdr:cNvPr id="5555" name="Chart Prevision2">
              <a:extLst>
                <a:ext uri="{FF2B5EF4-FFF2-40B4-BE49-F238E27FC236}">
                  <a16:creationId xmlns:a16="http://schemas.microsoft.com/office/drawing/2014/main" id="{00000000-0008-0000-0800-0000B3150000}"/>
                </a:ext>
              </a:extLst>
            </xdr:cNvPr>
            <xdr:cNvGraphicFramePr>
              <a:graphicFrameLocks/>
            </xdr:cNvGraphicFramePr>
          </xdr:nvGraphicFramePr>
          <xdr:xfrm>
            <a:off x="31293128" y="19463375"/>
            <a:ext cx="7939287" cy="2846162"/>
          </xdr:xfrm>
          <a:graphic>
            <a:graphicData uri="http://schemas.openxmlformats.org/drawingml/2006/chart">
              <c:chart xmlns:c="http://schemas.openxmlformats.org/drawingml/2006/chart" xmlns:r="http://schemas.openxmlformats.org/officeDocument/2006/relationships" r:id="rId105"/>
            </a:graphicData>
          </a:graphic>
        </xdr:graphicFrame>
        <mc:AlternateContent xmlns:mc="http://schemas.openxmlformats.org/markup-compatibility/2006" xmlns:a14="http://schemas.microsoft.com/office/drawing/2010/main">
          <mc:Choice Requires="a14">
            <xdr:graphicFrame macro="">
              <xdr:nvGraphicFramePr>
                <xdr:cNvPr id="5843" name="Cat_2 6">
                  <a:extLst>
                    <a:ext uri="{FF2B5EF4-FFF2-40B4-BE49-F238E27FC236}">
                      <a16:creationId xmlns:a16="http://schemas.microsoft.com/office/drawing/2014/main" id="{E16B299F-B4AC-4A16-A016-EAF35C2529B8}"/>
                    </a:ext>
                  </a:extLst>
                </xdr:cNvPr>
                <xdr:cNvGraphicFramePr/>
              </xdr:nvGraphicFramePr>
              <xdr:xfrm>
                <a:off x="32363832" y="19134667"/>
                <a:ext cx="3100918" cy="381000"/>
              </xdr:xfrm>
              <a:graphic>
                <a:graphicData uri="http://schemas.microsoft.com/office/drawing/2010/slicer">
                  <sle:slicer xmlns:sle="http://schemas.microsoft.com/office/drawing/2010/slicer" name="Cat_2 6"/>
                </a:graphicData>
              </a:graphic>
            </xdr:graphicFrame>
          </mc:Choice>
          <mc:Fallback xmlns="">
            <xdr:sp macro="" textlink="">
              <xdr:nvSpPr>
                <xdr:cNvPr id="0" name=""/>
                <xdr:cNvSpPr>
                  <a:spLocks noTextEdit="1"/>
                </xdr:cNvSpPr>
              </xdr:nvSpPr>
              <xdr:spPr>
                <a:xfrm>
                  <a:off x="32363832" y="19134667"/>
                  <a:ext cx="3100918" cy="381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fLocksWithSheet="0"/>
  </xdr:twoCellAnchor>
  <xdr:twoCellAnchor editAs="absolute">
    <xdr:from>
      <xdr:col>0</xdr:col>
      <xdr:colOff>118324</xdr:colOff>
      <xdr:row>1</xdr:row>
      <xdr:rowOff>19407</xdr:rowOff>
    </xdr:from>
    <xdr:to>
      <xdr:col>34</xdr:col>
      <xdr:colOff>398603</xdr:colOff>
      <xdr:row>90</xdr:row>
      <xdr:rowOff>18143</xdr:rowOff>
    </xdr:to>
    <xdr:grpSp>
      <xdr:nvGrpSpPr>
        <xdr:cNvPr id="5853" name="Group 5852">
          <a:extLst>
            <a:ext uri="{FF2B5EF4-FFF2-40B4-BE49-F238E27FC236}">
              <a16:creationId xmlns:a16="http://schemas.microsoft.com/office/drawing/2014/main" id="{58197CE2-2567-8BD9-D1B8-7D8966A32542}"/>
            </a:ext>
          </a:extLst>
        </xdr:cNvPr>
        <xdr:cNvGrpSpPr/>
      </xdr:nvGrpSpPr>
      <xdr:grpSpPr>
        <a:xfrm>
          <a:off x="118324" y="167574"/>
          <a:ext cx="20441529" cy="13185569"/>
          <a:chOff x="118324" y="167574"/>
          <a:chExt cx="20441529" cy="13185569"/>
        </a:xfrm>
      </xdr:grpSpPr>
      <xdr:grpSp>
        <xdr:nvGrpSpPr>
          <xdr:cNvPr id="5827" name="Group 5826">
            <a:extLst>
              <a:ext uri="{FF2B5EF4-FFF2-40B4-BE49-F238E27FC236}">
                <a16:creationId xmlns:a16="http://schemas.microsoft.com/office/drawing/2014/main" id="{E0972031-FA17-3CDD-0BF2-C75FC43CE567}"/>
              </a:ext>
            </a:extLst>
          </xdr:cNvPr>
          <xdr:cNvGrpSpPr/>
        </xdr:nvGrpSpPr>
        <xdr:grpSpPr>
          <a:xfrm>
            <a:off x="8768349" y="9033524"/>
            <a:ext cx="4298014" cy="4124470"/>
            <a:chOff x="8768349" y="9033524"/>
            <a:chExt cx="4298014" cy="4124470"/>
          </a:xfrm>
        </xdr:grpSpPr>
        <xdr:sp macro="" textlink="">
          <xdr:nvSpPr>
            <xdr:cNvPr id="5499" name="Rectangle: Rounded Corners 5498">
              <a:extLst>
                <a:ext uri="{FF2B5EF4-FFF2-40B4-BE49-F238E27FC236}">
                  <a16:creationId xmlns:a16="http://schemas.microsoft.com/office/drawing/2014/main" id="{00000000-0008-0000-0800-00007B150000}"/>
                </a:ext>
              </a:extLst>
            </xdr:cNvPr>
            <xdr:cNvSpPr/>
          </xdr:nvSpPr>
          <xdr:spPr>
            <a:xfrm>
              <a:off x="8768349" y="9033524"/>
              <a:ext cx="4298014" cy="4124470"/>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0]!Chart_Analyse.LauchEPProgress" textlink="">
          <xdr:nvSpPr>
            <xdr:cNvPr id="5835" name="Rectangle: Rounded Corners 5834">
              <a:extLst>
                <a:ext uri="{FF2B5EF4-FFF2-40B4-BE49-F238E27FC236}">
                  <a16:creationId xmlns:a16="http://schemas.microsoft.com/office/drawing/2014/main" id="{00000000-0008-0000-0800-0000CB160000}"/>
                </a:ext>
              </a:extLst>
            </xdr:cNvPr>
            <xdr:cNvSpPr/>
          </xdr:nvSpPr>
          <xdr:spPr>
            <a:xfrm>
              <a:off x="11186583" y="12716228"/>
              <a:ext cx="1093932" cy="236540"/>
            </a:xfrm>
            <a:prstGeom prst="roundRect">
              <a:avLst>
                <a:gd name="adj" fmla="val 50000"/>
              </a:avLst>
            </a:prstGeom>
            <a:solidFill>
              <a:srgbClr val="A9FEFB"/>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ysClr val="windowText" lastClr="000000"/>
                  </a:solidFill>
                  <a:latin typeface="Aptos Narrow" panose="020B0004020202020204" pitchFamily="34" charset="0"/>
                </a:rPr>
                <a:t>ENTER DATA</a:t>
              </a:r>
              <a:endParaRPr lang="fr-CA" sz="1200" b="1" kern="1200">
                <a:solidFill>
                  <a:sysClr val="windowText" lastClr="000000"/>
                </a:solidFill>
                <a:latin typeface="Aptos Narrow" panose="020B0004020202020204" pitchFamily="34" charset="0"/>
              </a:endParaRPr>
            </a:p>
          </xdr:txBody>
        </xdr:sp>
        <xdr:sp macro="" textlink="Library!A193">
          <xdr:nvSpPr>
            <xdr:cNvPr id="5135" name="Rectangle 5134">
              <a:extLst>
                <a:ext uri="{FF2B5EF4-FFF2-40B4-BE49-F238E27FC236}">
                  <a16:creationId xmlns:a16="http://schemas.microsoft.com/office/drawing/2014/main" id="{00000000-0008-0000-0800-00000F140000}"/>
                </a:ext>
              </a:extLst>
            </xdr:cNvPr>
            <xdr:cNvSpPr/>
          </xdr:nvSpPr>
          <xdr:spPr>
            <a:xfrm>
              <a:off x="9409554" y="9768152"/>
              <a:ext cx="1728956" cy="28396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F22ECD6-8852-42B3-8AE6-E2B43084DA49}" type="TxLink">
                <a:rPr lang="en-US" altLang="ja-JP" sz="1200" b="0" i="0" u="none" strike="noStrike" kern="1200">
                  <a:solidFill>
                    <a:srgbClr val="AADCD7"/>
                  </a:solidFill>
                  <a:latin typeface="Aptos Narrow" panose="020B0004020202020204" pitchFamily="34" charset="0"/>
                  <a:cs typeface="Arial"/>
                </a:rPr>
                <a:pPr algn="r"/>
                <a:t>Gross Annual Salary :</a:t>
              </a:fld>
              <a:endParaRPr lang="fr-CA" sz="1200" kern="1200">
                <a:solidFill>
                  <a:srgbClr val="AADCD7"/>
                </a:solidFill>
                <a:latin typeface="Aptos Narrow" panose="020B0004020202020204" pitchFamily="34" charset="0"/>
              </a:endParaRPr>
            </a:p>
          </xdr:txBody>
        </xdr:sp>
        <xdr:sp macro="" textlink="Library!A194">
          <xdr:nvSpPr>
            <xdr:cNvPr id="5137" name="Rectangle 5136">
              <a:extLst>
                <a:ext uri="{FF2B5EF4-FFF2-40B4-BE49-F238E27FC236}">
                  <a16:creationId xmlns:a16="http://schemas.microsoft.com/office/drawing/2014/main" id="{00000000-0008-0000-0800-000011140000}"/>
                </a:ext>
              </a:extLst>
            </xdr:cNvPr>
            <xdr:cNvSpPr/>
          </xdr:nvSpPr>
          <xdr:spPr>
            <a:xfrm>
              <a:off x="9356709" y="10043340"/>
              <a:ext cx="1781800" cy="3201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829CA40-F2BE-45E7-86C0-8751F7D94BFC}" type="TxLink">
                <a:rPr lang="en-US" altLang="ja-JP" sz="1200" b="0" i="0" u="none" strike="noStrike" kern="1200">
                  <a:solidFill>
                    <a:srgbClr val="AADCD7"/>
                  </a:solidFill>
                  <a:latin typeface="Aptos Narrow" panose="020B0004020202020204" pitchFamily="34" charset="0"/>
                  <a:cs typeface="Arial"/>
                </a:rPr>
                <a:pPr algn="r"/>
                <a:t>Net Annual Salary :</a:t>
              </a:fld>
              <a:endParaRPr lang="fr-CA" sz="1200" kern="1200">
                <a:solidFill>
                  <a:srgbClr val="AADCD7"/>
                </a:solidFill>
                <a:latin typeface="Aptos Narrow" panose="020B0004020202020204" pitchFamily="34" charset="0"/>
              </a:endParaRPr>
            </a:p>
          </xdr:txBody>
        </xdr:sp>
        <xdr:sp macro="" textlink="Library!A195">
          <xdr:nvSpPr>
            <xdr:cNvPr id="5568" name="Rectangle 5567">
              <a:extLst>
                <a:ext uri="{FF2B5EF4-FFF2-40B4-BE49-F238E27FC236}">
                  <a16:creationId xmlns:a16="http://schemas.microsoft.com/office/drawing/2014/main" id="{00000000-0008-0000-0800-0000C0150000}"/>
                </a:ext>
              </a:extLst>
            </xdr:cNvPr>
            <xdr:cNvSpPr/>
          </xdr:nvSpPr>
          <xdr:spPr>
            <a:xfrm>
              <a:off x="9828454" y="10376604"/>
              <a:ext cx="1310056" cy="27874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AAB8FF45-E028-472D-A226-A1EFA3DE8941}" type="TxLink">
                <a:rPr lang="en-US" altLang="ja-JP" sz="1200" b="0" i="0" u="none" strike="noStrike" kern="1200">
                  <a:solidFill>
                    <a:srgbClr val="AADCD7"/>
                  </a:solidFill>
                  <a:latin typeface="Aptos Narrow" panose="020B0004020202020204" pitchFamily="34" charset="0"/>
                  <a:cs typeface="Arial"/>
                </a:rPr>
                <a:pPr algn="r"/>
                <a:t>Net Monthly :</a:t>
              </a:fld>
              <a:endParaRPr lang="fr-CA" sz="1200" kern="1200">
                <a:solidFill>
                  <a:srgbClr val="AADCD7"/>
                </a:solidFill>
                <a:latin typeface="Aptos Narrow" panose="020B0004020202020204" pitchFamily="34" charset="0"/>
              </a:endParaRPr>
            </a:p>
          </xdr:txBody>
        </xdr:sp>
        <xdr:sp macro="" textlink="Library!A196">
          <xdr:nvSpPr>
            <xdr:cNvPr id="5569" name="Rectangle 5568">
              <a:extLst>
                <a:ext uri="{FF2B5EF4-FFF2-40B4-BE49-F238E27FC236}">
                  <a16:creationId xmlns:a16="http://schemas.microsoft.com/office/drawing/2014/main" id="{00000000-0008-0000-0800-0000C1150000}"/>
                </a:ext>
              </a:extLst>
            </xdr:cNvPr>
            <xdr:cNvSpPr/>
          </xdr:nvSpPr>
          <xdr:spPr>
            <a:xfrm>
              <a:off x="9828454" y="10688257"/>
              <a:ext cx="1310056" cy="27874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C2F362F2-2F1D-4ABA-BB96-1D25FC534DC2}" type="TxLink">
                <a:rPr lang="en-US" altLang="ja-JP" sz="1200" b="0" i="0" u="none" strike="noStrike" kern="1200">
                  <a:solidFill>
                    <a:srgbClr val="AADCD7"/>
                  </a:solidFill>
                  <a:latin typeface="Aptos Narrow" panose="020B0004020202020204" pitchFamily="34" charset="0"/>
                  <a:cs typeface="Arial"/>
                </a:rPr>
                <a:pPr algn="r"/>
                <a:t>Bi-Menseul Net :</a:t>
              </a:fld>
              <a:endParaRPr lang="fr-CA" sz="1200" kern="1200">
                <a:solidFill>
                  <a:srgbClr val="AADCD7"/>
                </a:solidFill>
                <a:latin typeface="Aptos Narrow" panose="020B0004020202020204" pitchFamily="34" charset="0"/>
              </a:endParaRPr>
            </a:p>
          </xdr:txBody>
        </xdr:sp>
        <xdr:sp macro="" textlink="Sheet1!B27">
          <xdr:nvSpPr>
            <xdr:cNvPr id="5572" name="Rectangle 5571">
              <a:extLst>
                <a:ext uri="{FF2B5EF4-FFF2-40B4-BE49-F238E27FC236}">
                  <a16:creationId xmlns:a16="http://schemas.microsoft.com/office/drawing/2014/main" id="{00000000-0008-0000-0800-0000C4150000}"/>
                </a:ext>
              </a:extLst>
            </xdr:cNvPr>
            <xdr:cNvSpPr/>
          </xdr:nvSpPr>
          <xdr:spPr>
            <a:xfrm>
              <a:off x="11162170" y="10071409"/>
              <a:ext cx="1011905" cy="2630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06E2173-09CA-4FE6-92E1-156FBE4B6611}" type="TxLink">
                <a:rPr lang="en-US" sz="1200" b="0" i="0" u="none" strike="noStrike" kern="1200">
                  <a:solidFill>
                    <a:srgbClr val="AADCD7"/>
                  </a:solidFill>
                  <a:latin typeface="Aptos Narrow" panose="020B0004020202020204" pitchFamily="34" charset="0"/>
                  <a:cs typeface="Arial"/>
                </a:rPr>
                <a:pPr algn="ctr"/>
                <a:t> 0.00 $</a:t>
              </a:fld>
              <a:endParaRPr lang="fr-CA" sz="1200" kern="1200">
                <a:solidFill>
                  <a:srgbClr val="AADCD7"/>
                </a:solidFill>
                <a:latin typeface="Aptos Narrow" panose="020B0004020202020204" pitchFamily="34" charset="0"/>
              </a:endParaRPr>
            </a:p>
          </xdr:txBody>
        </xdr:sp>
        <xdr:sp macro="" textlink="Sheet1!B28">
          <xdr:nvSpPr>
            <xdr:cNvPr id="5573" name="Rectangle 5572">
              <a:extLst>
                <a:ext uri="{FF2B5EF4-FFF2-40B4-BE49-F238E27FC236}">
                  <a16:creationId xmlns:a16="http://schemas.microsoft.com/office/drawing/2014/main" id="{00000000-0008-0000-0800-0000C5150000}"/>
                </a:ext>
              </a:extLst>
            </xdr:cNvPr>
            <xdr:cNvSpPr/>
          </xdr:nvSpPr>
          <xdr:spPr>
            <a:xfrm>
              <a:off x="11140227" y="10384466"/>
              <a:ext cx="1011905" cy="2630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5C94E93-0FE3-497B-8DBA-5F47A690F75E}" type="TxLink">
                <a:rPr lang="en-US" sz="1200" b="0" i="0" u="none" strike="noStrike" kern="1200">
                  <a:solidFill>
                    <a:srgbClr val="AADCD7"/>
                  </a:solidFill>
                  <a:latin typeface="Aptos Narrow" panose="020B0004020202020204" pitchFamily="34" charset="0"/>
                  <a:cs typeface="Arial"/>
                </a:rPr>
                <a:pPr algn="ctr"/>
                <a:t> 0.00 $</a:t>
              </a:fld>
              <a:endParaRPr lang="fr-CA" sz="1200" kern="1200">
                <a:solidFill>
                  <a:srgbClr val="AADCD7"/>
                </a:solidFill>
                <a:latin typeface="Aptos Narrow" panose="020B0004020202020204" pitchFamily="34" charset="0"/>
              </a:endParaRPr>
            </a:p>
          </xdr:txBody>
        </xdr:sp>
        <xdr:sp macro="" textlink="Sheet1!B29">
          <xdr:nvSpPr>
            <xdr:cNvPr id="5574" name="Rectangle 5573">
              <a:extLst>
                <a:ext uri="{FF2B5EF4-FFF2-40B4-BE49-F238E27FC236}">
                  <a16:creationId xmlns:a16="http://schemas.microsoft.com/office/drawing/2014/main" id="{00000000-0008-0000-0800-0000C6150000}"/>
                </a:ext>
              </a:extLst>
            </xdr:cNvPr>
            <xdr:cNvSpPr/>
          </xdr:nvSpPr>
          <xdr:spPr>
            <a:xfrm>
              <a:off x="11153707" y="10696119"/>
              <a:ext cx="1011905" cy="2630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DCCFE47-E1AB-40C3-A252-CE95542D1A24}" type="TxLink">
                <a:rPr lang="en-US" sz="1200" b="0" i="0" u="none" strike="noStrike" kern="1200">
                  <a:solidFill>
                    <a:srgbClr val="AADCD7"/>
                  </a:solidFill>
                  <a:latin typeface="Aptos Narrow" panose="020B0004020202020204" pitchFamily="34" charset="0"/>
                  <a:cs typeface="Arial"/>
                </a:rPr>
                <a:pPr algn="ctr"/>
                <a:t> 0.00 $</a:t>
              </a:fld>
              <a:endParaRPr lang="fr-CA" sz="1200" kern="1200">
                <a:solidFill>
                  <a:srgbClr val="AADCD7"/>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5439" name="Salaire" hidden="1">
                  <a:extLst>
                    <a:ext uri="{63B3BB69-23CF-44E3-9099-C40C66FF867C}">
                      <a14:compatExt spid="_x0000_s5179"/>
                    </a:ext>
                    <a:ext uri="{FF2B5EF4-FFF2-40B4-BE49-F238E27FC236}">
                      <a16:creationId xmlns:a16="http://schemas.microsoft.com/office/drawing/2014/main" id="{00000000-0008-0000-0800-00003F150000}"/>
                    </a:ext>
                  </a:extLst>
                </xdr:cNvPr>
                <xdr:cNvSpPr/>
              </xdr:nvSpPr>
              <xdr:spPr bwMode="auto">
                <a:xfrm>
                  <a:off x="11173786" y="9771576"/>
                  <a:ext cx="897032" cy="28232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Library!A198">
          <xdr:nvSpPr>
            <xdr:cNvPr id="5590" name="Rectangle 5589">
              <a:extLst>
                <a:ext uri="{FF2B5EF4-FFF2-40B4-BE49-F238E27FC236}">
                  <a16:creationId xmlns:a16="http://schemas.microsoft.com/office/drawing/2014/main" id="{00000000-0008-0000-0800-0000D6150000}"/>
                </a:ext>
              </a:extLst>
            </xdr:cNvPr>
            <xdr:cNvSpPr/>
          </xdr:nvSpPr>
          <xdr:spPr>
            <a:xfrm>
              <a:off x="9663821" y="11702073"/>
              <a:ext cx="1427977" cy="3185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E87E579C-6A4F-45D6-8C1B-B5797C9A10B0}" type="TxLink">
                <a:rPr lang="en-US" sz="1200" b="0" i="0" u="none" strike="noStrike" kern="1200">
                  <a:solidFill>
                    <a:srgbClr val="AADCD7"/>
                  </a:solidFill>
                  <a:latin typeface="Aptos Narrow" panose="020B0004020202020204" pitchFamily="34" charset="0"/>
                  <a:cs typeface="Arial"/>
                </a:rPr>
                <a:pPr algn="r"/>
                <a:t>TFSA ceiling :</a:t>
              </a:fld>
              <a:endParaRPr lang="fr-CA" sz="1200" kern="1200">
                <a:solidFill>
                  <a:srgbClr val="AADCD7"/>
                </a:solidFill>
                <a:latin typeface="Aptos Narrow" panose="020B0004020202020204" pitchFamily="34" charset="0"/>
              </a:endParaRPr>
            </a:p>
          </xdr:txBody>
        </xdr:sp>
        <xdr:sp macro="" textlink="Sheet1!L36">
          <xdr:nvSpPr>
            <xdr:cNvPr id="5571" name="Rectangle 5570">
              <a:extLst>
                <a:ext uri="{FF2B5EF4-FFF2-40B4-BE49-F238E27FC236}">
                  <a16:creationId xmlns:a16="http://schemas.microsoft.com/office/drawing/2014/main" id="{00000000-0008-0000-0800-0000C3150000}"/>
                </a:ext>
              </a:extLst>
            </xdr:cNvPr>
            <xdr:cNvSpPr/>
          </xdr:nvSpPr>
          <xdr:spPr>
            <a:xfrm>
              <a:off x="11160740" y="11702075"/>
              <a:ext cx="974474" cy="3185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6E14427-403E-49F1-B9E2-9767B2C27A93}" type="TxLink">
                <a:rPr lang="en-US" sz="1200" b="0" i="0" u="none" strike="noStrike" kern="1200">
                  <a:solidFill>
                    <a:srgbClr val="AADCD7"/>
                  </a:solidFill>
                  <a:latin typeface="Aptos Narrow" panose="020B0004020202020204" pitchFamily="34" charset="0"/>
                  <a:cs typeface="Arial"/>
                </a:rPr>
                <a:pPr algn="ctr"/>
                <a:t>87 000 $</a:t>
              </a:fld>
              <a:endParaRPr lang="fr-CA" sz="1200" kern="1200">
                <a:solidFill>
                  <a:srgbClr val="AADCD7"/>
                </a:solidFill>
                <a:latin typeface="Aptos Narrow" panose="020B0004020202020204" pitchFamily="34" charset="0"/>
              </a:endParaRPr>
            </a:p>
          </xdr:txBody>
        </xdr:sp>
        <xdr:cxnSp macro="">
          <xdr:nvCxnSpPr>
            <xdr:cNvPr id="58" name="Straight Connector 57">
              <a:extLst>
                <a:ext uri="{FF2B5EF4-FFF2-40B4-BE49-F238E27FC236}">
                  <a16:creationId xmlns:a16="http://schemas.microsoft.com/office/drawing/2014/main" id="{00000000-0008-0000-0800-00003A000000}"/>
                </a:ext>
              </a:extLst>
            </xdr:cNvPr>
            <xdr:cNvCxnSpPr/>
          </xdr:nvCxnSpPr>
          <xdr:spPr>
            <a:xfrm>
              <a:off x="9021861" y="11051203"/>
              <a:ext cx="3715725" cy="21498"/>
            </a:xfrm>
            <a:prstGeom prst="line">
              <a:avLst/>
            </a:prstGeom>
            <a:ln>
              <a:solidFill>
                <a:srgbClr val="AADCD7"/>
              </a:solidFill>
            </a:ln>
          </xdr:spPr>
          <xdr:style>
            <a:lnRef idx="1">
              <a:schemeClr val="accent1"/>
            </a:lnRef>
            <a:fillRef idx="0">
              <a:schemeClr val="accent1"/>
            </a:fillRef>
            <a:effectRef idx="0">
              <a:schemeClr val="accent1"/>
            </a:effectRef>
            <a:fontRef idx="minor">
              <a:schemeClr val="tx1"/>
            </a:fontRef>
          </xdr:style>
        </xdr:cxnSp>
        <xdr:cxnSp macro="">
          <xdr:nvCxnSpPr>
            <xdr:cNvPr id="5376" name="Straight Connector 5375">
              <a:extLst>
                <a:ext uri="{FF2B5EF4-FFF2-40B4-BE49-F238E27FC236}">
                  <a16:creationId xmlns:a16="http://schemas.microsoft.com/office/drawing/2014/main" id="{00000000-0008-0000-0800-000000150000}"/>
                </a:ext>
              </a:extLst>
            </xdr:cNvPr>
            <xdr:cNvCxnSpPr/>
          </xdr:nvCxnSpPr>
          <xdr:spPr>
            <a:xfrm>
              <a:off x="9045266" y="12044404"/>
              <a:ext cx="3715725" cy="21498"/>
            </a:xfrm>
            <a:prstGeom prst="line">
              <a:avLst/>
            </a:prstGeom>
            <a:ln>
              <a:solidFill>
                <a:srgbClr val="AADCD7"/>
              </a:solidFill>
            </a:ln>
          </xdr:spPr>
          <xdr:style>
            <a:lnRef idx="1">
              <a:schemeClr val="accent1"/>
            </a:lnRef>
            <a:fillRef idx="0">
              <a:schemeClr val="accent1"/>
            </a:fillRef>
            <a:effectRef idx="0">
              <a:schemeClr val="accent1"/>
            </a:effectRef>
            <a:fontRef idx="minor">
              <a:schemeClr val="tx1"/>
            </a:fontRef>
          </xdr:style>
        </xdr:cxnSp>
        <xdr:sp macro="" textlink="Library!A192">
          <xdr:nvSpPr>
            <xdr:cNvPr id="5877" name="TextBox 5876">
              <a:extLst>
                <a:ext uri="{FF2B5EF4-FFF2-40B4-BE49-F238E27FC236}">
                  <a16:creationId xmlns:a16="http://schemas.microsoft.com/office/drawing/2014/main" id="{00000000-0008-0000-0800-0000F5160000}"/>
                </a:ext>
              </a:extLst>
            </xdr:cNvPr>
            <xdr:cNvSpPr txBox="1"/>
          </xdr:nvSpPr>
          <xdr:spPr>
            <a:xfrm>
              <a:off x="9279671" y="9217436"/>
              <a:ext cx="1858839" cy="436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903103-7C15-4005-BEBD-9F48B3D907DB}" type="TxLink">
                <a:rPr lang="en-US" altLang="ja-JP" sz="1600" b="0" i="0" u="none" strike="noStrike" kern="1200">
                  <a:solidFill>
                    <a:srgbClr val="AADCD7"/>
                  </a:solidFill>
                  <a:latin typeface="Aptos Narrow" panose="020B0004020202020204" pitchFamily="34" charset="0"/>
                  <a:cs typeface="Arial"/>
                </a:rPr>
                <a:pPr algn="r"/>
                <a:t>SALARY MANAGEMENT :</a:t>
              </a:fld>
              <a:endParaRPr lang="fr-CA" sz="1600" kern="1200">
                <a:solidFill>
                  <a:srgbClr val="AADCD7"/>
                </a:solidFill>
                <a:latin typeface="Aptos Narrow" panose="020B0004020202020204" pitchFamily="34" charset="0"/>
              </a:endParaRPr>
            </a:p>
          </xdr:txBody>
        </xdr:sp>
        <xdr:sp macro="" textlink="Library!A197">
          <xdr:nvSpPr>
            <xdr:cNvPr id="5878" name="TextBox 5877">
              <a:extLst>
                <a:ext uri="{FF2B5EF4-FFF2-40B4-BE49-F238E27FC236}">
                  <a16:creationId xmlns:a16="http://schemas.microsoft.com/office/drawing/2014/main" id="{00000000-0008-0000-0800-0000F6160000}"/>
                </a:ext>
              </a:extLst>
            </xdr:cNvPr>
            <xdr:cNvSpPr txBox="1"/>
          </xdr:nvSpPr>
          <xdr:spPr>
            <a:xfrm>
              <a:off x="9234465" y="11210287"/>
              <a:ext cx="1858839" cy="436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6E0DC7D-1E6D-4A4A-9E87-6EFB2AECD8AC}" type="TxLink">
                <a:rPr lang="en-US" sz="1600" b="0" i="0" u="none" strike="noStrike" kern="1200">
                  <a:solidFill>
                    <a:srgbClr val="AADCD7"/>
                  </a:solidFill>
                  <a:latin typeface="Aptos Narrow" panose="020B0004020202020204" pitchFamily="34" charset="0"/>
                  <a:cs typeface="Arial"/>
                </a:rPr>
                <a:pPr algn="r"/>
                <a:t>TFSA MANAGEMENT :</a:t>
              </a:fld>
              <a:endParaRPr lang="fr-CA" sz="1600" kern="1200">
                <a:solidFill>
                  <a:srgbClr val="AADCD7"/>
                </a:solidFill>
                <a:latin typeface="Aptos Narrow" panose="020B0004020202020204" pitchFamily="34" charset="0"/>
              </a:endParaRPr>
            </a:p>
          </xdr:txBody>
        </xdr:sp>
        <xdr:sp macro="" textlink="Library!A199">
          <xdr:nvSpPr>
            <xdr:cNvPr id="5880" name="TextBox 5879">
              <a:extLst>
                <a:ext uri="{FF2B5EF4-FFF2-40B4-BE49-F238E27FC236}">
                  <a16:creationId xmlns:a16="http://schemas.microsoft.com/office/drawing/2014/main" id="{00000000-0008-0000-0800-0000F8160000}"/>
                </a:ext>
              </a:extLst>
            </xdr:cNvPr>
            <xdr:cNvSpPr txBox="1"/>
          </xdr:nvSpPr>
          <xdr:spPr>
            <a:xfrm>
              <a:off x="8944526" y="12149743"/>
              <a:ext cx="2148777" cy="436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8489D87-7C37-47DB-8EC9-DE58AE7243EF}" type="TxLink">
                <a:rPr lang="en-US" altLang="ja-JP" sz="1600" b="0" i="0" u="none" strike="noStrike" kern="1200">
                  <a:solidFill>
                    <a:srgbClr val="AADCD7"/>
                  </a:solidFill>
                  <a:latin typeface="Aptos Narrow" panose="020B0004020202020204" pitchFamily="34" charset="0"/>
                  <a:cs typeface="Arial"/>
                </a:rPr>
                <a:pPr algn="r"/>
                <a:t>SAVINGS MANAGEMENT :</a:t>
              </a:fld>
              <a:endParaRPr lang="fr-CA" sz="1600" kern="1200">
                <a:solidFill>
                  <a:srgbClr val="AADCD7"/>
                </a:solidFill>
                <a:latin typeface="Aptos Narrow" panose="020B0004020202020204" pitchFamily="34" charset="0"/>
              </a:endParaRPr>
            </a:p>
          </xdr:txBody>
        </xdr:sp>
        <xdr:sp macro="[0]!Chart_Analyse.SETTING_EP" textlink="">
          <xdr:nvSpPr>
            <xdr:cNvPr id="5396" name="Rectangle: Rounded Corners 5395">
              <a:extLst>
                <a:ext uri="{FF2B5EF4-FFF2-40B4-BE49-F238E27FC236}">
                  <a16:creationId xmlns:a16="http://schemas.microsoft.com/office/drawing/2014/main" id="{00000000-0008-0000-0800-000014150000}"/>
                </a:ext>
              </a:extLst>
            </xdr:cNvPr>
            <xdr:cNvSpPr/>
          </xdr:nvSpPr>
          <xdr:spPr>
            <a:xfrm>
              <a:off x="11194751" y="12258173"/>
              <a:ext cx="1092431" cy="236558"/>
            </a:xfrm>
            <a:prstGeom prst="roundRect">
              <a:avLst>
                <a:gd name="adj" fmla="val 50000"/>
              </a:avLst>
            </a:prstGeom>
            <a:solidFill>
              <a:srgbClr val="A9FEFB"/>
            </a:solidFill>
            <a:ln>
              <a:solidFill>
                <a:srgbClr val="A9FEF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ysClr val="windowText" lastClr="000000"/>
                  </a:solidFill>
                  <a:latin typeface="Aptos Narrow" panose="020B0004020202020204" pitchFamily="34" charset="0"/>
                </a:rPr>
                <a:t>SETTINGS</a:t>
              </a:r>
              <a:endParaRPr lang="fr-CA" sz="1200" b="1" kern="1200">
                <a:solidFill>
                  <a:sysClr val="windowText" lastClr="000000"/>
                </a:solidFill>
                <a:latin typeface="Aptos Narrow" panose="020B0004020202020204" pitchFamily="34" charset="0"/>
              </a:endParaRPr>
            </a:p>
          </xdr:txBody>
        </xdr:sp>
        <xdr:sp macro="[0]!Chart_Analyse.SETTING_CELI" textlink="">
          <xdr:nvSpPr>
            <xdr:cNvPr id="5399" name="Rectangle: Rounded Corners 5398">
              <a:extLst>
                <a:ext uri="{FF2B5EF4-FFF2-40B4-BE49-F238E27FC236}">
                  <a16:creationId xmlns:a16="http://schemas.microsoft.com/office/drawing/2014/main" id="{00000000-0008-0000-0800-000017150000}"/>
                </a:ext>
              </a:extLst>
            </xdr:cNvPr>
            <xdr:cNvSpPr/>
          </xdr:nvSpPr>
          <xdr:spPr>
            <a:xfrm>
              <a:off x="11194751" y="11305484"/>
              <a:ext cx="1092431" cy="236558"/>
            </a:xfrm>
            <a:prstGeom prst="roundRect">
              <a:avLst>
                <a:gd name="adj" fmla="val 50000"/>
              </a:avLst>
            </a:prstGeom>
            <a:solidFill>
              <a:srgbClr val="A9FEFB"/>
            </a:solidFill>
            <a:ln>
              <a:solidFill>
                <a:srgbClr val="4CFE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ysClr val="windowText" lastClr="000000"/>
                  </a:solidFill>
                  <a:latin typeface="Aptos Narrow" panose="020B0004020202020204" pitchFamily="34" charset="0"/>
                </a:rPr>
                <a:t>SETTINGS</a:t>
              </a:r>
              <a:endParaRPr lang="fr-CA" sz="1200" b="1" kern="1200">
                <a:solidFill>
                  <a:sysClr val="windowText" lastClr="000000"/>
                </a:solidFill>
                <a:latin typeface="Aptos Narrow" panose="020B0004020202020204" pitchFamily="34" charset="0"/>
              </a:endParaRPr>
            </a:p>
          </xdr:txBody>
        </xdr:sp>
        <xdr:sp macro="[0]!Chart_Analyse.SETTING_NetIncome" textlink="">
          <xdr:nvSpPr>
            <xdr:cNvPr id="5410" name="Rectangle: Rounded Corners 5409">
              <a:extLst>
                <a:ext uri="{FF2B5EF4-FFF2-40B4-BE49-F238E27FC236}">
                  <a16:creationId xmlns:a16="http://schemas.microsoft.com/office/drawing/2014/main" id="{00000000-0008-0000-0800-000022150000}"/>
                </a:ext>
              </a:extLst>
            </xdr:cNvPr>
            <xdr:cNvSpPr/>
          </xdr:nvSpPr>
          <xdr:spPr>
            <a:xfrm>
              <a:off x="11194751" y="9306949"/>
              <a:ext cx="1092431" cy="233487"/>
            </a:xfrm>
            <a:prstGeom prst="roundRect">
              <a:avLst>
                <a:gd name="adj" fmla="val 50000"/>
              </a:avLst>
            </a:prstGeom>
            <a:solidFill>
              <a:srgbClr val="A9FEFB"/>
            </a:solidFill>
            <a:ln>
              <a:solidFill>
                <a:srgbClr val="A9FEF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b="1" kern="1200">
                  <a:solidFill>
                    <a:sysClr val="windowText" lastClr="000000"/>
                  </a:solidFill>
                  <a:latin typeface="Aptos Narrow" panose="020B0004020202020204" pitchFamily="34" charset="0"/>
                </a:rPr>
                <a:t>SETTINGS</a:t>
              </a:r>
              <a:endParaRPr lang="fr-CA" sz="1200" b="1" kern="1200">
                <a:solidFill>
                  <a:sysClr val="windowText" lastClr="000000"/>
                </a:solidFill>
                <a:latin typeface="Aptos Narrow" panose="020B0004020202020204" pitchFamily="34" charset="0"/>
              </a:endParaRPr>
            </a:p>
          </xdr:txBody>
        </xdr:sp>
      </xdr:grpSp>
      <xdr:grpSp>
        <xdr:nvGrpSpPr>
          <xdr:cNvPr id="5858" name="Group 5857">
            <a:extLst>
              <a:ext uri="{FF2B5EF4-FFF2-40B4-BE49-F238E27FC236}">
                <a16:creationId xmlns:a16="http://schemas.microsoft.com/office/drawing/2014/main" id="{00000000-0008-0000-0800-0000E2160000}"/>
              </a:ext>
            </a:extLst>
          </xdr:cNvPr>
          <xdr:cNvGrpSpPr/>
        </xdr:nvGrpSpPr>
        <xdr:grpSpPr>
          <a:xfrm>
            <a:off x="174232" y="5460512"/>
            <a:ext cx="8376818" cy="2072416"/>
            <a:chOff x="174232" y="5460512"/>
            <a:chExt cx="8376818" cy="2072416"/>
          </a:xfrm>
        </xdr:grpSpPr>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174232" y="5460512"/>
              <a:ext cx="8376818" cy="2072416"/>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graphicFrame macro="">
          <xdr:nvGraphicFramePr>
            <xdr:cNvPr id="6" name="Flow Chart">
              <a:extLst>
                <a:ext uri="{FF2B5EF4-FFF2-40B4-BE49-F238E27FC236}">
                  <a16:creationId xmlns:a16="http://schemas.microsoft.com/office/drawing/2014/main" id="{00000000-0008-0000-0800-000006000000}"/>
                </a:ext>
              </a:extLst>
            </xdr:cNvPr>
            <xdr:cNvGraphicFramePr>
              <a:graphicFrameLocks/>
            </xdr:cNvGraphicFramePr>
          </xdr:nvGraphicFramePr>
          <xdr:xfrm>
            <a:off x="523407" y="5778500"/>
            <a:ext cx="7762979" cy="1394545"/>
          </xdr:xfrm>
          <a:graphic>
            <a:graphicData uri="http://schemas.openxmlformats.org/drawingml/2006/chart">
              <c:chart xmlns:c="http://schemas.openxmlformats.org/drawingml/2006/chart" xmlns:r="http://schemas.openxmlformats.org/officeDocument/2006/relationships" r:id="rId106"/>
            </a:graphicData>
          </a:graphic>
        </xdr:graphicFrame>
        <xdr:sp macro="" textlink="ControlChart!D20">
          <xdr:nvSpPr>
            <xdr:cNvPr id="10" name="Rectangle 9">
              <a:extLst>
                <a:ext uri="{FF2B5EF4-FFF2-40B4-BE49-F238E27FC236}">
                  <a16:creationId xmlns:a16="http://schemas.microsoft.com/office/drawing/2014/main" id="{00000000-0008-0000-0800-00000A000000}"/>
                </a:ext>
              </a:extLst>
            </xdr:cNvPr>
            <xdr:cNvSpPr/>
          </xdr:nvSpPr>
          <xdr:spPr>
            <a:xfrm>
              <a:off x="7219141" y="5539772"/>
              <a:ext cx="1152276" cy="23081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fld id="{6565D147-0717-4233-BA6B-3E0CB57CABF0}" type="TxLink">
                <a:rPr lang="en-US" sz="1200" b="0" i="0" u="none" strike="noStrike">
                  <a:solidFill>
                    <a:srgbClr val="A9FEFB"/>
                  </a:solidFill>
                  <a:latin typeface="Aptos Narrow" panose="020B0004020202020204" pitchFamily="34" charset="0"/>
                  <a:cs typeface="Arial" panose="020B0604020202020204" pitchFamily="34" charset="0"/>
                </a:rPr>
                <a:pPr algn="l"/>
                <a:t>(0.00$)</a:t>
              </a:fld>
              <a:endParaRPr lang="fr-CA" sz="1200">
                <a:solidFill>
                  <a:srgbClr val="A9FEFB"/>
                </a:solidFill>
                <a:latin typeface="Aptos Narrow" panose="020B0004020202020204" pitchFamily="34" charset="0"/>
                <a:cs typeface="Arial" panose="020B0604020202020204" pitchFamily="34" charset="0"/>
              </a:endParaRPr>
            </a:p>
          </xdr:txBody>
        </xdr:sp>
        <xdr:sp macro="" textlink="ControlChart!B20">
          <xdr:nvSpPr>
            <xdr:cNvPr id="56" name="Rectangle 55">
              <a:extLst>
                <a:ext uri="{FF2B5EF4-FFF2-40B4-BE49-F238E27FC236}">
                  <a16:creationId xmlns:a16="http://schemas.microsoft.com/office/drawing/2014/main" id="{00000000-0008-0000-0800-000038000000}"/>
                </a:ext>
              </a:extLst>
            </xdr:cNvPr>
            <xdr:cNvSpPr/>
          </xdr:nvSpPr>
          <xdr:spPr>
            <a:xfrm>
              <a:off x="6762717" y="5564100"/>
              <a:ext cx="512980" cy="1821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fld id="{A30304EF-7847-4AC0-B785-7AE0065B52BE}" type="TxLink">
                <a:rPr lang="en-US" sz="1200" b="0" i="0" u="none" strike="noStrike">
                  <a:solidFill>
                    <a:srgbClr val="A9FEFB"/>
                  </a:solidFill>
                  <a:latin typeface="Aptos Narrow" panose="020B0004020202020204" pitchFamily="34" charset="0"/>
                  <a:cs typeface="Arial"/>
                </a:rPr>
                <a:pPr algn="l"/>
                <a:t>2025</a:t>
              </a:fld>
              <a:endParaRPr lang="fr-CA" sz="1200">
                <a:solidFill>
                  <a:srgbClr val="A9FEFB"/>
                </a:solidFill>
                <a:latin typeface="Aptos Narrow" panose="020B0004020202020204" pitchFamily="34" charset="0"/>
                <a:cs typeface="Arial" panose="020B0604020202020204" pitchFamily="34" charset="0"/>
              </a:endParaRPr>
            </a:p>
          </xdr:txBody>
        </xdr:sp>
        <mc:AlternateContent xmlns:mc="http://schemas.openxmlformats.org/markup-compatibility/2006" xmlns:a14="http://schemas.microsoft.com/office/drawing/2010/main">
          <mc:Choice Requires="a14">
            <xdr:graphicFrame macro="">
              <xdr:nvGraphicFramePr>
                <xdr:cNvPr id="5845" name="Mois (Name)">
                  <a:extLst>
                    <a:ext uri="{FF2B5EF4-FFF2-40B4-BE49-F238E27FC236}">
                      <a16:creationId xmlns:a16="http://schemas.microsoft.com/office/drawing/2014/main" id="{00000000-0008-0000-0800-0000D5160000}"/>
                    </a:ext>
                  </a:extLst>
                </xdr:cNvPr>
                <xdr:cNvGraphicFramePr/>
              </xdr:nvGraphicFramePr>
              <xdr:xfrm>
                <a:off x="963082" y="7122584"/>
                <a:ext cx="7204541" cy="381000"/>
              </xdr:xfrm>
              <a:graphic>
                <a:graphicData uri="http://schemas.microsoft.com/office/drawing/2010/slicer">
                  <sle:slicer xmlns:sle="http://schemas.microsoft.com/office/drawing/2010/slicer" name="Mois (Name)"/>
                </a:graphicData>
              </a:graphic>
            </xdr:graphicFrame>
          </mc:Choice>
          <mc:Fallback xmlns="">
            <xdr:sp macro="" textlink="">
              <xdr:nvSpPr>
                <xdr:cNvPr id="0" name=""/>
                <xdr:cNvSpPr>
                  <a:spLocks noTextEdit="1"/>
                </xdr:cNvSpPr>
              </xdr:nvSpPr>
              <xdr:spPr>
                <a:xfrm>
                  <a:off x="963082" y="7122584"/>
                  <a:ext cx="7204541" cy="381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46" name="Mois (Quarter) 1">
                  <a:extLst>
                    <a:ext uri="{FF2B5EF4-FFF2-40B4-BE49-F238E27FC236}">
                      <a16:creationId xmlns:a16="http://schemas.microsoft.com/office/drawing/2014/main" id="{00000000-0008-0000-0800-0000D6160000}"/>
                    </a:ext>
                  </a:extLst>
                </xdr:cNvPr>
                <xdr:cNvGraphicFramePr/>
              </xdr:nvGraphicFramePr>
              <xdr:xfrm>
                <a:off x="486833" y="5502253"/>
                <a:ext cx="2532888" cy="329184"/>
              </xdr:xfrm>
              <a:graphic>
                <a:graphicData uri="http://schemas.microsoft.com/office/drawing/2010/slicer">
                  <sle:slicer xmlns:sle="http://schemas.microsoft.com/office/drawing/2010/slicer" name="Mois (Quarter) 1"/>
                </a:graphicData>
              </a:graphic>
            </xdr:graphicFrame>
          </mc:Choice>
          <mc:Fallback xmlns="">
            <xdr:sp macro="" textlink="">
              <xdr:nvSpPr>
                <xdr:cNvPr id="0" name=""/>
                <xdr:cNvSpPr>
                  <a:spLocks noTextEdit="1"/>
                </xdr:cNvSpPr>
              </xdr:nvSpPr>
              <xdr:spPr>
                <a:xfrm>
                  <a:off x="486833" y="5502253"/>
                  <a:ext cx="2532888" cy="32918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56" name="Année 1">
                  <a:extLst>
                    <a:ext uri="{FF2B5EF4-FFF2-40B4-BE49-F238E27FC236}">
                      <a16:creationId xmlns:a16="http://schemas.microsoft.com/office/drawing/2014/main" id="{00000000-0008-0000-0800-0000E0160000}"/>
                    </a:ext>
                  </a:extLst>
                </xdr:cNvPr>
                <xdr:cNvGraphicFramePr/>
              </xdr:nvGraphicFramePr>
              <xdr:xfrm>
                <a:off x="3005667" y="5497681"/>
                <a:ext cx="1618488" cy="338328"/>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3005667" y="5497681"/>
                  <a:ext cx="1618488" cy="33832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57" name="Cat_2 2">
                  <a:extLst>
                    <a:ext uri="{FF2B5EF4-FFF2-40B4-BE49-F238E27FC236}">
                      <a16:creationId xmlns:a16="http://schemas.microsoft.com/office/drawing/2014/main" id="{00000000-0008-0000-0800-0000E1160000}"/>
                    </a:ext>
                  </a:extLst>
                </xdr:cNvPr>
                <xdr:cNvGraphicFramePr/>
              </xdr:nvGraphicFramePr>
              <xdr:xfrm>
                <a:off x="4624917" y="5497681"/>
                <a:ext cx="2190201" cy="338328"/>
              </xdr:xfrm>
              <a:graphic>
                <a:graphicData uri="http://schemas.microsoft.com/office/drawing/2010/slicer">
                  <sle:slicer xmlns:sle="http://schemas.microsoft.com/office/drawing/2010/slicer" name="Cat_2 2"/>
                </a:graphicData>
              </a:graphic>
            </xdr:graphicFrame>
          </mc:Choice>
          <mc:Fallback xmlns="">
            <xdr:sp macro="" textlink="">
              <xdr:nvSpPr>
                <xdr:cNvPr id="0" name=""/>
                <xdr:cNvSpPr>
                  <a:spLocks noTextEdit="1"/>
                </xdr:cNvSpPr>
              </xdr:nvSpPr>
              <xdr:spPr>
                <a:xfrm>
                  <a:off x="4624917" y="5497681"/>
                  <a:ext cx="2190201" cy="33832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908" name="Group 5907">
            <a:extLst>
              <a:ext uri="{FF2B5EF4-FFF2-40B4-BE49-F238E27FC236}">
                <a16:creationId xmlns:a16="http://schemas.microsoft.com/office/drawing/2014/main" id="{00000000-0008-0000-0800-000014170000}"/>
              </a:ext>
            </a:extLst>
          </xdr:cNvPr>
          <xdr:cNvGrpSpPr/>
        </xdr:nvGrpSpPr>
        <xdr:grpSpPr>
          <a:xfrm>
            <a:off x="4564440" y="167574"/>
            <a:ext cx="8404679" cy="1329962"/>
            <a:chOff x="4564440" y="167574"/>
            <a:chExt cx="8404679" cy="1329962"/>
          </a:xfrm>
        </xdr:grpSpPr>
        <xdr:sp macro="" textlink="" fLocksText="0">
          <xdr:nvSpPr>
            <xdr:cNvPr id="5183" name="Rectangle 5182">
              <a:extLst>
                <a:ext uri="{FF2B5EF4-FFF2-40B4-BE49-F238E27FC236}">
                  <a16:creationId xmlns:a16="http://schemas.microsoft.com/office/drawing/2014/main" id="{00000000-0008-0000-0800-00003F140000}"/>
                </a:ext>
              </a:extLst>
            </xdr:cNvPr>
            <xdr:cNvSpPr/>
          </xdr:nvSpPr>
          <xdr:spPr>
            <a:xfrm>
              <a:off x="4564440" y="167574"/>
              <a:ext cx="8404679" cy="1329962"/>
            </a:xfrm>
            <a:prstGeom prst="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mc:AlternateContent xmlns:mc="http://schemas.openxmlformats.org/markup-compatibility/2006" xmlns:a14="http://schemas.microsoft.com/office/drawing/2010/main">
          <mc:Choice Requires="a14">
            <xdr:graphicFrame macro="">
              <xdr:nvGraphicFramePr>
                <xdr:cNvPr id="5883" name="Slicer_Année4">
                  <a:extLst>
                    <a:ext uri="{FF2B5EF4-FFF2-40B4-BE49-F238E27FC236}">
                      <a16:creationId xmlns:a16="http://schemas.microsoft.com/office/drawing/2014/main" id="{00000000-0008-0000-0800-0000FB160000}"/>
                    </a:ext>
                  </a:extLst>
                </xdr:cNvPr>
                <xdr:cNvGraphicFramePr/>
              </xdr:nvGraphicFramePr>
              <xdr:xfrm>
                <a:off x="4656667" y="242929"/>
                <a:ext cx="8174736" cy="374904"/>
              </xdr:xfrm>
              <a:graphic>
                <a:graphicData uri="http://schemas.microsoft.com/office/drawing/2010/slicer">
                  <sle:slicer xmlns:sle="http://schemas.microsoft.com/office/drawing/2010/slicer" name="Slicer_Année4"/>
                </a:graphicData>
              </a:graphic>
            </xdr:graphicFrame>
          </mc:Choice>
          <mc:Fallback xmlns="">
            <xdr:sp macro="" textlink="">
              <xdr:nvSpPr>
                <xdr:cNvPr id="0" name=""/>
                <xdr:cNvSpPr>
                  <a:spLocks noTextEdit="1"/>
                </xdr:cNvSpPr>
              </xdr:nvSpPr>
              <xdr:spPr>
                <a:xfrm>
                  <a:off x="4656667" y="242929"/>
                  <a:ext cx="8174736" cy="37490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468" name="Mois (Quarter) 3">
                  <a:extLst>
                    <a:ext uri="{FF2B5EF4-FFF2-40B4-BE49-F238E27FC236}">
                      <a16:creationId xmlns:a16="http://schemas.microsoft.com/office/drawing/2014/main" id="{00000000-0008-0000-0800-00005C150000}"/>
                    </a:ext>
                  </a:extLst>
                </xdr:cNvPr>
                <xdr:cNvGraphicFramePr/>
              </xdr:nvGraphicFramePr>
              <xdr:xfrm>
                <a:off x="4656667" y="640048"/>
                <a:ext cx="2770632" cy="374904"/>
              </xdr:xfrm>
              <a:graphic>
                <a:graphicData uri="http://schemas.microsoft.com/office/drawing/2010/slicer">
                  <sle:slicer xmlns:sle="http://schemas.microsoft.com/office/drawing/2010/slicer" name="Mois (Quarter) 3"/>
                </a:graphicData>
              </a:graphic>
            </xdr:graphicFrame>
          </mc:Choice>
          <mc:Fallback xmlns="">
            <xdr:sp macro="" textlink="">
              <xdr:nvSpPr>
                <xdr:cNvPr id="0" name=""/>
                <xdr:cNvSpPr>
                  <a:spLocks noTextEdit="1"/>
                </xdr:cNvSpPr>
              </xdr:nvSpPr>
              <xdr:spPr>
                <a:xfrm>
                  <a:off x="4656667" y="640048"/>
                  <a:ext cx="2770632" cy="37490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489" name="Mois (Name) 2">
                  <a:extLst>
                    <a:ext uri="{FF2B5EF4-FFF2-40B4-BE49-F238E27FC236}">
                      <a16:creationId xmlns:a16="http://schemas.microsoft.com/office/drawing/2014/main" id="{00000000-0008-0000-0800-000071150000}"/>
                    </a:ext>
                  </a:extLst>
                </xdr:cNvPr>
                <xdr:cNvGraphicFramePr/>
              </xdr:nvGraphicFramePr>
              <xdr:xfrm>
                <a:off x="4656667" y="1037167"/>
                <a:ext cx="8174736" cy="374904"/>
              </xdr:xfrm>
              <a:graphic>
                <a:graphicData uri="http://schemas.microsoft.com/office/drawing/2010/slicer">
                  <sle:slicer xmlns:sle="http://schemas.microsoft.com/office/drawing/2010/slicer" name="Mois (Name) 2"/>
                </a:graphicData>
              </a:graphic>
            </xdr:graphicFrame>
          </mc:Choice>
          <mc:Fallback xmlns="">
            <xdr:sp macro="" textlink="">
              <xdr:nvSpPr>
                <xdr:cNvPr id="0" name=""/>
                <xdr:cNvSpPr>
                  <a:spLocks noTextEdit="1"/>
                </xdr:cNvSpPr>
              </xdr:nvSpPr>
              <xdr:spPr>
                <a:xfrm>
                  <a:off x="4656667" y="1037167"/>
                  <a:ext cx="8174736" cy="37490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913" name="Group 5912">
            <a:extLst>
              <a:ext uri="{FF2B5EF4-FFF2-40B4-BE49-F238E27FC236}">
                <a16:creationId xmlns:a16="http://schemas.microsoft.com/office/drawing/2014/main" id="{00000000-0008-0000-0800-000019170000}"/>
              </a:ext>
            </a:extLst>
          </xdr:cNvPr>
          <xdr:cNvGrpSpPr/>
        </xdr:nvGrpSpPr>
        <xdr:grpSpPr>
          <a:xfrm>
            <a:off x="8702900" y="5451250"/>
            <a:ext cx="4373686" cy="3400486"/>
            <a:chOff x="8702900" y="5451250"/>
            <a:chExt cx="4373686" cy="3400486"/>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8702900" y="5451250"/>
              <a:ext cx="4373686" cy="3400486"/>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8731654" y="5711432"/>
            <a:ext cx="2912545" cy="3051964"/>
          </xdr:xfrm>
          <a:graphic>
            <a:graphicData uri="http://schemas.openxmlformats.org/drawingml/2006/chart">
              <c:chart xmlns:c="http://schemas.openxmlformats.org/drawingml/2006/chart" xmlns:r="http://schemas.openxmlformats.org/officeDocument/2006/relationships" r:id="rId107"/>
            </a:graphicData>
          </a:graphic>
        </xdr:graphicFrame>
        <xdr:sp macro="" textlink="Library!A191">
          <xdr:nvSpPr>
            <xdr:cNvPr id="5142" name="Rectangle 5141">
              <a:extLst>
                <a:ext uri="{FF2B5EF4-FFF2-40B4-BE49-F238E27FC236}">
                  <a16:creationId xmlns:a16="http://schemas.microsoft.com/office/drawing/2014/main" id="{00000000-0008-0000-0800-000016140000}"/>
                </a:ext>
              </a:extLst>
            </xdr:cNvPr>
            <xdr:cNvSpPr/>
          </xdr:nvSpPr>
          <xdr:spPr>
            <a:xfrm>
              <a:off x="9367484" y="7022080"/>
              <a:ext cx="1588357" cy="4047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33019D6-A756-4A1A-9BE5-D2E976B1C818}" type="TxLink">
                <a:rPr lang="en-US" altLang="ja-JP" sz="1200" b="0" i="0" u="none" strike="noStrike" kern="1200">
                  <a:solidFill>
                    <a:srgbClr val="AADCD7"/>
                  </a:solidFill>
                  <a:latin typeface="Aptos Narrow" panose="020B0004020202020204" pitchFamily="34" charset="0"/>
                  <a:cs typeface="Arial"/>
                </a:rPr>
                <a:pPr algn="ctr"/>
                <a:t>Expenses</a:t>
              </a:fld>
              <a:endParaRPr lang="fr-CA" sz="1200" kern="1200">
                <a:solidFill>
                  <a:srgbClr val="AADCD7"/>
                </a:solidFill>
                <a:latin typeface="Aptos Narrow" panose="020B0004020202020204" pitchFamily="34" charset="0"/>
              </a:endParaRPr>
            </a:p>
          </xdr:txBody>
        </xdr:sp>
        <xdr:grpSp>
          <xdr:nvGrpSpPr>
            <xdr:cNvPr id="5912" name="Group 5911">
              <a:extLst>
                <a:ext uri="{FF2B5EF4-FFF2-40B4-BE49-F238E27FC236}">
                  <a16:creationId xmlns:a16="http://schemas.microsoft.com/office/drawing/2014/main" id="{00000000-0008-0000-0800-000018170000}"/>
                </a:ext>
              </a:extLst>
            </xdr:cNvPr>
            <xdr:cNvGrpSpPr/>
          </xdr:nvGrpSpPr>
          <xdr:grpSpPr>
            <a:xfrm>
              <a:off x="11423213" y="5551410"/>
              <a:ext cx="1436043" cy="2833011"/>
              <a:chOff x="11423213" y="5551410"/>
              <a:chExt cx="1436043" cy="2833011"/>
            </a:xfrm>
          </xdr:grpSpPr>
          <xdr:sp macro="" textlink="ControlChart!$BC$3">
            <xdr:nvSpPr>
              <xdr:cNvPr id="9" name="Rectangle 8">
                <a:extLst>
                  <a:ext uri="{FF2B5EF4-FFF2-40B4-BE49-F238E27FC236}">
                    <a16:creationId xmlns:a16="http://schemas.microsoft.com/office/drawing/2014/main" id="{00000000-0008-0000-0800-000009000000}"/>
                  </a:ext>
                </a:extLst>
              </xdr:cNvPr>
              <xdr:cNvSpPr/>
            </xdr:nvSpPr>
            <xdr:spPr>
              <a:xfrm>
                <a:off x="11842994" y="5557811"/>
                <a:ext cx="1016262" cy="268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431E8C1-1938-4864-AF97-2AC1547C99D0}" type="TxLink">
                  <a:rPr lang="en-US" sz="1200" b="0" i="0" u="none" strike="noStrike" kern="1200">
                    <a:solidFill>
                      <a:schemeClr val="tx1">
                        <a:lumMod val="50000"/>
                        <a:lumOff val="50000"/>
                      </a:schemeClr>
                    </a:solidFill>
                    <a:latin typeface="Aptos Narrow" panose="020B0004020202020204" pitchFamily="34" charset="0"/>
                    <a:cs typeface="Arial"/>
                  </a:rPr>
                  <a:pPr algn="l"/>
                  <a:t>Category3</a:t>
                </a:fld>
                <a:endParaRPr lang="fr-CA" sz="1200" kern="1200">
                  <a:solidFill>
                    <a:schemeClr val="tx1">
                      <a:lumMod val="50000"/>
                      <a:lumOff val="50000"/>
                    </a:schemeClr>
                  </a:solidFill>
                  <a:latin typeface="Aptos Narrow" panose="020B0004020202020204" pitchFamily="34" charset="0"/>
                  <a:cs typeface="Arial" panose="020B0604020202020204" pitchFamily="34" charset="0"/>
                </a:endParaRPr>
              </a:p>
            </xdr:txBody>
          </xdr:sp>
          <xdr:sp macro="" textlink="ControlChart!$BC$7">
            <xdr:nvSpPr>
              <xdr:cNvPr id="11" name="Rectangle 10">
                <a:extLst>
                  <a:ext uri="{FF2B5EF4-FFF2-40B4-BE49-F238E27FC236}">
                    <a16:creationId xmlns:a16="http://schemas.microsoft.com/office/drawing/2014/main" id="{00000000-0008-0000-0800-00000B000000}"/>
                  </a:ext>
                </a:extLst>
              </xdr:cNvPr>
              <xdr:cNvSpPr/>
            </xdr:nvSpPr>
            <xdr:spPr>
              <a:xfrm>
                <a:off x="11842994" y="5983439"/>
                <a:ext cx="1016262" cy="2688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75252FF-BDED-4CE8-BC92-9C62153E46D7}" type="TxLink">
                  <a:rPr lang="en-US" sz="1200" b="0" i="0" u="none" strike="noStrike" kern="1200">
                    <a:solidFill>
                      <a:schemeClr val="tx1">
                        <a:lumMod val="50000"/>
                        <a:lumOff val="50000"/>
                      </a:schemeClr>
                    </a:solidFill>
                    <a:latin typeface="Aptos Narrow" panose="020B0004020202020204" pitchFamily="34" charset="0"/>
                    <a:cs typeface="Arial"/>
                  </a:rPr>
                  <a:pPr algn="l"/>
                  <a:t>Category7</a:t>
                </a:fld>
                <a:endParaRPr lang="fr-CA" sz="1200" kern="1200">
                  <a:solidFill>
                    <a:schemeClr val="tx1">
                      <a:lumMod val="50000"/>
                      <a:lumOff val="50000"/>
                    </a:schemeClr>
                  </a:solidFill>
                  <a:latin typeface="Aptos Narrow" panose="020B0004020202020204" pitchFamily="34" charset="0"/>
                  <a:cs typeface="Arial" panose="020B0604020202020204" pitchFamily="34" charset="0"/>
                </a:endParaRPr>
              </a:p>
            </xdr:txBody>
          </xdr:sp>
          <xdr:sp macro="" textlink="ControlChart!$BC$2">
            <xdr:nvSpPr>
              <xdr:cNvPr id="12" name="Rectangle 11">
                <a:extLst>
                  <a:ext uri="{FF2B5EF4-FFF2-40B4-BE49-F238E27FC236}">
                    <a16:creationId xmlns:a16="http://schemas.microsoft.com/office/drawing/2014/main" id="{00000000-0008-0000-0800-00000C000000}"/>
                  </a:ext>
                </a:extLst>
              </xdr:cNvPr>
              <xdr:cNvSpPr/>
            </xdr:nvSpPr>
            <xdr:spPr>
              <a:xfrm>
                <a:off x="11842994" y="6409067"/>
                <a:ext cx="1016262" cy="268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2679B07-316C-400C-BF53-F8F4C06C3896}" type="TxLink">
                  <a:rPr lang="en-US" sz="1200" b="0" i="0" u="none" strike="noStrike" kern="1200">
                    <a:solidFill>
                      <a:schemeClr val="tx1">
                        <a:lumMod val="50000"/>
                        <a:lumOff val="50000"/>
                      </a:schemeClr>
                    </a:solidFill>
                    <a:latin typeface="Aptos Narrow" panose="020B0004020202020204" pitchFamily="34" charset="0"/>
                    <a:cs typeface="Arial"/>
                  </a:rPr>
                  <a:pPr algn="l"/>
                  <a:t>Category2</a:t>
                </a:fld>
                <a:endParaRPr lang="fr-CA" sz="1200" kern="1200">
                  <a:solidFill>
                    <a:schemeClr val="tx1">
                      <a:lumMod val="50000"/>
                      <a:lumOff val="50000"/>
                    </a:schemeClr>
                  </a:solidFill>
                  <a:latin typeface="Aptos Narrow" panose="020B0004020202020204" pitchFamily="34" charset="0"/>
                  <a:cs typeface="Arial" panose="020B0604020202020204" pitchFamily="34" charset="0"/>
                </a:endParaRPr>
              </a:p>
            </xdr:txBody>
          </xdr:sp>
          <xdr:sp macro="" textlink="ControlChart!$BC$4">
            <xdr:nvSpPr>
              <xdr:cNvPr id="54" name="Rectangle 53">
                <a:extLst>
                  <a:ext uri="{FF2B5EF4-FFF2-40B4-BE49-F238E27FC236}">
                    <a16:creationId xmlns:a16="http://schemas.microsoft.com/office/drawing/2014/main" id="{00000000-0008-0000-0800-000036000000}"/>
                  </a:ext>
                </a:extLst>
              </xdr:cNvPr>
              <xdr:cNvSpPr/>
            </xdr:nvSpPr>
            <xdr:spPr>
              <a:xfrm>
                <a:off x="11842994" y="6834694"/>
                <a:ext cx="1016262" cy="2688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1A414A8-CD5F-4E2A-8169-6CE4D93EA488}" type="TxLink">
                  <a:rPr lang="en-US" sz="1200" b="0" i="0" u="none" strike="noStrike" kern="1200">
                    <a:solidFill>
                      <a:schemeClr val="tx1">
                        <a:lumMod val="50000"/>
                        <a:lumOff val="50000"/>
                      </a:schemeClr>
                    </a:solidFill>
                    <a:latin typeface="Aptos Narrow" panose="020B0004020202020204" pitchFamily="34" charset="0"/>
                    <a:cs typeface="Arial"/>
                  </a:rPr>
                  <a:pPr algn="l"/>
                  <a:t>Category4</a:t>
                </a:fld>
                <a:endParaRPr lang="fr-CA" sz="1200" kern="1200">
                  <a:solidFill>
                    <a:schemeClr val="tx1">
                      <a:lumMod val="50000"/>
                      <a:lumOff val="50000"/>
                    </a:schemeClr>
                  </a:solidFill>
                  <a:latin typeface="Aptos Narrow" panose="020B0004020202020204" pitchFamily="34" charset="0"/>
                  <a:cs typeface="Arial" panose="020B0604020202020204" pitchFamily="34" charset="0"/>
                </a:endParaRPr>
              </a:p>
            </xdr:txBody>
          </xdr:sp>
          <xdr:sp macro="" textlink="ControlChart!$BC$5">
            <xdr:nvSpPr>
              <xdr:cNvPr id="57" name="Rectangle 56">
                <a:extLst>
                  <a:ext uri="{FF2B5EF4-FFF2-40B4-BE49-F238E27FC236}">
                    <a16:creationId xmlns:a16="http://schemas.microsoft.com/office/drawing/2014/main" id="{00000000-0008-0000-0800-000039000000}"/>
                  </a:ext>
                </a:extLst>
              </xdr:cNvPr>
              <xdr:cNvSpPr/>
            </xdr:nvSpPr>
            <xdr:spPr>
              <a:xfrm>
                <a:off x="11842994" y="7260323"/>
                <a:ext cx="1016262" cy="268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F36A169-622C-4FB8-8979-7397960F9C43}" type="TxLink">
                  <a:rPr lang="en-US" sz="1200" b="0" i="0" u="none" strike="noStrike" kern="1200">
                    <a:solidFill>
                      <a:schemeClr val="tx1">
                        <a:lumMod val="50000"/>
                        <a:lumOff val="50000"/>
                      </a:schemeClr>
                    </a:solidFill>
                    <a:latin typeface="Aptos Narrow" panose="020B0004020202020204" pitchFamily="34" charset="0"/>
                    <a:cs typeface="Arial"/>
                  </a:rPr>
                  <a:pPr algn="l"/>
                  <a:t>Category5</a:t>
                </a:fld>
                <a:endParaRPr lang="fr-CA" sz="1200" kern="1200">
                  <a:solidFill>
                    <a:schemeClr val="tx1">
                      <a:lumMod val="50000"/>
                      <a:lumOff val="50000"/>
                    </a:schemeClr>
                  </a:solidFill>
                  <a:latin typeface="Aptos Narrow" panose="020B0004020202020204" pitchFamily="34" charset="0"/>
                  <a:cs typeface="Arial" panose="020B0604020202020204" pitchFamily="34" charset="0"/>
                </a:endParaRPr>
              </a:p>
            </xdr:txBody>
          </xdr:sp>
          <xdr:sp macro="" textlink="">
            <xdr:nvSpPr>
              <xdr:cNvPr id="5122" name="Oval 5121">
                <a:extLst>
                  <a:ext uri="{FF2B5EF4-FFF2-40B4-BE49-F238E27FC236}">
                    <a16:creationId xmlns:a16="http://schemas.microsoft.com/office/drawing/2014/main" id="{00000000-0008-0000-0800-000002140000}"/>
                  </a:ext>
                </a:extLst>
              </xdr:cNvPr>
              <xdr:cNvSpPr>
                <a:spLocks noChangeAspect="1"/>
              </xdr:cNvSpPr>
            </xdr:nvSpPr>
            <xdr:spPr>
              <a:xfrm>
                <a:off x="11423213" y="5551410"/>
                <a:ext cx="304793" cy="301359"/>
              </a:xfrm>
              <a:prstGeom prst="ellipse">
                <a:avLst/>
              </a:prstGeom>
              <a:noFill/>
              <a:ln w="19050">
                <a:solidFill>
                  <a:srgbClr val="C54EF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
            <xdr:nvSpPr>
              <xdr:cNvPr id="5127" name="Oval 5126">
                <a:extLst>
                  <a:ext uri="{FF2B5EF4-FFF2-40B4-BE49-F238E27FC236}">
                    <a16:creationId xmlns:a16="http://schemas.microsoft.com/office/drawing/2014/main" id="{00000000-0008-0000-0800-000007140000}"/>
                  </a:ext>
                </a:extLst>
              </xdr:cNvPr>
              <xdr:cNvSpPr>
                <a:spLocks noChangeAspect="1"/>
              </xdr:cNvSpPr>
            </xdr:nvSpPr>
            <xdr:spPr>
              <a:xfrm>
                <a:off x="11423213" y="5971446"/>
                <a:ext cx="304793" cy="301361"/>
              </a:xfrm>
              <a:prstGeom prst="ellipse">
                <a:avLst/>
              </a:prstGeom>
              <a:noFill/>
              <a:ln w="1905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
            <xdr:nvSpPr>
              <xdr:cNvPr id="5128" name="Oval 5127">
                <a:extLst>
                  <a:ext uri="{FF2B5EF4-FFF2-40B4-BE49-F238E27FC236}">
                    <a16:creationId xmlns:a16="http://schemas.microsoft.com/office/drawing/2014/main" id="{00000000-0008-0000-0800-000008140000}"/>
                  </a:ext>
                </a:extLst>
              </xdr:cNvPr>
              <xdr:cNvSpPr>
                <a:spLocks noChangeAspect="1"/>
              </xdr:cNvSpPr>
            </xdr:nvSpPr>
            <xdr:spPr>
              <a:xfrm>
                <a:off x="11423213" y="6391484"/>
                <a:ext cx="304793" cy="302607"/>
              </a:xfrm>
              <a:prstGeom prst="ellipse">
                <a:avLst/>
              </a:prstGeom>
              <a:noFill/>
              <a:ln w="19050">
                <a:solidFill>
                  <a:srgbClr val="02E8D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
            <xdr:nvSpPr>
              <xdr:cNvPr id="5129" name="Oval 5128">
                <a:extLst>
                  <a:ext uri="{FF2B5EF4-FFF2-40B4-BE49-F238E27FC236}">
                    <a16:creationId xmlns:a16="http://schemas.microsoft.com/office/drawing/2014/main" id="{00000000-0008-0000-0800-000009140000}"/>
                  </a:ext>
                </a:extLst>
              </xdr:cNvPr>
              <xdr:cNvSpPr>
                <a:spLocks noChangeAspect="1"/>
              </xdr:cNvSpPr>
            </xdr:nvSpPr>
            <xdr:spPr>
              <a:xfrm>
                <a:off x="11423213" y="6812768"/>
                <a:ext cx="304793" cy="301361"/>
              </a:xfrm>
              <a:prstGeom prst="ellipse">
                <a:avLst/>
              </a:prstGeom>
              <a:noFill/>
              <a:ln w="19050">
                <a:solidFill>
                  <a:srgbClr val="FA614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
            <xdr:nvSpPr>
              <xdr:cNvPr id="5130" name="Oval 5129">
                <a:extLst>
                  <a:ext uri="{FF2B5EF4-FFF2-40B4-BE49-F238E27FC236}">
                    <a16:creationId xmlns:a16="http://schemas.microsoft.com/office/drawing/2014/main" id="{00000000-0008-0000-0800-00000A140000}"/>
                  </a:ext>
                </a:extLst>
              </xdr:cNvPr>
              <xdr:cNvSpPr>
                <a:spLocks noChangeAspect="1"/>
              </xdr:cNvSpPr>
            </xdr:nvSpPr>
            <xdr:spPr>
              <a:xfrm>
                <a:off x="11423213" y="7232805"/>
                <a:ext cx="304793" cy="301359"/>
              </a:xfrm>
              <a:prstGeom prst="ellipse">
                <a:avLst/>
              </a:prstGeom>
              <a:noFill/>
              <a:ln w="19050">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
            <xdr:nvSpPr>
              <xdr:cNvPr id="5869" name="Oval 5868">
                <a:extLst>
                  <a:ext uri="{FF2B5EF4-FFF2-40B4-BE49-F238E27FC236}">
                    <a16:creationId xmlns:a16="http://schemas.microsoft.com/office/drawing/2014/main" id="{00000000-0008-0000-0800-0000ED160000}"/>
                  </a:ext>
                </a:extLst>
              </xdr:cNvPr>
              <xdr:cNvSpPr>
                <a:spLocks noChangeAspect="1"/>
              </xdr:cNvSpPr>
            </xdr:nvSpPr>
            <xdr:spPr>
              <a:xfrm>
                <a:off x="11423213" y="7656793"/>
                <a:ext cx="304793" cy="301361"/>
              </a:xfrm>
              <a:prstGeom prst="ellipse">
                <a:avLst/>
              </a:prstGeom>
              <a:noFill/>
              <a:ln w="19050">
                <a:solidFill>
                  <a:srgbClr val="7FEC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
            <xdr:nvSpPr>
              <xdr:cNvPr id="5872" name="Oval 5871">
                <a:extLst>
                  <a:ext uri="{FF2B5EF4-FFF2-40B4-BE49-F238E27FC236}">
                    <a16:creationId xmlns:a16="http://schemas.microsoft.com/office/drawing/2014/main" id="{00000000-0008-0000-0800-0000F0160000}"/>
                  </a:ext>
                </a:extLst>
              </xdr:cNvPr>
              <xdr:cNvSpPr>
                <a:spLocks noChangeAspect="1"/>
              </xdr:cNvSpPr>
            </xdr:nvSpPr>
            <xdr:spPr>
              <a:xfrm>
                <a:off x="11423213" y="8076828"/>
                <a:ext cx="304793" cy="301359"/>
              </a:xfrm>
              <a:prstGeom prst="ellipse">
                <a:avLst/>
              </a:prstGeom>
              <a:noFill/>
              <a:ln w="19050">
                <a:solidFill>
                  <a:srgbClr val="F9ADF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kern="1200"/>
              </a:p>
            </xdr:txBody>
          </xdr:sp>
          <xdr:sp macro="" textlink="ControlChart!$BC$6">
            <xdr:nvSpPr>
              <xdr:cNvPr id="5873" name="Rectangle 5872">
                <a:extLst>
                  <a:ext uri="{FF2B5EF4-FFF2-40B4-BE49-F238E27FC236}">
                    <a16:creationId xmlns:a16="http://schemas.microsoft.com/office/drawing/2014/main" id="{00000000-0008-0000-0800-0000F1160000}"/>
                  </a:ext>
                </a:extLst>
              </xdr:cNvPr>
              <xdr:cNvSpPr/>
            </xdr:nvSpPr>
            <xdr:spPr>
              <a:xfrm>
                <a:off x="11842994" y="7685950"/>
                <a:ext cx="1016262" cy="27284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C664AAF-C362-4581-9379-AC973D9E8797}" type="TxLink">
                  <a:rPr lang="en-US" sz="1200" b="0" i="0" u="none" strike="noStrike" kern="1200">
                    <a:solidFill>
                      <a:schemeClr val="tx1">
                        <a:lumMod val="50000"/>
                        <a:lumOff val="50000"/>
                      </a:schemeClr>
                    </a:solidFill>
                    <a:latin typeface="Aptos Narrow" panose="020B0004020202020204" pitchFamily="34" charset="0"/>
                    <a:cs typeface="Arial"/>
                  </a:rPr>
                  <a:pPr algn="l"/>
                  <a:t>Category6</a:t>
                </a:fld>
                <a:endParaRPr lang="fr-CA" sz="1200" kern="1200">
                  <a:solidFill>
                    <a:schemeClr val="tx1">
                      <a:lumMod val="50000"/>
                      <a:lumOff val="50000"/>
                    </a:schemeClr>
                  </a:solidFill>
                  <a:latin typeface="Aptos Narrow" panose="020B0004020202020204" pitchFamily="34" charset="0"/>
                  <a:cs typeface="Arial" panose="020B0604020202020204" pitchFamily="34" charset="0"/>
                </a:endParaRPr>
              </a:p>
            </xdr:txBody>
          </xdr:sp>
          <xdr:sp macro="" textlink="ControlChart!$BC$1">
            <xdr:nvSpPr>
              <xdr:cNvPr id="5874" name="Rectangle 5873">
                <a:extLst>
                  <a:ext uri="{FF2B5EF4-FFF2-40B4-BE49-F238E27FC236}">
                    <a16:creationId xmlns:a16="http://schemas.microsoft.com/office/drawing/2014/main" id="{00000000-0008-0000-0800-0000F2160000}"/>
                  </a:ext>
                </a:extLst>
              </xdr:cNvPr>
              <xdr:cNvSpPr/>
            </xdr:nvSpPr>
            <xdr:spPr>
              <a:xfrm>
                <a:off x="11842994" y="8115528"/>
                <a:ext cx="1016262" cy="268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5A32DD8-6888-425A-9662-4A90A3EA2D88}" type="TxLink">
                  <a:rPr lang="en-US" sz="1200" b="0" i="0" u="none" strike="noStrike" kern="1200">
                    <a:solidFill>
                      <a:schemeClr val="tx1">
                        <a:lumMod val="50000"/>
                        <a:lumOff val="50000"/>
                      </a:schemeClr>
                    </a:solidFill>
                    <a:latin typeface="Aptos Narrow" panose="020B0004020202020204" pitchFamily="34" charset="0"/>
                    <a:cs typeface="Arial"/>
                  </a:rPr>
                  <a:pPr algn="l"/>
                  <a:t>Category1</a:t>
                </a:fld>
                <a:endParaRPr lang="fr-CA" sz="1200" kern="1200">
                  <a:solidFill>
                    <a:schemeClr val="tx1">
                      <a:lumMod val="50000"/>
                      <a:lumOff val="50000"/>
                    </a:schemeClr>
                  </a:solidFill>
                  <a:latin typeface="Aptos Narrow" panose="020B0004020202020204" pitchFamily="34" charset="0"/>
                  <a:cs typeface="Arial" panose="020B0604020202020204" pitchFamily="34" charset="0"/>
                </a:endParaRPr>
              </a:p>
            </xdr:txBody>
          </xdr:sp>
        </xdr:grpSp>
        <xdr:sp macro="[0]!Chart_Analyse.AdjustColorCat2" textlink="">
          <xdr:nvSpPr>
            <xdr:cNvPr id="5885" name="Rectangle: Rounded Corners 5884">
              <a:extLst>
                <a:ext uri="{FF2B5EF4-FFF2-40B4-BE49-F238E27FC236}">
                  <a16:creationId xmlns:a16="http://schemas.microsoft.com/office/drawing/2014/main" id="{00000000-0008-0000-0800-0000FD160000}"/>
                </a:ext>
              </a:extLst>
            </xdr:cNvPr>
            <xdr:cNvSpPr/>
          </xdr:nvSpPr>
          <xdr:spPr>
            <a:xfrm>
              <a:off x="10425130" y="5665581"/>
              <a:ext cx="877787" cy="175980"/>
            </a:xfrm>
            <a:prstGeom prst="roundRect">
              <a:avLst>
                <a:gd name="adj" fmla="val 50000"/>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altLang="ja-JP" sz="1200">
                  <a:solidFill>
                    <a:srgbClr val="AADCD7"/>
                  </a:solidFill>
                  <a:latin typeface="Aptos Narrow" panose="020B0004020202020204" pitchFamily="34" charset="0"/>
                </a:rPr>
                <a:t>Color</a:t>
              </a:r>
              <a:endParaRPr lang="en-CA" sz="1200">
                <a:solidFill>
                  <a:srgbClr val="AADCD7"/>
                </a:solidFill>
                <a:latin typeface="Aptos Narrow" panose="020B0004020202020204" pitchFamily="34" charset="0"/>
              </a:endParaRPr>
            </a:p>
          </xdr:txBody>
        </xdr:sp>
        <mc:AlternateContent xmlns:mc="http://schemas.openxmlformats.org/markup-compatibility/2006" xmlns:a14="http://schemas.microsoft.com/office/drawing/2010/main">
          <mc:Choice Requires="a14">
            <xdr:graphicFrame macro="">
              <xdr:nvGraphicFramePr>
                <xdr:cNvPr id="5909" name="Année 2">
                  <a:extLst>
                    <a:ext uri="{FF2B5EF4-FFF2-40B4-BE49-F238E27FC236}">
                      <a16:creationId xmlns:a16="http://schemas.microsoft.com/office/drawing/2014/main" id="{00000000-0008-0000-0800-000015170000}"/>
                    </a:ext>
                  </a:extLst>
                </xdr:cNvPr>
                <xdr:cNvGraphicFramePr/>
              </xdr:nvGraphicFramePr>
              <xdr:xfrm>
                <a:off x="8947815" y="5598096"/>
                <a:ext cx="1362456" cy="310896"/>
              </xdr:xfrm>
              <a:graphic>
                <a:graphicData uri="http://schemas.microsoft.com/office/drawing/2010/slicer">
                  <sle:slicer xmlns:sle="http://schemas.microsoft.com/office/drawing/2010/slicer" name="Année 2"/>
                </a:graphicData>
              </a:graphic>
            </xdr:graphicFrame>
          </mc:Choice>
          <mc:Fallback xmlns="">
            <xdr:sp macro="" textlink="">
              <xdr:nvSpPr>
                <xdr:cNvPr id="0" name=""/>
                <xdr:cNvSpPr>
                  <a:spLocks noTextEdit="1"/>
                </xdr:cNvSpPr>
              </xdr:nvSpPr>
              <xdr:spPr>
                <a:xfrm>
                  <a:off x="8947815" y="5598096"/>
                  <a:ext cx="1362456" cy="31089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ControlChart!$BB$1">
          <xdr:nvSpPr>
            <xdr:cNvPr id="5881" name="Rectangle 5880">
              <a:extLst>
                <a:ext uri="{FF2B5EF4-FFF2-40B4-BE49-F238E27FC236}">
                  <a16:creationId xmlns:a16="http://schemas.microsoft.com/office/drawing/2014/main" id="{00000000-0008-0000-0800-0000F9160000}"/>
                </a:ext>
              </a:extLst>
            </xdr:cNvPr>
            <xdr:cNvSpPr/>
          </xdr:nvSpPr>
          <xdr:spPr>
            <a:xfrm>
              <a:off x="9625973" y="8450847"/>
              <a:ext cx="3040376" cy="30848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A75FD46-1FCD-426C-8A47-A6457C5D43E3}" type="TxLink">
                <a:rPr lang="en-US" sz="1200" b="0" i="0" u="none" strike="noStrike" kern="1200">
                  <a:solidFill>
                    <a:schemeClr val="bg1"/>
                  </a:solidFill>
                  <a:latin typeface="Aptos Narrow" panose="020B0004020202020204" pitchFamily="34" charset="0"/>
                  <a:cs typeface="Arial"/>
                </a:rPr>
                <a:pPr algn="l"/>
                <a:t>                      </a:t>
              </a:fld>
              <a:endParaRPr lang="fr-CA" sz="1200" kern="1200">
                <a:solidFill>
                  <a:schemeClr val="bg1"/>
                </a:solidFill>
                <a:latin typeface="Aptos Narrow" panose="020B0004020202020204" pitchFamily="34" charset="0"/>
                <a:cs typeface="Arial" panose="020B0604020202020204" pitchFamily="34" charset="0"/>
              </a:endParaRPr>
            </a:p>
          </xdr:txBody>
        </xdr:sp>
        <xdr:sp macro="" textlink="ControlChart!$BB$14">
          <xdr:nvSpPr>
            <xdr:cNvPr id="5876" name="Rectangle 5875">
              <a:extLst>
                <a:ext uri="{FF2B5EF4-FFF2-40B4-BE49-F238E27FC236}">
                  <a16:creationId xmlns:a16="http://schemas.microsoft.com/office/drawing/2014/main" id="{00000000-0008-0000-0800-0000F4160000}"/>
                </a:ext>
              </a:extLst>
            </xdr:cNvPr>
            <xdr:cNvSpPr/>
          </xdr:nvSpPr>
          <xdr:spPr>
            <a:xfrm>
              <a:off x="8997344" y="8446525"/>
              <a:ext cx="652559" cy="30848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87F76DB6-36F3-45E4-85D4-D739A887AC5D}" type="TxLink">
                <a:rPr lang="en-US" altLang="ja-JP" sz="1200" b="0" i="0" u="none" strike="noStrike" kern="1200">
                  <a:solidFill>
                    <a:schemeClr val="bg1"/>
                  </a:solidFill>
                  <a:latin typeface="Aptos Narrow" panose="020B0004020202020204" pitchFamily="34" charset="0"/>
                  <a:cs typeface="Arial"/>
                </a:rPr>
                <a:pPr algn="r"/>
                <a:t> </a:t>
              </a:fld>
              <a:endParaRPr lang="fr-CA" sz="1200" kern="1200">
                <a:solidFill>
                  <a:schemeClr val="bg1"/>
                </a:solidFill>
                <a:latin typeface="Aptos Narrow" panose="020B0004020202020204" pitchFamily="34" charset="0"/>
                <a:cs typeface="Arial" panose="020B0604020202020204" pitchFamily="34" charset="0"/>
              </a:endParaRPr>
            </a:p>
          </xdr:txBody>
        </xdr:sp>
      </xdr:grpSp>
      <xdr:grpSp>
        <xdr:nvGrpSpPr>
          <xdr:cNvPr id="52" name="Group 51">
            <a:extLst>
              <a:ext uri="{FF2B5EF4-FFF2-40B4-BE49-F238E27FC236}">
                <a16:creationId xmlns:a16="http://schemas.microsoft.com/office/drawing/2014/main" id="{BB4758D5-E74C-D6D9-3CAA-FB906A1742ED}"/>
              </a:ext>
            </a:extLst>
          </xdr:cNvPr>
          <xdr:cNvGrpSpPr/>
        </xdr:nvGrpSpPr>
        <xdr:grpSpPr>
          <a:xfrm>
            <a:off x="118324" y="7680167"/>
            <a:ext cx="8432726" cy="2456621"/>
            <a:chOff x="118324" y="7680167"/>
            <a:chExt cx="8432726" cy="2456621"/>
          </a:xfrm>
        </xdr:grpSpPr>
        <xdr:sp macro="" textlink="">
          <xdr:nvSpPr>
            <xdr:cNvPr id="27" name="Rectangle: Rounded Corners 26">
              <a:extLst>
                <a:ext uri="{FF2B5EF4-FFF2-40B4-BE49-F238E27FC236}">
                  <a16:creationId xmlns:a16="http://schemas.microsoft.com/office/drawing/2014/main" id="{00000000-0008-0000-0800-00001B000000}"/>
                </a:ext>
              </a:extLst>
            </xdr:cNvPr>
            <xdr:cNvSpPr/>
          </xdr:nvSpPr>
          <xdr:spPr>
            <a:xfrm>
              <a:off x="118324" y="7680167"/>
              <a:ext cx="8432726" cy="2456621"/>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sp macro="" textlink="Analyse!B29">
          <xdr:nvSpPr>
            <xdr:cNvPr id="29" name="TextBox 28">
              <a:extLst>
                <a:ext uri="{FF2B5EF4-FFF2-40B4-BE49-F238E27FC236}">
                  <a16:creationId xmlns:a16="http://schemas.microsoft.com/office/drawing/2014/main" id="{00000000-0008-0000-0800-00001D000000}"/>
                </a:ext>
              </a:extLst>
            </xdr:cNvPr>
            <xdr:cNvSpPr txBox="1"/>
          </xdr:nvSpPr>
          <xdr:spPr>
            <a:xfrm>
              <a:off x="6205586" y="7745214"/>
              <a:ext cx="1041457" cy="168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fld id="{88CFBB67-39EE-46DB-B3F4-C999A70B5172}" type="TxLink">
                <a:rPr lang="en-US" sz="1200" b="0" i="0" u="none" strike="noStrike">
                  <a:solidFill>
                    <a:srgbClr val="A9FEFB"/>
                  </a:solidFill>
                  <a:latin typeface="Aptos Narrow" panose="020B0004020202020204" pitchFamily="34" charset="0"/>
                  <a:cs typeface="Arial"/>
                </a:rPr>
                <a:pPr algn="r"/>
                <a:t>2025</a:t>
              </a:fld>
              <a:endParaRPr lang="fr-CA" sz="1200">
                <a:solidFill>
                  <a:srgbClr val="A9FEFB"/>
                </a:solidFill>
                <a:latin typeface="Aptos Narrow" panose="020B0004020202020204" pitchFamily="34" charset="0"/>
              </a:endParaRPr>
            </a:p>
          </xdr:txBody>
        </xdr:sp>
        <xdr:sp macro="" textlink="Analyse!C29">
          <xdr:nvSpPr>
            <xdr:cNvPr id="31" name="TextBox 30">
              <a:extLst>
                <a:ext uri="{FF2B5EF4-FFF2-40B4-BE49-F238E27FC236}">
                  <a16:creationId xmlns:a16="http://schemas.microsoft.com/office/drawing/2014/main" id="{00000000-0008-0000-0800-00001F000000}"/>
                </a:ext>
              </a:extLst>
            </xdr:cNvPr>
            <xdr:cNvSpPr txBox="1"/>
          </xdr:nvSpPr>
          <xdr:spPr>
            <a:xfrm>
              <a:off x="6205586" y="7928045"/>
              <a:ext cx="1041457" cy="168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fld id="{1F43A380-A06E-4A23-9140-EE77E6CA4A1B}" type="TxLink">
                <a:rPr lang="en-US" sz="1200" b="0" i="0" u="none" strike="noStrike">
                  <a:solidFill>
                    <a:schemeClr val="tx1">
                      <a:lumMod val="65000"/>
                      <a:lumOff val="35000"/>
                    </a:schemeClr>
                  </a:solidFill>
                  <a:latin typeface="Aptos Narrow" panose="020B0004020202020204" pitchFamily="34" charset="0"/>
                  <a:cs typeface="Arial"/>
                </a:rPr>
                <a:pPr algn="r"/>
                <a:t>-</a:t>
              </a:fld>
              <a:endParaRPr lang="fr-CA" sz="1200">
                <a:solidFill>
                  <a:schemeClr val="tx1">
                    <a:lumMod val="65000"/>
                    <a:lumOff val="35000"/>
                  </a:schemeClr>
                </a:solidFill>
                <a:latin typeface="Aptos Narrow" panose="020B0004020202020204" pitchFamily="34" charset="0"/>
              </a:endParaRPr>
            </a:p>
          </xdr:txBody>
        </xdr:sp>
        <xdr:sp macro="" textlink="Analyse!B28">
          <xdr:nvSpPr>
            <xdr:cNvPr id="32" name="Rectangle 31">
              <a:extLst>
                <a:ext uri="{FF2B5EF4-FFF2-40B4-BE49-F238E27FC236}">
                  <a16:creationId xmlns:a16="http://schemas.microsoft.com/office/drawing/2014/main" id="{00000000-0008-0000-0800-000020000000}"/>
                </a:ext>
              </a:extLst>
            </xdr:cNvPr>
            <xdr:cNvSpPr/>
          </xdr:nvSpPr>
          <xdr:spPr>
            <a:xfrm>
              <a:off x="7239000" y="7748061"/>
              <a:ext cx="1016000" cy="16281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fld id="{3269F828-B80D-4397-BFAC-5FDE53345B6B}" type="TxLink">
                <a:rPr lang="en-US" sz="1200" b="0" i="0" u="none" strike="noStrike">
                  <a:solidFill>
                    <a:srgbClr val="A9FEFB"/>
                  </a:solidFill>
                  <a:latin typeface="Aptos Narrow" panose="020B0004020202020204" pitchFamily="34" charset="0"/>
                  <a:cs typeface="Arial"/>
                </a:rPr>
                <a:pPr algn="l"/>
                <a:t>(0.00$)</a:t>
              </a:fld>
              <a:endParaRPr lang="fr-CA" sz="1200">
                <a:solidFill>
                  <a:srgbClr val="A9FEFB"/>
                </a:solidFill>
                <a:latin typeface="Aptos Narrow" panose="020B0004020202020204" pitchFamily="34" charset="0"/>
              </a:endParaRPr>
            </a:p>
          </xdr:txBody>
        </xdr:sp>
        <xdr:sp macro="" textlink="Analyse!C28">
          <xdr:nvSpPr>
            <xdr:cNvPr id="35" name="Rectangle 34">
              <a:extLst>
                <a:ext uri="{FF2B5EF4-FFF2-40B4-BE49-F238E27FC236}">
                  <a16:creationId xmlns:a16="http://schemas.microsoft.com/office/drawing/2014/main" id="{00000000-0008-0000-0800-000023000000}"/>
                </a:ext>
              </a:extLst>
            </xdr:cNvPr>
            <xdr:cNvSpPr/>
          </xdr:nvSpPr>
          <xdr:spPr>
            <a:xfrm>
              <a:off x="7239000" y="7923478"/>
              <a:ext cx="1142998" cy="21510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fld id="{EE4A1A4C-BBE7-404C-9178-03D06780D9AE}" type="TxLink">
                <a:rPr lang="en-US" sz="1200" b="0" i="0" u="none" strike="noStrike">
                  <a:solidFill>
                    <a:schemeClr val="tx1">
                      <a:lumMod val="65000"/>
                      <a:lumOff val="35000"/>
                    </a:schemeClr>
                  </a:solidFill>
                  <a:latin typeface="Aptos Narrow" panose="020B0004020202020204" pitchFamily="34" charset="0"/>
                  <a:cs typeface="Arial"/>
                </a:rPr>
                <a:pPr algn="l"/>
                <a:t> </a:t>
              </a:fld>
              <a:endParaRPr lang="fr-CA" sz="1200">
                <a:solidFill>
                  <a:schemeClr val="tx1">
                    <a:lumMod val="65000"/>
                    <a:lumOff val="35000"/>
                  </a:schemeClr>
                </a:solidFill>
                <a:latin typeface="Aptos Narrow" panose="020B0004020202020204" pitchFamily="34" charset="0"/>
              </a:endParaRPr>
            </a:p>
          </xdr:txBody>
        </xdr:sp>
        <mc:AlternateContent xmlns:mc="http://schemas.openxmlformats.org/markup-compatibility/2006" xmlns:a14="http://schemas.microsoft.com/office/drawing/2010/main">
          <mc:Choice Requires="a14">
            <xdr:graphicFrame macro="">
              <xdr:nvGraphicFramePr>
                <xdr:cNvPr id="5832" name="Mois (Name) 1">
                  <a:extLst>
                    <a:ext uri="{FF2B5EF4-FFF2-40B4-BE49-F238E27FC236}">
                      <a16:creationId xmlns:a16="http://schemas.microsoft.com/office/drawing/2014/main" id="{00000000-0008-0000-0800-0000C8160000}"/>
                    </a:ext>
                  </a:extLst>
                </xdr:cNvPr>
                <xdr:cNvGraphicFramePr/>
              </xdr:nvGraphicFramePr>
              <xdr:xfrm>
                <a:off x="920750" y="9726083"/>
                <a:ext cx="7246873" cy="384048"/>
              </xdr:xfrm>
              <a:graphic>
                <a:graphicData uri="http://schemas.microsoft.com/office/drawing/2010/slicer">
                  <sle:slicer xmlns:sle="http://schemas.microsoft.com/office/drawing/2010/slicer" name="Mois (Name) 1"/>
                </a:graphicData>
              </a:graphic>
            </xdr:graphicFrame>
          </mc:Choice>
          <mc:Fallback xmlns="">
            <xdr:sp macro="" textlink="">
              <xdr:nvSpPr>
                <xdr:cNvPr id="0" name=""/>
                <xdr:cNvSpPr>
                  <a:spLocks noTextEdit="1"/>
                </xdr:cNvSpPr>
              </xdr:nvSpPr>
              <xdr:spPr>
                <a:xfrm>
                  <a:off x="920750" y="9726083"/>
                  <a:ext cx="7246873" cy="38404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33" name="Mois (Quarter)">
                  <a:extLst>
                    <a:ext uri="{FF2B5EF4-FFF2-40B4-BE49-F238E27FC236}">
                      <a16:creationId xmlns:a16="http://schemas.microsoft.com/office/drawing/2014/main" id="{00000000-0008-0000-0800-0000C9160000}"/>
                    </a:ext>
                  </a:extLst>
                </xdr:cNvPr>
                <xdr:cNvGraphicFramePr/>
              </xdr:nvGraphicFramePr>
              <xdr:xfrm>
                <a:off x="486834" y="7729686"/>
                <a:ext cx="2532888" cy="329184"/>
              </xdr:xfrm>
              <a:graphic>
                <a:graphicData uri="http://schemas.microsoft.com/office/drawing/2010/slicer">
                  <sle:slicer xmlns:sle="http://schemas.microsoft.com/office/drawing/2010/slicer" name="Mois (Quarter)"/>
                </a:graphicData>
              </a:graphic>
            </xdr:graphicFrame>
          </mc:Choice>
          <mc:Fallback xmlns="">
            <xdr:sp macro="" textlink="">
              <xdr:nvSpPr>
                <xdr:cNvPr id="0" name=""/>
                <xdr:cNvSpPr>
                  <a:spLocks noTextEdit="1"/>
                </xdr:cNvSpPr>
              </xdr:nvSpPr>
              <xdr:spPr>
                <a:xfrm>
                  <a:off x="486834" y="7729686"/>
                  <a:ext cx="2532888" cy="32918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37" name="Cat_2 5">
                  <a:extLst>
                    <a:ext uri="{FF2B5EF4-FFF2-40B4-BE49-F238E27FC236}">
                      <a16:creationId xmlns:a16="http://schemas.microsoft.com/office/drawing/2014/main" id="{00000000-0008-0000-0800-0000CD160000}"/>
                    </a:ext>
                  </a:extLst>
                </xdr:cNvPr>
                <xdr:cNvGraphicFramePr/>
              </xdr:nvGraphicFramePr>
              <xdr:xfrm>
                <a:off x="4572000" y="7720542"/>
                <a:ext cx="2161793" cy="338328"/>
              </xdr:xfrm>
              <a:graphic>
                <a:graphicData uri="http://schemas.microsoft.com/office/drawing/2010/slicer">
                  <sle:slicer xmlns:sle="http://schemas.microsoft.com/office/drawing/2010/slicer" name="Cat_2 5"/>
                </a:graphicData>
              </a:graphic>
            </xdr:graphicFrame>
          </mc:Choice>
          <mc:Fallback xmlns="">
            <xdr:sp macro="" textlink="">
              <xdr:nvSpPr>
                <xdr:cNvPr id="0" name=""/>
                <xdr:cNvSpPr>
                  <a:spLocks noTextEdit="1"/>
                </xdr:cNvSpPr>
              </xdr:nvSpPr>
              <xdr:spPr>
                <a:xfrm>
                  <a:off x="4572000" y="7720542"/>
                  <a:ext cx="2161793" cy="33832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51" name="FlowChart">
              <a:extLst>
                <a:ext uri="{FF2B5EF4-FFF2-40B4-BE49-F238E27FC236}">
                  <a16:creationId xmlns:a16="http://schemas.microsoft.com/office/drawing/2014/main" id="{155EF593-B864-4E9B-97D1-5397DE7A2774}"/>
                </a:ext>
              </a:extLst>
            </xdr:cNvPr>
            <xdr:cNvGraphicFramePr>
              <a:graphicFrameLocks/>
            </xdr:cNvGraphicFramePr>
          </xdr:nvGraphicFramePr>
          <xdr:xfrm>
            <a:off x="412749" y="8202084"/>
            <a:ext cx="7854696" cy="1600200"/>
          </xdr:xfrm>
          <a:graphic>
            <a:graphicData uri="http://schemas.openxmlformats.org/drawingml/2006/chart">
              <c:chart xmlns:c="http://schemas.openxmlformats.org/drawingml/2006/chart" xmlns:r="http://schemas.openxmlformats.org/officeDocument/2006/relationships" r:id="rId108"/>
            </a:graphicData>
          </a:graphic>
        </xdr:graphicFrame>
        <mc:AlternateContent xmlns:mc="http://schemas.openxmlformats.org/markup-compatibility/2006" xmlns:a14="http://schemas.microsoft.com/office/drawing/2010/main">
          <mc:Choice Requires="a14">
            <xdr:graphicFrame macro="">
              <xdr:nvGraphicFramePr>
                <xdr:cNvPr id="5834" name="Slicer_Année2">
                  <a:extLst>
                    <a:ext uri="{FF2B5EF4-FFF2-40B4-BE49-F238E27FC236}">
                      <a16:creationId xmlns:a16="http://schemas.microsoft.com/office/drawing/2014/main" id="{00000000-0008-0000-0800-0000CA160000}"/>
                    </a:ext>
                  </a:extLst>
                </xdr:cNvPr>
                <xdr:cNvGraphicFramePr/>
              </xdr:nvGraphicFramePr>
              <xdr:xfrm>
                <a:off x="2963334" y="7720542"/>
                <a:ext cx="1618488" cy="347472"/>
              </xdr:xfrm>
              <a:graphic>
                <a:graphicData uri="http://schemas.microsoft.com/office/drawing/2010/slicer">
                  <sle:slicer xmlns:sle="http://schemas.microsoft.com/office/drawing/2010/slicer" name="Slicer_Année2"/>
                </a:graphicData>
              </a:graphic>
            </xdr:graphicFrame>
          </mc:Choice>
          <mc:Fallback xmlns="">
            <xdr:sp macro="" textlink="">
              <xdr:nvSpPr>
                <xdr:cNvPr id="0" name=""/>
                <xdr:cNvSpPr>
                  <a:spLocks noTextEdit="1"/>
                </xdr:cNvSpPr>
              </xdr:nvSpPr>
              <xdr:spPr>
                <a:xfrm>
                  <a:off x="2963334" y="7720542"/>
                  <a:ext cx="1618488" cy="34747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616" name="Group 5615">
            <a:extLst>
              <a:ext uri="{FF2B5EF4-FFF2-40B4-BE49-F238E27FC236}">
                <a16:creationId xmlns:a16="http://schemas.microsoft.com/office/drawing/2014/main" id="{00000000-0008-0000-0800-0000F0150000}"/>
              </a:ext>
            </a:extLst>
          </xdr:cNvPr>
          <xdr:cNvGrpSpPr/>
        </xdr:nvGrpSpPr>
        <xdr:grpSpPr>
          <a:xfrm>
            <a:off x="13259336" y="1603758"/>
            <a:ext cx="7263873" cy="2660316"/>
            <a:chOff x="13259336" y="1603758"/>
            <a:chExt cx="7263873" cy="2660316"/>
          </a:xfrm>
        </xdr:grpSpPr>
        <xdr:sp macro="" textlink="">
          <xdr:nvSpPr>
            <xdr:cNvPr id="60" name="Rectangle: Rounded Corners 59">
              <a:extLst>
                <a:ext uri="{FF2B5EF4-FFF2-40B4-BE49-F238E27FC236}">
                  <a16:creationId xmlns:a16="http://schemas.microsoft.com/office/drawing/2014/main" id="{00000000-0008-0000-0800-00003C000000}"/>
                </a:ext>
              </a:extLst>
            </xdr:cNvPr>
            <xdr:cNvSpPr/>
          </xdr:nvSpPr>
          <xdr:spPr>
            <a:xfrm>
              <a:off x="13259336" y="1603758"/>
              <a:ext cx="7263873" cy="2660316"/>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sp macro="" textlink="ControlChart!AU17">
          <xdr:nvSpPr>
            <xdr:cNvPr id="62" name="Rectangle 61">
              <a:extLst>
                <a:ext uri="{FF2B5EF4-FFF2-40B4-BE49-F238E27FC236}">
                  <a16:creationId xmlns:a16="http://schemas.microsoft.com/office/drawing/2014/main" id="{00000000-0008-0000-0800-00003E000000}"/>
                </a:ext>
              </a:extLst>
            </xdr:cNvPr>
            <xdr:cNvSpPr/>
          </xdr:nvSpPr>
          <xdr:spPr>
            <a:xfrm>
              <a:off x="17883948" y="1624923"/>
              <a:ext cx="643923" cy="268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0D3E401B-F8B4-4185-8897-8975E0955BBC}" type="TxLink">
                <a:rPr lang="en-US" sz="900" b="0" i="0" u="none" strike="noStrike">
                  <a:solidFill>
                    <a:schemeClr val="tx1">
                      <a:lumMod val="65000"/>
                      <a:lumOff val="35000"/>
                    </a:schemeClr>
                  </a:solidFill>
                  <a:latin typeface="Arial"/>
                  <a:cs typeface="Arial"/>
                </a:rPr>
                <a:pPr algn="r"/>
                <a:t>-</a:t>
              </a:fld>
              <a:endParaRPr lang="fr-CA" sz="1100">
                <a:solidFill>
                  <a:schemeClr val="tx1">
                    <a:lumMod val="65000"/>
                    <a:lumOff val="35000"/>
                  </a:schemeClr>
                </a:solidFill>
              </a:endParaRPr>
            </a:p>
          </xdr:txBody>
        </xdr:sp>
        <xdr:sp macro="" textlink="ControlChart!AZ30">
          <xdr:nvSpPr>
            <xdr:cNvPr id="63" name="Rectangle 62">
              <a:extLst>
                <a:ext uri="{FF2B5EF4-FFF2-40B4-BE49-F238E27FC236}">
                  <a16:creationId xmlns:a16="http://schemas.microsoft.com/office/drawing/2014/main" id="{00000000-0008-0000-0800-00003F000000}"/>
                </a:ext>
              </a:extLst>
            </xdr:cNvPr>
            <xdr:cNvSpPr/>
          </xdr:nvSpPr>
          <xdr:spPr>
            <a:xfrm>
              <a:off x="18270845" y="1647927"/>
              <a:ext cx="1028095" cy="2226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fld id="{0A3E11B8-A296-4FCC-8179-B2F1F1DF0FAE}" type="TxLink">
                <a:rPr lang="en-US" sz="900" b="0" i="0" u="none" strike="noStrike">
                  <a:solidFill>
                    <a:schemeClr val="tx1">
                      <a:lumMod val="65000"/>
                      <a:lumOff val="35000"/>
                    </a:schemeClr>
                  </a:solidFill>
                  <a:latin typeface="Arial"/>
                  <a:cs typeface="Arial"/>
                </a:rPr>
                <a:pPr algn="l"/>
                <a:t> 0.00 $</a:t>
              </a:fld>
              <a:endParaRPr lang="fr-CA" sz="1100">
                <a:solidFill>
                  <a:schemeClr val="tx1">
                    <a:lumMod val="65000"/>
                    <a:lumOff val="35000"/>
                  </a:schemeClr>
                </a:solidFill>
              </a:endParaRPr>
            </a:p>
          </xdr:txBody>
        </xdr:sp>
        <xdr:sp macro="" textlink="ControlChart!AV17">
          <xdr:nvSpPr>
            <xdr:cNvPr id="5120" name="Rectangle 5119">
              <a:extLst>
                <a:ext uri="{FF2B5EF4-FFF2-40B4-BE49-F238E27FC236}">
                  <a16:creationId xmlns:a16="http://schemas.microsoft.com/office/drawing/2014/main" id="{00000000-0008-0000-0800-000000140000}"/>
                </a:ext>
              </a:extLst>
            </xdr:cNvPr>
            <xdr:cNvSpPr/>
          </xdr:nvSpPr>
          <xdr:spPr>
            <a:xfrm>
              <a:off x="17889397" y="1839795"/>
              <a:ext cx="643923" cy="2677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D8E4341F-ED0F-4F36-B9B1-3B0A9B82CA48}" type="TxLink">
                <a:rPr lang="en-US" sz="900" b="0" i="0" u="none" strike="noStrike">
                  <a:solidFill>
                    <a:srgbClr val="7030A0"/>
                  </a:solidFill>
                  <a:latin typeface="Arial"/>
                  <a:cs typeface="Arial"/>
                </a:rPr>
                <a:pPr algn="r"/>
                <a:t>2025</a:t>
              </a:fld>
              <a:endParaRPr lang="fr-CA" sz="1100">
                <a:solidFill>
                  <a:srgbClr val="7030A0"/>
                </a:solidFill>
              </a:endParaRPr>
            </a:p>
          </xdr:txBody>
        </xdr:sp>
        <xdr:sp macro="" textlink="ControlChart!AW30">
          <xdr:nvSpPr>
            <xdr:cNvPr id="5121" name="Rectangle 5120">
              <a:extLst>
                <a:ext uri="{FF2B5EF4-FFF2-40B4-BE49-F238E27FC236}">
                  <a16:creationId xmlns:a16="http://schemas.microsoft.com/office/drawing/2014/main" id="{00000000-0008-0000-0800-000001140000}"/>
                </a:ext>
              </a:extLst>
            </xdr:cNvPr>
            <xdr:cNvSpPr/>
          </xdr:nvSpPr>
          <xdr:spPr>
            <a:xfrm>
              <a:off x="18276294" y="1862800"/>
              <a:ext cx="1028095" cy="2217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fld id="{8AEF6171-590F-45D5-AEEA-BC3685A68636}" type="TxLink">
                <a:rPr lang="en-US" sz="900" b="0" i="0" u="none" strike="noStrike">
                  <a:solidFill>
                    <a:srgbClr val="7030A0"/>
                  </a:solidFill>
                  <a:latin typeface="Arial"/>
                  <a:cs typeface="Arial"/>
                </a:rPr>
                <a:pPr algn="l"/>
                <a:t> 0.00 $</a:t>
              </a:fld>
              <a:endParaRPr lang="fr-CA" sz="1100">
                <a:solidFill>
                  <a:srgbClr val="7030A0"/>
                </a:solidFill>
              </a:endParaRPr>
            </a:p>
          </xdr:txBody>
        </xdr:sp>
        <xdr:sp macro="" textlink="ControlChart!AS17">
          <xdr:nvSpPr>
            <xdr:cNvPr id="5131" name="Rectangle 5130">
              <a:extLst>
                <a:ext uri="{FF2B5EF4-FFF2-40B4-BE49-F238E27FC236}">
                  <a16:creationId xmlns:a16="http://schemas.microsoft.com/office/drawing/2014/main" id="{00000000-0008-0000-0800-00000B140000}"/>
                </a:ext>
              </a:extLst>
            </xdr:cNvPr>
            <xdr:cNvSpPr/>
          </xdr:nvSpPr>
          <xdr:spPr>
            <a:xfrm>
              <a:off x="15722449" y="1839795"/>
              <a:ext cx="1589369" cy="2677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A8398161-61E8-475E-9E99-55B9BCB707BD}" type="TxLink">
                <a:rPr lang="en-US" sz="1000" b="0" i="0" u="none" strike="noStrike">
                  <a:solidFill>
                    <a:srgbClr val="7030A0"/>
                  </a:solidFill>
                  <a:latin typeface="Arial"/>
                  <a:cs typeface="Arial"/>
                </a:rPr>
                <a:pPr algn="r"/>
                <a:t>Sub-Category3</a:t>
              </a:fld>
              <a:endParaRPr lang="en-US" sz="1000" b="0" i="0" u="none" strike="noStrike">
                <a:solidFill>
                  <a:srgbClr val="7030A0"/>
                </a:solidFill>
                <a:latin typeface="Arial"/>
                <a:cs typeface="Arial"/>
              </a:endParaRPr>
            </a:p>
          </xdr:txBody>
        </xdr:sp>
        <xdr:graphicFrame macro="">
          <xdr:nvGraphicFramePr>
            <xdr:cNvPr id="5132" name="Chart 5131">
              <a:extLst>
                <a:ext uri="{FF2B5EF4-FFF2-40B4-BE49-F238E27FC236}">
                  <a16:creationId xmlns:a16="http://schemas.microsoft.com/office/drawing/2014/main" id="{00000000-0008-0000-0800-00000C140000}"/>
                </a:ext>
              </a:extLst>
            </xdr:cNvPr>
            <xdr:cNvGraphicFramePr>
              <a:graphicFrameLocks/>
            </xdr:cNvGraphicFramePr>
          </xdr:nvGraphicFramePr>
          <xdr:xfrm>
            <a:off x="13300206" y="2084917"/>
            <a:ext cx="6033248" cy="1883770"/>
          </xdr:xfrm>
          <a:graphic>
            <a:graphicData uri="http://schemas.openxmlformats.org/drawingml/2006/chart">
              <c:chart xmlns:c="http://schemas.openxmlformats.org/drawingml/2006/chart" xmlns:r="http://schemas.openxmlformats.org/officeDocument/2006/relationships" r:id="rId109"/>
            </a:graphicData>
          </a:graphic>
        </xdr:graphicFrame>
        <mc:AlternateContent xmlns:mc="http://schemas.openxmlformats.org/markup-compatibility/2006" xmlns:a14="http://schemas.microsoft.com/office/drawing/2010/main">
          <mc:Choice Requires="a14">
            <xdr:graphicFrame macro="">
              <xdr:nvGraphicFramePr>
                <xdr:cNvPr id="5915" name="Mois (Name) 3">
                  <a:extLst>
                    <a:ext uri="{FF2B5EF4-FFF2-40B4-BE49-F238E27FC236}">
                      <a16:creationId xmlns:a16="http://schemas.microsoft.com/office/drawing/2014/main" id="{00000000-0008-0000-0800-00001B170000}"/>
                    </a:ext>
                  </a:extLst>
                </xdr:cNvPr>
                <xdr:cNvGraphicFramePr/>
              </xdr:nvGraphicFramePr>
              <xdr:xfrm>
                <a:off x="13699068" y="3862916"/>
                <a:ext cx="5587999" cy="374904"/>
              </xdr:xfrm>
              <a:graphic>
                <a:graphicData uri="http://schemas.microsoft.com/office/drawing/2010/slicer">
                  <sle:slicer xmlns:sle="http://schemas.microsoft.com/office/drawing/2010/slicer" name="Mois (Name) 3"/>
                </a:graphicData>
              </a:graphic>
            </xdr:graphicFrame>
          </mc:Choice>
          <mc:Fallback xmlns="">
            <xdr:sp macro="" textlink="">
              <xdr:nvSpPr>
                <xdr:cNvPr id="0" name=""/>
                <xdr:cNvSpPr>
                  <a:spLocks noTextEdit="1"/>
                </xdr:cNvSpPr>
              </xdr:nvSpPr>
              <xdr:spPr>
                <a:xfrm>
                  <a:off x="13699068" y="3862916"/>
                  <a:ext cx="5587999" cy="37490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48" name="Slicer_Année5">
                  <a:extLst>
                    <a:ext uri="{FF2B5EF4-FFF2-40B4-BE49-F238E27FC236}">
                      <a16:creationId xmlns:a16="http://schemas.microsoft.com/office/drawing/2014/main" id="{00000000-0008-0000-0800-0000AC150000}"/>
                    </a:ext>
                  </a:extLst>
                </xdr:cNvPr>
                <xdr:cNvGraphicFramePr/>
              </xdr:nvGraphicFramePr>
              <xdr:xfrm>
                <a:off x="13557250" y="1693333"/>
                <a:ext cx="1819656" cy="310896"/>
              </xdr:xfrm>
              <a:graphic>
                <a:graphicData uri="http://schemas.microsoft.com/office/drawing/2010/slicer">
                  <sle:slicer xmlns:sle="http://schemas.microsoft.com/office/drawing/2010/slicer" name="Slicer_Année5"/>
                </a:graphicData>
              </a:graphic>
            </xdr:graphicFrame>
          </mc:Choice>
          <mc:Fallback xmlns="">
            <xdr:sp macro="" textlink="">
              <xdr:nvSpPr>
                <xdr:cNvPr id="0" name=""/>
                <xdr:cNvSpPr>
                  <a:spLocks noTextEdit="1"/>
                </xdr:cNvSpPr>
              </xdr:nvSpPr>
              <xdr:spPr>
                <a:xfrm>
                  <a:off x="13557250" y="1693333"/>
                  <a:ext cx="1819656" cy="31089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33" name="Cat_3 3">
                  <a:extLst>
                    <a:ext uri="{FF2B5EF4-FFF2-40B4-BE49-F238E27FC236}">
                      <a16:creationId xmlns:a16="http://schemas.microsoft.com/office/drawing/2014/main" id="{00000000-0008-0000-0800-00000D140000}"/>
                    </a:ext>
                  </a:extLst>
                </xdr:cNvPr>
                <xdr:cNvGraphicFramePr/>
              </xdr:nvGraphicFramePr>
              <xdr:xfrm>
                <a:off x="19229917" y="1809750"/>
                <a:ext cx="1179914" cy="2276856"/>
              </xdr:xfrm>
              <a:graphic>
                <a:graphicData uri="http://schemas.microsoft.com/office/drawing/2010/slicer">
                  <sle:slicer xmlns:sle="http://schemas.microsoft.com/office/drawing/2010/slicer" name="Cat_3 3"/>
                </a:graphicData>
              </a:graphic>
            </xdr:graphicFrame>
          </mc:Choice>
          <mc:Fallback xmlns="">
            <xdr:sp macro="" textlink="">
              <xdr:nvSpPr>
                <xdr:cNvPr id="0" name=""/>
                <xdr:cNvSpPr>
                  <a:spLocks noTextEdit="1"/>
                </xdr:cNvSpPr>
              </xdr:nvSpPr>
              <xdr:spPr>
                <a:xfrm>
                  <a:off x="19229917" y="1809750"/>
                  <a:ext cx="1179914" cy="227685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617" name="Group 5616">
            <a:extLst>
              <a:ext uri="{FF2B5EF4-FFF2-40B4-BE49-F238E27FC236}">
                <a16:creationId xmlns:a16="http://schemas.microsoft.com/office/drawing/2014/main" id="{00000000-0008-0000-0800-0000F1150000}"/>
              </a:ext>
            </a:extLst>
          </xdr:cNvPr>
          <xdr:cNvGrpSpPr/>
        </xdr:nvGrpSpPr>
        <xdr:grpSpPr>
          <a:xfrm>
            <a:off x="13259336" y="4365295"/>
            <a:ext cx="7250827" cy="2660318"/>
            <a:chOff x="13259336" y="4365295"/>
            <a:chExt cx="7250827" cy="2660318"/>
          </a:xfrm>
        </xdr:grpSpPr>
        <xdr:sp macro="" textlink="">
          <xdr:nvSpPr>
            <xdr:cNvPr id="44" name="Rectangle: Rounded Corners 43">
              <a:extLst>
                <a:ext uri="{FF2B5EF4-FFF2-40B4-BE49-F238E27FC236}">
                  <a16:creationId xmlns:a16="http://schemas.microsoft.com/office/drawing/2014/main" id="{00000000-0008-0000-0800-00002C000000}"/>
                </a:ext>
              </a:extLst>
            </xdr:cNvPr>
            <xdr:cNvSpPr/>
          </xdr:nvSpPr>
          <xdr:spPr>
            <a:xfrm>
              <a:off x="13259336" y="4365295"/>
              <a:ext cx="7250827" cy="2660318"/>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sp macro="" textlink="ControlChart!AX1">
          <xdr:nvSpPr>
            <xdr:cNvPr id="47" name="Rectangle 46">
              <a:extLst>
                <a:ext uri="{FF2B5EF4-FFF2-40B4-BE49-F238E27FC236}">
                  <a16:creationId xmlns:a16="http://schemas.microsoft.com/office/drawing/2014/main" id="{00000000-0008-0000-0800-00002F000000}"/>
                </a:ext>
              </a:extLst>
            </xdr:cNvPr>
            <xdr:cNvSpPr/>
          </xdr:nvSpPr>
          <xdr:spPr>
            <a:xfrm>
              <a:off x="17875642" y="4386460"/>
              <a:ext cx="642766" cy="268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876B6463-42F1-40DF-A318-5740D8845F6A}" type="TxLink">
                <a:rPr lang="en-US" sz="900" b="0" i="0" u="none" strike="noStrike">
                  <a:solidFill>
                    <a:schemeClr val="tx1">
                      <a:lumMod val="65000"/>
                      <a:lumOff val="35000"/>
                    </a:schemeClr>
                  </a:solidFill>
                  <a:latin typeface="Arial"/>
                  <a:cs typeface="Arial"/>
                </a:rPr>
                <a:pPr algn="r"/>
                <a:t>-</a:t>
              </a:fld>
              <a:endParaRPr lang="fr-CA" sz="1100">
                <a:solidFill>
                  <a:schemeClr val="tx1">
                    <a:lumMod val="65000"/>
                    <a:lumOff val="35000"/>
                  </a:schemeClr>
                </a:solidFill>
              </a:endParaRPr>
            </a:p>
          </xdr:txBody>
        </xdr:sp>
        <xdr:sp macro="" textlink="ControlChart!AZ14">
          <xdr:nvSpPr>
            <xdr:cNvPr id="48" name="Rectangle 47">
              <a:extLst>
                <a:ext uri="{FF2B5EF4-FFF2-40B4-BE49-F238E27FC236}">
                  <a16:creationId xmlns:a16="http://schemas.microsoft.com/office/drawing/2014/main" id="{00000000-0008-0000-0800-000030000000}"/>
                </a:ext>
              </a:extLst>
            </xdr:cNvPr>
            <xdr:cNvSpPr/>
          </xdr:nvSpPr>
          <xdr:spPr>
            <a:xfrm>
              <a:off x="18261844" y="4409464"/>
              <a:ext cx="1026249" cy="2226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fld id="{7AE17658-BF74-4ADC-8E84-7956D922D254}" type="TxLink">
                <a:rPr lang="en-US" sz="900" b="0" i="0" u="none" strike="noStrike">
                  <a:solidFill>
                    <a:schemeClr val="tx1">
                      <a:lumMod val="65000"/>
                      <a:lumOff val="35000"/>
                    </a:schemeClr>
                  </a:solidFill>
                  <a:latin typeface="Arial"/>
                  <a:cs typeface="Arial"/>
                </a:rPr>
                <a:pPr algn="l"/>
                <a:t> 0.00 $</a:t>
              </a:fld>
              <a:endParaRPr lang="fr-CA" sz="1100">
                <a:solidFill>
                  <a:schemeClr val="tx1">
                    <a:lumMod val="65000"/>
                    <a:lumOff val="35000"/>
                  </a:schemeClr>
                </a:solidFill>
              </a:endParaRPr>
            </a:p>
          </xdr:txBody>
        </xdr:sp>
        <xdr:sp macro="" textlink="ControlChart!AV1">
          <xdr:nvSpPr>
            <xdr:cNvPr id="49" name="Rectangle 48">
              <a:extLst>
                <a:ext uri="{FF2B5EF4-FFF2-40B4-BE49-F238E27FC236}">
                  <a16:creationId xmlns:a16="http://schemas.microsoft.com/office/drawing/2014/main" id="{00000000-0008-0000-0800-000031000000}"/>
                </a:ext>
              </a:extLst>
            </xdr:cNvPr>
            <xdr:cNvSpPr/>
          </xdr:nvSpPr>
          <xdr:spPr>
            <a:xfrm>
              <a:off x="17881081" y="4601332"/>
              <a:ext cx="642766" cy="2677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7562305E-98F8-43EE-934D-7E2B38D08E52}" type="TxLink">
                <a:rPr lang="en-US" sz="900" b="0" i="0" u="none" strike="noStrike">
                  <a:solidFill>
                    <a:srgbClr val="02C7B3"/>
                  </a:solidFill>
                  <a:latin typeface="Arial"/>
                  <a:cs typeface="Arial"/>
                </a:rPr>
                <a:pPr algn="r"/>
                <a:t>2025</a:t>
              </a:fld>
              <a:endParaRPr lang="fr-CA" sz="1100">
                <a:solidFill>
                  <a:srgbClr val="02C7B3"/>
                </a:solidFill>
              </a:endParaRPr>
            </a:p>
          </xdr:txBody>
        </xdr:sp>
        <xdr:sp macro="" textlink="ControlChart!AW14">
          <xdr:nvSpPr>
            <xdr:cNvPr id="50" name="Rectangle 49">
              <a:extLst>
                <a:ext uri="{FF2B5EF4-FFF2-40B4-BE49-F238E27FC236}">
                  <a16:creationId xmlns:a16="http://schemas.microsoft.com/office/drawing/2014/main" id="{00000000-0008-0000-0800-000032000000}"/>
                </a:ext>
              </a:extLst>
            </xdr:cNvPr>
            <xdr:cNvSpPr/>
          </xdr:nvSpPr>
          <xdr:spPr>
            <a:xfrm>
              <a:off x="18267284" y="4624337"/>
              <a:ext cx="1026249" cy="2217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fld id="{A80E681C-1A03-46C3-8E6C-92D8DCFC64BC}" type="TxLink">
                <a:rPr lang="en-US" sz="900" b="0" i="0" u="none" strike="noStrike">
                  <a:solidFill>
                    <a:srgbClr val="02C7B3"/>
                  </a:solidFill>
                  <a:latin typeface="Arial"/>
                  <a:cs typeface="Arial"/>
                </a:rPr>
                <a:pPr algn="l"/>
                <a:t> 0.00 $</a:t>
              </a:fld>
              <a:endParaRPr lang="fr-CA" sz="1100">
                <a:solidFill>
                  <a:srgbClr val="02C7B3"/>
                </a:solidFill>
              </a:endParaRPr>
            </a:p>
          </xdr:txBody>
        </xdr:sp>
        <xdr:sp macro="" textlink="ControlChart!AS1">
          <xdr:nvSpPr>
            <xdr:cNvPr id="53" name="Rectangle 52">
              <a:extLst>
                <a:ext uri="{FF2B5EF4-FFF2-40B4-BE49-F238E27FC236}">
                  <a16:creationId xmlns:a16="http://schemas.microsoft.com/office/drawing/2014/main" id="{00000000-0008-0000-0800-000035000000}"/>
                </a:ext>
              </a:extLst>
            </xdr:cNvPr>
            <xdr:cNvSpPr/>
          </xdr:nvSpPr>
          <xdr:spPr>
            <a:xfrm>
              <a:off x="15723876" y="4601332"/>
              <a:ext cx="1586515" cy="2677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5CF16442-A0DF-40FE-82FA-B4191963E3E9}" type="TxLink">
                <a:rPr lang="en-US" sz="1000" b="0" i="0" u="none" strike="noStrike">
                  <a:solidFill>
                    <a:srgbClr val="02C7B3"/>
                  </a:solidFill>
                  <a:latin typeface="Arial"/>
                  <a:cs typeface="Arial"/>
                </a:rPr>
                <a:pPr algn="r"/>
                <a:t>Sub-Category3</a:t>
              </a:fld>
              <a:endParaRPr lang="fr-CA" sz="1000">
                <a:solidFill>
                  <a:srgbClr val="02C7B3"/>
                </a:solidFill>
              </a:endParaRPr>
            </a:p>
          </xdr:txBody>
        </xdr:sp>
        <xdr:graphicFrame macro="">
          <xdr:nvGraphicFramePr>
            <xdr:cNvPr id="45" name="Chart 44">
              <a:extLst>
                <a:ext uri="{FF2B5EF4-FFF2-40B4-BE49-F238E27FC236}">
                  <a16:creationId xmlns:a16="http://schemas.microsoft.com/office/drawing/2014/main" id="{00000000-0008-0000-0800-00002D000000}"/>
                </a:ext>
              </a:extLst>
            </xdr:cNvPr>
            <xdr:cNvGraphicFramePr>
              <a:graphicFrameLocks/>
            </xdr:cNvGraphicFramePr>
          </xdr:nvGraphicFramePr>
          <xdr:xfrm>
            <a:off x="13300133" y="4826000"/>
            <a:ext cx="6022411" cy="1904225"/>
          </xdr:xfrm>
          <a:graphic>
            <a:graphicData uri="http://schemas.openxmlformats.org/drawingml/2006/chart">
              <c:chart xmlns:c="http://schemas.openxmlformats.org/drawingml/2006/chart" xmlns:r="http://schemas.openxmlformats.org/officeDocument/2006/relationships" r:id="rId110"/>
            </a:graphicData>
          </a:graphic>
        </xdr:graphicFrame>
        <mc:AlternateContent xmlns:mc="http://schemas.openxmlformats.org/markup-compatibility/2006" xmlns:a14="http://schemas.microsoft.com/office/drawing/2010/main">
          <mc:Choice Requires="a14">
            <xdr:graphicFrame macro="">
              <xdr:nvGraphicFramePr>
                <xdr:cNvPr id="5994" name="Mois (Name) 4">
                  <a:extLst>
                    <a:ext uri="{FF2B5EF4-FFF2-40B4-BE49-F238E27FC236}">
                      <a16:creationId xmlns:a16="http://schemas.microsoft.com/office/drawing/2014/main" id="{00000000-0008-0000-0800-00006A170000}"/>
                    </a:ext>
                  </a:extLst>
                </xdr:cNvPr>
                <xdr:cNvGraphicFramePr/>
              </xdr:nvGraphicFramePr>
              <xdr:xfrm>
                <a:off x="13699068" y="6639982"/>
                <a:ext cx="5587999" cy="374904"/>
              </xdr:xfrm>
              <a:graphic>
                <a:graphicData uri="http://schemas.microsoft.com/office/drawing/2010/slicer">
                  <sle:slicer xmlns:sle="http://schemas.microsoft.com/office/drawing/2010/slicer" name="Mois (Name) 4"/>
                </a:graphicData>
              </a:graphic>
            </xdr:graphicFrame>
          </mc:Choice>
          <mc:Fallback xmlns="">
            <xdr:sp macro="" textlink="">
              <xdr:nvSpPr>
                <xdr:cNvPr id="0" name=""/>
                <xdr:cNvSpPr>
                  <a:spLocks noTextEdit="1"/>
                </xdr:cNvSpPr>
              </xdr:nvSpPr>
              <xdr:spPr>
                <a:xfrm>
                  <a:off x="13699068" y="6639982"/>
                  <a:ext cx="5587999" cy="37490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49" name="Année 4">
                  <a:extLst>
                    <a:ext uri="{FF2B5EF4-FFF2-40B4-BE49-F238E27FC236}">
                      <a16:creationId xmlns:a16="http://schemas.microsoft.com/office/drawing/2014/main" id="{00000000-0008-0000-0800-0000AD150000}"/>
                    </a:ext>
                  </a:extLst>
                </xdr:cNvPr>
                <xdr:cNvGraphicFramePr/>
              </xdr:nvGraphicFramePr>
              <xdr:xfrm>
                <a:off x="13557250" y="4449233"/>
                <a:ext cx="1819656" cy="310896"/>
              </xdr:xfrm>
              <a:graphic>
                <a:graphicData uri="http://schemas.microsoft.com/office/drawing/2010/slicer">
                  <sle:slicer xmlns:sle="http://schemas.microsoft.com/office/drawing/2010/slicer" name="Année 4"/>
                </a:graphicData>
              </a:graphic>
            </xdr:graphicFrame>
          </mc:Choice>
          <mc:Fallback xmlns="">
            <xdr:sp macro="" textlink="">
              <xdr:nvSpPr>
                <xdr:cNvPr id="0" name=""/>
                <xdr:cNvSpPr>
                  <a:spLocks noTextEdit="1"/>
                </xdr:cNvSpPr>
              </xdr:nvSpPr>
              <xdr:spPr>
                <a:xfrm>
                  <a:off x="13557250" y="4449233"/>
                  <a:ext cx="1819656" cy="31089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34" name="Cat_3 1">
                  <a:extLst>
                    <a:ext uri="{FF2B5EF4-FFF2-40B4-BE49-F238E27FC236}">
                      <a16:creationId xmlns:a16="http://schemas.microsoft.com/office/drawing/2014/main" id="{00000000-0008-0000-0800-00000E140000}"/>
                    </a:ext>
                  </a:extLst>
                </xdr:cNvPr>
                <xdr:cNvGraphicFramePr/>
              </xdr:nvGraphicFramePr>
              <xdr:xfrm>
                <a:off x="19261666" y="4561417"/>
                <a:ext cx="1158747" cy="2276856"/>
              </xdr:xfrm>
              <a:graphic>
                <a:graphicData uri="http://schemas.microsoft.com/office/drawing/2010/slicer">
                  <sle:slicer xmlns:sle="http://schemas.microsoft.com/office/drawing/2010/slicer" name="Cat_3 1"/>
                </a:graphicData>
              </a:graphic>
            </xdr:graphicFrame>
          </mc:Choice>
          <mc:Fallback xmlns="">
            <xdr:sp macro="" textlink="">
              <xdr:nvSpPr>
                <xdr:cNvPr id="0" name=""/>
                <xdr:cNvSpPr>
                  <a:spLocks noTextEdit="1"/>
                </xdr:cNvSpPr>
              </xdr:nvSpPr>
              <xdr:spPr>
                <a:xfrm>
                  <a:off x="19261666" y="4561417"/>
                  <a:ext cx="1158747" cy="227685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618" name="Group 5617">
            <a:extLst>
              <a:ext uri="{FF2B5EF4-FFF2-40B4-BE49-F238E27FC236}">
                <a16:creationId xmlns:a16="http://schemas.microsoft.com/office/drawing/2014/main" id="{00000000-0008-0000-0800-0000F2150000}"/>
              </a:ext>
            </a:extLst>
          </xdr:cNvPr>
          <xdr:cNvGrpSpPr/>
        </xdr:nvGrpSpPr>
        <xdr:grpSpPr>
          <a:xfrm>
            <a:off x="13259336" y="7153442"/>
            <a:ext cx="7263873" cy="2660318"/>
            <a:chOff x="13259336" y="7153442"/>
            <a:chExt cx="7263873" cy="2660318"/>
          </a:xfrm>
        </xdr:grpSpPr>
        <xdr:sp macro="" textlink="">
          <xdr:nvSpPr>
            <xdr:cNvPr id="13" name="Rectangle: Rounded Corners 12">
              <a:extLst>
                <a:ext uri="{FF2B5EF4-FFF2-40B4-BE49-F238E27FC236}">
                  <a16:creationId xmlns:a16="http://schemas.microsoft.com/office/drawing/2014/main" id="{00000000-0008-0000-0800-00000D000000}"/>
                </a:ext>
              </a:extLst>
            </xdr:cNvPr>
            <xdr:cNvSpPr/>
          </xdr:nvSpPr>
          <xdr:spPr>
            <a:xfrm>
              <a:off x="13259336" y="7153442"/>
              <a:ext cx="7263873" cy="2660318"/>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sp macro="" textlink="ControlChart!AU34">
          <xdr:nvSpPr>
            <xdr:cNvPr id="14" name="Rectangle 13">
              <a:extLst>
                <a:ext uri="{FF2B5EF4-FFF2-40B4-BE49-F238E27FC236}">
                  <a16:creationId xmlns:a16="http://schemas.microsoft.com/office/drawing/2014/main" id="{00000000-0008-0000-0800-00000E000000}"/>
                </a:ext>
              </a:extLst>
            </xdr:cNvPr>
            <xdr:cNvSpPr/>
          </xdr:nvSpPr>
          <xdr:spPr>
            <a:xfrm>
              <a:off x="17889948" y="7173633"/>
              <a:ext cx="642659" cy="2699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25DC5E6D-6DB2-4DD4-BB1A-C29BCAFEFAEB}" type="TxLink">
                <a:rPr lang="en-US" sz="900" b="0" i="0" u="none" strike="noStrike">
                  <a:solidFill>
                    <a:schemeClr val="tx1">
                      <a:lumMod val="65000"/>
                      <a:lumOff val="35000"/>
                    </a:schemeClr>
                  </a:solidFill>
                  <a:latin typeface="Arial"/>
                  <a:cs typeface="Arial"/>
                </a:rPr>
                <a:pPr algn="r"/>
                <a:t>-</a:t>
              </a:fld>
              <a:endParaRPr lang="fr-CA" sz="1100">
                <a:solidFill>
                  <a:schemeClr val="tx1">
                    <a:lumMod val="65000"/>
                    <a:lumOff val="35000"/>
                  </a:schemeClr>
                </a:solidFill>
              </a:endParaRPr>
            </a:p>
          </xdr:txBody>
        </xdr:sp>
        <xdr:sp macro="" textlink="ControlChart!AZ47">
          <xdr:nvSpPr>
            <xdr:cNvPr id="15" name="Rectangle 14">
              <a:extLst>
                <a:ext uri="{FF2B5EF4-FFF2-40B4-BE49-F238E27FC236}">
                  <a16:creationId xmlns:a16="http://schemas.microsoft.com/office/drawing/2014/main" id="{00000000-0008-0000-0800-00000F000000}"/>
                </a:ext>
              </a:extLst>
            </xdr:cNvPr>
            <xdr:cNvSpPr/>
          </xdr:nvSpPr>
          <xdr:spPr>
            <a:xfrm>
              <a:off x="18271102" y="7195577"/>
              <a:ext cx="1029422" cy="2192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fld id="{95C756D6-1B02-4713-899D-E73E344412D9}" type="TxLink">
                <a:rPr lang="en-US" sz="900" b="0" i="0" u="none" strike="noStrike">
                  <a:solidFill>
                    <a:schemeClr val="tx1">
                      <a:lumMod val="65000"/>
                      <a:lumOff val="35000"/>
                    </a:schemeClr>
                  </a:solidFill>
                  <a:latin typeface="Arial"/>
                  <a:cs typeface="Arial"/>
                </a:rPr>
                <a:pPr algn="l"/>
                <a:t> 0.00 $</a:t>
              </a:fld>
              <a:endParaRPr lang="fr-CA" sz="1100">
                <a:solidFill>
                  <a:schemeClr val="tx1">
                    <a:lumMod val="65000"/>
                    <a:lumOff val="35000"/>
                  </a:schemeClr>
                </a:solidFill>
              </a:endParaRPr>
            </a:p>
          </xdr:txBody>
        </xdr:sp>
        <xdr:sp macro="" textlink="ControlChart!AV17">
          <xdr:nvSpPr>
            <xdr:cNvPr id="16" name="Rectangle 15">
              <a:extLst>
                <a:ext uri="{FF2B5EF4-FFF2-40B4-BE49-F238E27FC236}">
                  <a16:creationId xmlns:a16="http://schemas.microsoft.com/office/drawing/2014/main" id="{00000000-0008-0000-0800-000010000000}"/>
                </a:ext>
              </a:extLst>
            </xdr:cNvPr>
            <xdr:cNvSpPr/>
          </xdr:nvSpPr>
          <xdr:spPr>
            <a:xfrm>
              <a:off x="17895316" y="7386731"/>
              <a:ext cx="642659" cy="2690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D8E4341F-ED0F-4F36-B9B1-3B0A9B82CA48}" type="TxLink">
                <a:rPr lang="en-US" sz="900" b="0" i="0" u="none" strike="noStrike">
                  <a:solidFill>
                    <a:srgbClr val="FA6148"/>
                  </a:solidFill>
                  <a:latin typeface="Arial"/>
                  <a:cs typeface="Arial"/>
                </a:rPr>
                <a:pPr algn="r"/>
                <a:t>2025</a:t>
              </a:fld>
              <a:endParaRPr lang="fr-CA" sz="1100">
                <a:solidFill>
                  <a:srgbClr val="FA6148"/>
                </a:solidFill>
              </a:endParaRPr>
            </a:p>
          </xdr:txBody>
        </xdr:sp>
        <xdr:sp macro="" textlink="ControlChart!AW47">
          <xdr:nvSpPr>
            <xdr:cNvPr id="17" name="Rectangle 16">
              <a:extLst>
                <a:ext uri="{FF2B5EF4-FFF2-40B4-BE49-F238E27FC236}">
                  <a16:creationId xmlns:a16="http://schemas.microsoft.com/office/drawing/2014/main" id="{00000000-0008-0000-0800-000011000000}"/>
                </a:ext>
              </a:extLst>
            </xdr:cNvPr>
            <xdr:cNvSpPr/>
          </xdr:nvSpPr>
          <xdr:spPr>
            <a:xfrm>
              <a:off x="18276471" y="7408677"/>
              <a:ext cx="1029422" cy="22516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fld id="{5EAAC8F9-23BB-440E-83D4-13245D600F61}" type="TxLink">
                <a:rPr lang="en-US" sz="900" b="0" i="0" u="none" strike="noStrike">
                  <a:solidFill>
                    <a:srgbClr val="FA6148"/>
                  </a:solidFill>
                  <a:latin typeface="Arial"/>
                  <a:cs typeface="Arial"/>
                </a:rPr>
                <a:pPr algn="l"/>
                <a:t> 0.00 $</a:t>
              </a:fld>
              <a:endParaRPr lang="fr-CA" sz="1100">
                <a:solidFill>
                  <a:srgbClr val="FA6148"/>
                </a:solidFill>
              </a:endParaRPr>
            </a:p>
          </xdr:txBody>
        </xdr:sp>
        <xdr:sp macro="" textlink="ControlChart!AS34">
          <xdr:nvSpPr>
            <xdr:cNvPr id="30" name="Rectangle 29">
              <a:extLst>
                <a:ext uri="{FF2B5EF4-FFF2-40B4-BE49-F238E27FC236}">
                  <a16:creationId xmlns:a16="http://schemas.microsoft.com/office/drawing/2014/main" id="{00000000-0008-0000-0800-00001E000000}"/>
                </a:ext>
              </a:extLst>
            </xdr:cNvPr>
            <xdr:cNvSpPr/>
          </xdr:nvSpPr>
          <xdr:spPr>
            <a:xfrm>
              <a:off x="15721804" y="7390132"/>
              <a:ext cx="1590659" cy="2622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r"/>
              <a:fld id="{4BFA6D47-3A65-478D-85B4-14A8298583A4}" type="TxLink">
                <a:rPr lang="en-US" sz="1000" b="0" i="0" u="none" strike="noStrike">
                  <a:solidFill>
                    <a:srgbClr val="FA6148"/>
                  </a:solidFill>
                  <a:latin typeface="Arial"/>
                  <a:cs typeface="Arial"/>
                </a:rPr>
                <a:pPr algn="r"/>
                <a:t>Sub-Category3</a:t>
              </a:fld>
              <a:endParaRPr lang="en-US" sz="1000" b="0" i="0" u="none" strike="noStrike">
                <a:solidFill>
                  <a:srgbClr val="FA6148"/>
                </a:solidFill>
                <a:latin typeface="Arial"/>
                <a:cs typeface="Arial"/>
              </a:endParaRPr>
            </a:p>
          </xdr:txBody>
        </xdr:sp>
        <xdr:graphicFrame macro="">
          <xdr:nvGraphicFramePr>
            <xdr:cNvPr id="41" name="Chart 40">
              <a:extLst>
                <a:ext uri="{FF2B5EF4-FFF2-40B4-BE49-F238E27FC236}">
                  <a16:creationId xmlns:a16="http://schemas.microsoft.com/office/drawing/2014/main" id="{00000000-0008-0000-0800-000029000000}"/>
                </a:ext>
              </a:extLst>
            </xdr:cNvPr>
            <xdr:cNvGraphicFramePr>
              <a:graphicFrameLocks/>
            </xdr:cNvGraphicFramePr>
          </xdr:nvGraphicFramePr>
          <xdr:xfrm>
            <a:off x="13299600" y="7609416"/>
            <a:ext cx="6034927" cy="1908945"/>
          </xdr:xfrm>
          <a:graphic>
            <a:graphicData uri="http://schemas.openxmlformats.org/drawingml/2006/chart">
              <c:chart xmlns:c="http://schemas.openxmlformats.org/drawingml/2006/chart" xmlns:r="http://schemas.openxmlformats.org/officeDocument/2006/relationships" r:id="rId111"/>
            </a:graphicData>
          </a:graphic>
        </xdr:graphicFrame>
        <mc:AlternateContent xmlns:mc="http://schemas.openxmlformats.org/markup-compatibility/2006" xmlns:a14="http://schemas.microsoft.com/office/drawing/2010/main">
          <mc:Choice Requires="a14">
            <xdr:graphicFrame macro="">
              <xdr:nvGraphicFramePr>
                <xdr:cNvPr id="5546" name="Mois (Name) 5">
                  <a:extLst>
                    <a:ext uri="{FF2B5EF4-FFF2-40B4-BE49-F238E27FC236}">
                      <a16:creationId xmlns:a16="http://schemas.microsoft.com/office/drawing/2014/main" id="{00000000-0008-0000-0800-0000AA150000}"/>
                    </a:ext>
                  </a:extLst>
                </xdr:cNvPr>
                <xdr:cNvGraphicFramePr/>
              </xdr:nvGraphicFramePr>
              <xdr:xfrm>
                <a:off x="13699068" y="9406465"/>
                <a:ext cx="5587999" cy="374904"/>
              </xdr:xfrm>
              <a:graphic>
                <a:graphicData uri="http://schemas.microsoft.com/office/drawing/2010/slicer">
                  <sle:slicer xmlns:sle="http://schemas.microsoft.com/office/drawing/2010/slicer" name="Mois (Name) 5"/>
                </a:graphicData>
              </a:graphic>
            </xdr:graphicFrame>
          </mc:Choice>
          <mc:Fallback xmlns="">
            <xdr:sp macro="" textlink="">
              <xdr:nvSpPr>
                <xdr:cNvPr id="0" name=""/>
                <xdr:cNvSpPr>
                  <a:spLocks noTextEdit="1"/>
                </xdr:cNvSpPr>
              </xdr:nvSpPr>
              <xdr:spPr>
                <a:xfrm>
                  <a:off x="13699068" y="9406465"/>
                  <a:ext cx="5587999" cy="37490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51" name="Année 6">
                  <a:extLst>
                    <a:ext uri="{FF2B5EF4-FFF2-40B4-BE49-F238E27FC236}">
                      <a16:creationId xmlns:a16="http://schemas.microsoft.com/office/drawing/2014/main" id="{00000000-0008-0000-0800-0000AF150000}"/>
                    </a:ext>
                  </a:extLst>
                </xdr:cNvPr>
                <xdr:cNvGraphicFramePr/>
              </xdr:nvGraphicFramePr>
              <xdr:xfrm>
                <a:off x="13557250" y="7236883"/>
                <a:ext cx="1819656" cy="292608"/>
              </xdr:xfrm>
              <a:graphic>
                <a:graphicData uri="http://schemas.microsoft.com/office/drawing/2010/slicer">
                  <sle:slicer xmlns:sle="http://schemas.microsoft.com/office/drawing/2010/slicer" name="Année 6"/>
                </a:graphicData>
              </a:graphic>
            </xdr:graphicFrame>
          </mc:Choice>
          <mc:Fallback xmlns="">
            <xdr:sp macro="" textlink="">
              <xdr:nvSpPr>
                <xdr:cNvPr id="0" name=""/>
                <xdr:cNvSpPr>
                  <a:spLocks noTextEdit="1"/>
                </xdr:cNvSpPr>
              </xdr:nvSpPr>
              <xdr:spPr>
                <a:xfrm>
                  <a:off x="13557250" y="7236883"/>
                  <a:ext cx="1819656" cy="29260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79" name="Cat_3">
                  <a:extLst>
                    <a:ext uri="{FF2B5EF4-FFF2-40B4-BE49-F238E27FC236}">
                      <a16:creationId xmlns:a16="http://schemas.microsoft.com/office/drawing/2014/main" id="{00000000-0008-0000-0800-0000CB150000}"/>
                    </a:ext>
                  </a:extLst>
                </xdr:cNvPr>
                <xdr:cNvGraphicFramePr/>
              </xdr:nvGraphicFramePr>
              <xdr:xfrm>
                <a:off x="19240500" y="7344834"/>
                <a:ext cx="1179915" cy="2276856"/>
              </xdr:xfrm>
              <a:graphic>
                <a:graphicData uri="http://schemas.microsoft.com/office/drawing/2010/slicer">
                  <sle:slicer xmlns:sle="http://schemas.microsoft.com/office/drawing/2010/slicer" name="Cat_3"/>
                </a:graphicData>
              </a:graphic>
            </xdr:graphicFrame>
          </mc:Choice>
          <mc:Fallback xmlns="">
            <xdr:sp macro="" textlink="">
              <xdr:nvSpPr>
                <xdr:cNvPr id="0" name=""/>
                <xdr:cNvSpPr>
                  <a:spLocks noTextEdit="1"/>
                </xdr:cNvSpPr>
              </xdr:nvSpPr>
              <xdr:spPr>
                <a:xfrm>
                  <a:off x="19240500" y="7344834"/>
                  <a:ext cx="1179915" cy="227685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5620" name="Group 5619">
            <a:extLst>
              <a:ext uri="{FF2B5EF4-FFF2-40B4-BE49-F238E27FC236}">
                <a16:creationId xmlns:a16="http://schemas.microsoft.com/office/drawing/2014/main" id="{00000000-0008-0000-0800-0000F4150000}"/>
              </a:ext>
            </a:extLst>
          </xdr:cNvPr>
          <xdr:cNvGrpSpPr/>
        </xdr:nvGrpSpPr>
        <xdr:grpSpPr>
          <a:xfrm>
            <a:off x="13269639" y="9971024"/>
            <a:ext cx="7290214" cy="3382119"/>
            <a:chOff x="13269639" y="9971024"/>
            <a:chExt cx="7290214" cy="3382119"/>
          </a:xfrm>
        </xdr:grpSpPr>
        <xdr:sp macro="" textlink="">
          <xdr:nvSpPr>
            <xdr:cNvPr id="19" name="Rectangle: Rounded Corners 18">
              <a:extLst>
                <a:ext uri="{FF2B5EF4-FFF2-40B4-BE49-F238E27FC236}">
                  <a16:creationId xmlns:a16="http://schemas.microsoft.com/office/drawing/2014/main" id="{00000000-0008-0000-0800-000013000000}"/>
                </a:ext>
              </a:extLst>
            </xdr:cNvPr>
            <xdr:cNvSpPr/>
          </xdr:nvSpPr>
          <xdr:spPr>
            <a:xfrm>
              <a:off x="13269639" y="9971024"/>
              <a:ext cx="7290214" cy="3228693"/>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13519649" y="10030578"/>
            <a:ext cx="5180959" cy="3322565"/>
          </xdr:xfrm>
          <a:graphic>
            <a:graphicData uri="http://schemas.openxmlformats.org/drawingml/2006/chart">
              <c:chart xmlns:c="http://schemas.openxmlformats.org/drawingml/2006/chart" xmlns:r="http://schemas.openxmlformats.org/officeDocument/2006/relationships" r:id="rId112"/>
            </a:graphicData>
          </a:graphic>
        </xdr:graphicFrame>
        <xdr:sp macro="" textlink="ControlChart!Q20">
          <xdr:nvSpPr>
            <xdr:cNvPr id="21" name="Rectangle 20">
              <a:extLst>
                <a:ext uri="{FF2B5EF4-FFF2-40B4-BE49-F238E27FC236}">
                  <a16:creationId xmlns:a16="http://schemas.microsoft.com/office/drawing/2014/main" id="{00000000-0008-0000-0800-000015000000}"/>
                </a:ext>
              </a:extLst>
            </xdr:cNvPr>
            <xdr:cNvSpPr/>
          </xdr:nvSpPr>
          <xdr:spPr>
            <a:xfrm>
              <a:off x="13514917" y="10049131"/>
              <a:ext cx="1714500" cy="23432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C6983C20-95D6-4AAB-A3A0-80EA29A8BDC2}" type="TxLink">
                <a:rPr lang="en-US" sz="1200" b="0" i="0" u="none" strike="noStrike">
                  <a:solidFill>
                    <a:srgbClr val="A9FEFB"/>
                  </a:solidFill>
                  <a:latin typeface="Aptos Narrow" panose="020B0004020202020204" pitchFamily="34" charset="0"/>
                  <a:cs typeface="Arial"/>
                </a:rPr>
                <a:pPr algn="ctr"/>
                <a:t>Category3</a:t>
              </a:fld>
              <a:endParaRPr lang="fr-CA" sz="1200">
                <a:solidFill>
                  <a:srgbClr val="A9FEFB"/>
                </a:solidFill>
                <a:latin typeface="Aptos Narrow" panose="020B0004020202020204" pitchFamily="34" charset="0"/>
              </a:endParaRPr>
            </a:p>
          </xdr:txBody>
        </xdr:sp>
        <mc:AlternateContent xmlns:mc="http://schemas.openxmlformats.org/markup-compatibility/2006">
          <mc:Choice xmlns:a14="http://schemas.microsoft.com/office/drawing/2010/main" Requires="a14">
            <xdr:sp macro="" textlink="">
              <xdr:nvSpPr>
                <xdr:cNvPr id="5407" name="Ratio" hidden="1">
                  <a:extLst>
                    <a:ext uri="{63B3BB69-23CF-44E3-9099-C40C66FF867C}">
                      <a14:compatExt spid="_x0000_s5148"/>
                    </a:ext>
                    <a:ext uri="{FF2B5EF4-FFF2-40B4-BE49-F238E27FC236}">
                      <a16:creationId xmlns:a16="http://schemas.microsoft.com/office/drawing/2014/main" id="{00000000-0008-0000-0800-00001F150000}"/>
                    </a:ext>
                  </a:extLst>
                </xdr:cNvPr>
                <xdr:cNvSpPr/>
              </xdr:nvSpPr>
              <xdr:spPr bwMode="auto">
                <a:xfrm>
                  <a:off x="18811543" y="10037300"/>
                  <a:ext cx="1070304" cy="21917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382" name="Cost" hidden="1">
                  <a:extLst>
                    <a:ext uri="{63B3BB69-23CF-44E3-9099-C40C66FF867C}">
                      <a14:compatExt spid="_x0000_s5150"/>
                    </a:ext>
                    <a:ext uri="{FF2B5EF4-FFF2-40B4-BE49-F238E27FC236}">
                      <a16:creationId xmlns:a16="http://schemas.microsoft.com/office/drawing/2014/main" id="{00000000-0008-0000-0800-000006150000}"/>
                    </a:ext>
                  </a:extLst>
                </xdr:cNvPr>
                <xdr:cNvSpPr/>
              </xdr:nvSpPr>
              <xdr:spPr bwMode="auto">
                <a:xfrm>
                  <a:off x="18822276" y="10250135"/>
                  <a:ext cx="1444732" cy="3013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xmlns:a14="http://schemas.microsoft.com/office/drawing/2010/main">
          <mc:Choice Requires="a14">
            <xdr:graphicFrame macro="">
              <xdr:nvGraphicFramePr>
                <xdr:cNvPr id="5580" name="Mois (Name) 6">
                  <a:extLst>
                    <a:ext uri="{FF2B5EF4-FFF2-40B4-BE49-F238E27FC236}">
                      <a16:creationId xmlns:a16="http://schemas.microsoft.com/office/drawing/2014/main" id="{00000000-0008-0000-0800-0000CC150000}"/>
                    </a:ext>
                  </a:extLst>
                </xdr:cNvPr>
                <xdr:cNvGraphicFramePr/>
              </xdr:nvGraphicFramePr>
              <xdr:xfrm>
                <a:off x="13699068" y="12858262"/>
                <a:ext cx="5586984" cy="310896"/>
              </xdr:xfrm>
              <a:graphic>
                <a:graphicData uri="http://schemas.microsoft.com/office/drawing/2010/slicer">
                  <sle:slicer xmlns:sle="http://schemas.microsoft.com/office/drawing/2010/slicer" name="Mois (Name) 6"/>
                </a:graphicData>
              </a:graphic>
            </xdr:graphicFrame>
          </mc:Choice>
          <mc:Fallback xmlns="">
            <xdr:sp macro="" textlink="">
              <xdr:nvSpPr>
                <xdr:cNvPr id="0" name=""/>
                <xdr:cNvSpPr>
                  <a:spLocks noTextEdit="1"/>
                </xdr:cNvSpPr>
              </xdr:nvSpPr>
              <xdr:spPr>
                <a:xfrm>
                  <a:off x="13699068" y="12858262"/>
                  <a:ext cx="5586984" cy="31089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83" name="Année 7">
                  <a:extLst>
                    <a:ext uri="{FF2B5EF4-FFF2-40B4-BE49-F238E27FC236}">
                      <a16:creationId xmlns:a16="http://schemas.microsoft.com/office/drawing/2014/main" id="{00000000-0008-0000-0800-0000CF150000}"/>
                    </a:ext>
                  </a:extLst>
                </xdr:cNvPr>
                <xdr:cNvGraphicFramePr/>
              </xdr:nvGraphicFramePr>
              <xdr:xfrm>
                <a:off x="15213149" y="10042594"/>
                <a:ext cx="1827658" cy="310896"/>
              </xdr:xfrm>
              <a:graphic>
                <a:graphicData uri="http://schemas.microsoft.com/office/drawing/2010/slicer">
                  <sle:slicer xmlns:sle="http://schemas.microsoft.com/office/drawing/2010/slicer" name="Année 7"/>
                </a:graphicData>
              </a:graphic>
            </xdr:graphicFrame>
          </mc:Choice>
          <mc:Fallback xmlns="">
            <xdr:sp macro="" textlink="">
              <xdr:nvSpPr>
                <xdr:cNvPr id="0" name=""/>
                <xdr:cNvSpPr>
                  <a:spLocks noTextEdit="1"/>
                </xdr:cNvSpPr>
              </xdr:nvSpPr>
              <xdr:spPr>
                <a:xfrm>
                  <a:off x="15213149" y="10042594"/>
                  <a:ext cx="1827658" cy="31089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98" name="Cat_2 3">
                  <a:extLst>
                    <a:ext uri="{FF2B5EF4-FFF2-40B4-BE49-F238E27FC236}">
                      <a16:creationId xmlns:a16="http://schemas.microsoft.com/office/drawing/2014/main" id="{00000000-0008-0000-0800-0000DE150000}"/>
                    </a:ext>
                  </a:extLst>
                </xdr:cNvPr>
                <xdr:cNvGraphicFramePr/>
              </xdr:nvGraphicFramePr>
              <xdr:xfrm>
                <a:off x="18743085" y="10615085"/>
                <a:ext cx="1714497" cy="2231136"/>
              </xdr:xfrm>
              <a:graphic>
                <a:graphicData uri="http://schemas.microsoft.com/office/drawing/2010/slicer">
                  <sle:slicer xmlns:sle="http://schemas.microsoft.com/office/drawing/2010/slicer" name="Cat_2 3"/>
                </a:graphicData>
              </a:graphic>
            </xdr:graphicFrame>
          </mc:Choice>
          <mc:Fallback xmlns="">
            <xdr:sp macro="" textlink="">
              <xdr:nvSpPr>
                <xdr:cNvPr id="0" name=""/>
                <xdr:cNvSpPr>
                  <a:spLocks noTextEdit="1"/>
                </xdr:cNvSpPr>
              </xdr:nvSpPr>
              <xdr:spPr>
                <a:xfrm>
                  <a:off x="18743085" y="10615085"/>
                  <a:ext cx="1714497" cy="223113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fLocksWithSheet="0"/>
  </xdr:twoCellAnchor>
</xdr:wsDr>
</file>

<file path=xl/drawings/drawing5.xml><?xml version="1.0" encoding="utf-8"?>
<xdr:wsDr xmlns:xdr="http://schemas.openxmlformats.org/drawingml/2006/spreadsheetDrawing" xmlns:a="http://schemas.openxmlformats.org/drawingml/2006/main">
  <xdr:twoCellAnchor editAs="absolute">
    <xdr:from>
      <xdr:col>7</xdr:col>
      <xdr:colOff>0</xdr:colOff>
      <xdr:row>0</xdr:row>
      <xdr:rowOff>0</xdr:rowOff>
    </xdr:from>
    <xdr:to>
      <xdr:col>11</xdr:col>
      <xdr:colOff>495300</xdr:colOff>
      <xdr:row>16</xdr:row>
      <xdr:rowOff>76200</xdr:rowOff>
    </xdr:to>
    <xdr:grpSp>
      <xdr:nvGrpSpPr>
        <xdr:cNvPr id="32" name="Group 31">
          <a:extLst>
            <a:ext uri="{FF2B5EF4-FFF2-40B4-BE49-F238E27FC236}">
              <a16:creationId xmlns:a16="http://schemas.microsoft.com/office/drawing/2014/main" id="{00000000-0008-0000-0900-000020000000}"/>
            </a:ext>
          </a:extLst>
        </xdr:cNvPr>
        <xdr:cNvGrpSpPr/>
      </xdr:nvGrpSpPr>
      <xdr:grpSpPr>
        <a:xfrm>
          <a:off x="4165600" y="0"/>
          <a:ext cx="2730500" cy="2413000"/>
          <a:chOff x="4165600" y="82550"/>
          <a:chExt cx="2730500" cy="2330450"/>
        </a:xfrm>
      </xdr:grpSpPr>
      <xdr:sp macro="" textlink="">
        <xdr:nvSpPr>
          <xdr:cNvPr id="2" name="Rectangle: Rounded Corners 1">
            <a:extLst>
              <a:ext uri="{FF2B5EF4-FFF2-40B4-BE49-F238E27FC236}">
                <a16:creationId xmlns:a16="http://schemas.microsoft.com/office/drawing/2014/main" id="{00000000-0008-0000-0900-000002000000}"/>
              </a:ext>
            </a:extLst>
          </xdr:cNvPr>
          <xdr:cNvSpPr/>
        </xdr:nvSpPr>
        <xdr:spPr>
          <a:xfrm>
            <a:off x="4165600" y="82550"/>
            <a:ext cx="2730500" cy="2330450"/>
          </a:xfrm>
          <a:prstGeom prst="roundRect">
            <a:avLst/>
          </a:prstGeom>
          <a:solidFill>
            <a:schemeClr val="tx1"/>
          </a:solidFill>
          <a:ln>
            <a:solidFill>
              <a:srgbClr val="AADCD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nvGrpSpPr>
          <xdr:cNvPr id="29" name="Group 28">
            <a:extLst>
              <a:ext uri="{FF2B5EF4-FFF2-40B4-BE49-F238E27FC236}">
                <a16:creationId xmlns:a16="http://schemas.microsoft.com/office/drawing/2014/main" id="{00000000-0008-0000-0900-00001D000000}"/>
              </a:ext>
            </a:extLst>
          </xdr:cNvPr>
          <xdr:cNvGrpSpPr/>
        </xdr:nvGrpSpPr>
        <xdr:grpSpPr>
          <a:xfrm>
            <a:off x="4432300" y="565150"/>
            <a:ext cx="2184400" cy="1600200"/>
            <a:chOff x="4445000" y="285750"/>
            <a:chExt cx="2184400" cy="1600200"/>
          </a:xfrm>
        </xdr:grpSpPr>
        <xdr:sp macro="" textlink="">
          <xdr:nvSpPr>
            <xdr:cNvPr id="3" name="Rectangle 2">
              <a:extLst>
                <a:ext uri="{FF2B5EF4-FFF2-40B4-BE49-F238E27FC236}">
                  <a16:creationId xmlns:a16="http://schemas.microsoft.com/office/drawing/2014/main" id="{00000000-0008-0000-0900-000003000000}"/>
                </a:ext>
              </a:extLst>
            </xdr:cNvPr>
            <xdr:cNvSpPr/>
          </xdr:nvSpPr>
          <xdr:spPr>
            <a:xfrm>
              <a:off x="4445000" y="2857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700" b="1">
                  <a:solidFill>
                    <a:schemeClr val="tx1"/>
                  </a:solidFill>
                  <a:latin typeface="Aptos Narrow" panose="020B0004020202020204" pitchFamily="34" charset="0"/>
                </a:rPr>
                <a:t>A</a:t>
              </a:r>
            </a:p>
          </xdr:txBody>
        </xdr:sp>
        <xdr:sp macro="" textlink="">
          <xdr:nvSpPr>
            <xdr:cNvPr id="6" name="Rectangle 5">
              <a:extLst>
                <a:ext uri="{FF2B5EF4-FFF2-40B4-BE49-F238E27FC236}">
                  <a16:creationId xmlns:a16="http://schemas.microsoft.com/office/drawing/2014/main" id="{00000000-0008-0000-0900-000006000000}"/>
                </a:ext>
              </a:extLst>
            </xdr:cNvPr>
            <xdr:cNvSpPr/>
          </xdr:nvSpPr>
          <xdr:spPr>
            <a:xfrm>
              <a:off x="4991100" y="2857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700" b="1">
                  <a:solidFill>
                    <a:schemeClr val="tx1"/>
                  </a:solidFill>
                  <a:latin typeface="Aptos Narrow" panose="020B0004020202020204" pitchFamily="34" charset="0"/>
                </a:rPr>
                <a:t>B</a:t>
              </a:r>
            </a:p>
          </xdr:txBody>
        </xdr:sp>
        <xdr:sp macro="" textlink="">
          <xdr:nvSpPr>
            <xdr:cNvPr id="7" name="Rectangle 6">
              <a:extLst>
                <a:ext uri="{FF2B5EF4-FFF2-40B4-BE49-F238E27FC236}">
                  <a16:creationId xmlns:a16="http://schemas.microsoft.com/office/drawing/2014/main" id="{00000000-0008-0000-0900-000007000000}"/>
                </a:ext>
              </a:extLst>
            </xdr:cNvPr>
            <xdr:cNvSpPr/>
          </xdr:nvSpPr>
          <xdr:spPr>
            <a:xfrm>
              <a:off x="5537200" y="2857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700" b="1">
                  <a:solidFill>
                    <a:schemeClr val="tx1"/>
                  </a:solidFill>
                  <a:latin typeface="Aptos Narrow" panose="020B0004020202020204" pitchFamily="34" charset="0"/>
                </a:rPr>
                <a:t>C</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a:off x="6076950" y="2857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700" b="1">
                  <a:solidFill>
                    <a:schemeClr val="tx1"/>
                  </a:solidFill>
                  <a:latin typeface="Aptos Narrow" panose="020B0004020202020204" pitchFamily="34" charset="0"/>
                </a:rPr>
                <a:t>D</a:t>
              </a:r>
            </a:p>
          </xdr:txBody>
        </xdr:sp>
        <xdr:cxnSp macro="">
          <xdr:nvCxnSpPr>
            <xdr:cNvPr id="10" name="Straight Arrow Connector 9">
              <a:extLst>
                <a:ext uri="{FF2B5EF4-FFF2-40B4-BE49-F238E27FC236}">
                  <a16:creationId xmlns:a16="http://schemas.microsoft.com/office/drawing/2014/main" id="{00000000-0008-0000-0900-00000A000000}"/>
                </a:ext>
              </a:extLst>
            </xdr:cNvPr>
            <xdr:cNvCxnSpPr/>
          </xdr:nvCxnSpPr>
          <xdr:spPr>
            <a:xfrm rot="21480000" flipH="1">
              <a:off x="4724400" y="539630"/>
              <a:ext cx="13500" cy="692270"/>
            </a:xfrm>
            <a:prstGeom prst="straightConnector1">
              <a:avLst/>
            </a:prstGeom>
            <a:ln>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2">
              <a:extLst>
                <a:ext uri="{FF2B5EF4-FFF2-40B4-BE49-F238E27FC236}">
                  <a16:creationId xmlns:a16="http://schemas.microsoft.com/office/drawing/2014/main" id="{00000000-0008-0000-0900-00000D000000}"/>
                </a:ext>
              </a:extLst>
            </xdr:cNvPr>
            <xdr:cNvCxnSpPr/>
          </xdr:nvCxnSpPr>
          <xdr:spPr>
            <a:xfrm rot="21480000" flipH="1">
              <a:off x="5238749" y="539630"/>
              <a:ext cx="13500" cy="692270"/>
            </a:xfrm>
            <a:prstGeom prst="straightConnector1">
              <a:avLst/>
            </a:prstGeom>
            <a:ln>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Arrow Connector 13">
              <a:extLst>
                <a:ext uri="{FF2B5EF4-FFF2-40B4-BE49-F238E27FC236}">
                  <a16:creationId xmlns:a16="http://schemas.microsoft.com/office/drawing/2014/main" id="{00000000-0008-0000-0900-00000E000000}"/>
                </a:ext>
              </a:extLst>
            </xdr:cNvPr>
            <xdr:cNvCxnSpPr/>
          </xdr:nvCxnSpPr>
          <xdr:spPr>
            <a:xfrm rot="21480000" flipH="1">
              <a:off x="5791200" y="539630"/>
              <a:ext cx="13500" cy="692270"/>
            </a:xfrm>
            <a:prstGeom prst="straightConnector1">
              <a:avLst/>
            </a:prstGeom>
            <a:ln>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900-00000F000000}"/>
                </a:ext>
              </a:extLst>
            </xdr:cNvPr>
            <xdr:cNvCxnSpPr/>
          </xdr:nvCxnSpPr>
          <xdr:spPr>
            <a:xfrm rot="21480000" flipH="1">
              <a:off x="6330949" y="539630"/>
              <a:ext cx="13500" cy="692270"/>
            </a:xfrm>
            <a:prstGeom prst="straightConnector1">
              <a:avLst/>
            </a:prstGeom>
            <a:ln>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15">
              <a:extLst>
                <a:ext uri="{FF2B5EF4-FFF2-40B4-BE49-F238E27FC236}">
                  <a16:creationId xmlns:a16="http://schemas.microsoft.com/office/drawing/2014/main" id="{00000000-0008-0000-0900-000010000000}"/>
                </a:ext>
              </a:extLst>
            </xdr:cNvPr>
            <xdr:cNvSpPr/>
          </xdr:nvSpPr>
          <xdr:spPr>
            <a:xfrm>
              <a:off x="4445000" y="1447800"/>
              <a:ext cx="552450" cy="139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700" b="1">
                  <a:solidFill>
                    <a:schemeClr val="bg1"/>
                  </a:solidFill>
                  <a:latin typeface="Aptos Narrow" panose="020B0004020202020204" pitchFamily="34" charset="0"/>
                </a:rPr>
                <a:t>Date</a:t>
              </a:r>
            </a:p>
          </xdr:txBody>
        </xdr:sp>
        <xdr:sp macro="" textlink="">
          <xdr:nvSpPr>
            <xdr:cNvPr id="17" name="Rectangle 16">
              <a:extLst>
                <a:ext uri="{FF2B5EF4-FFF2-40B4-BE49-F238E27FC236}">
                  <a16:creationId xmlns:a16="http://schemas.microsoft.com/office/drawing/2014/main" id="{00000000-0008-0000-0900-000011000000}"/>
                </a:ext>
              </a:extLst>
            </xdr:cNvPr>
            <xdr:cNvSpPr/>
          </xdr:nvSpPr>
          <xdr:spPr>
            <a:xfrm>
              <a:off x="4991100" y="1447800"/>
              <a:ext cx="552450" cy="139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CA" sz="700" b="1">
                  <a:solidFill>
                    <a:schemeClr val="bg1"/>
                  </a:solidFill>
                  <a:latin typeface="Aptos Narrow" panose="020B0004020202020204" pitchFamily="34" charset="0"/>
                </a:rPr>
                <a:t>Description</a:t>
              </a:r>
            </a:p>
          </xdr:txBody>
        </xdr:sp>
        <xdr:sp macro="" textlink="">
          <xdr:nvSpPr>
            <xdr:cNvPr id="18" name="Rectangle 17">
              <a:extLst>
                <a:ext uri="{FF2B5EF4-FFF2-40B4-BE49-F238E27FC236}">
                  <a16:creationId xmlns:a16="http://schemas.microsoft.com/office/drawing/2014/main" id="{00000000-0008-0000-0900-000012000000}"/>
                </a:ext>
              </a:extLst>
            </xdr:cNvPr>
            <xdr:cNvSpPr/>
          </xdr:nvSpPr>
          <xdr:spPr>
            <a:xfrm>
              <a:off x="5537200" y="1447800"/>
              <a:ext cx="552450" cy="139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CA" sz="700" b="1">
                  <a:solidFill>
                    <a:schemeClr val="bg1"/>
                  </a:solidFill>
                  <a:latin typeface="Aptos Narrow" panose="020B0004020202020204" pitchFamily="34" charset="0"/>
                </a:rPr>
                <a:t>Withdrawal</a:t>
              </a:r>
            </a:p>
          </xdr:txBody>
        </xdr:sp>
        <xdr:sp macro="" textlink="">
          <xdr:nvSpPr>
            <xdr:cNvPr id="19" name="Rectangle 18">
              <a:extLst>
                <a:ext uri="{FF2B5EF4-FFF2-40B4-BE49-F238E27FC236}">
                  <a16:creationId xmlns:a16="http://schemas.microsoft.com/office/drawing/2014/main" id="{00000000-0008-0000-0900-000013000000}"/>
                </a:ext>
              </a:extLst>
            </xdr:cNvPr>
            <xdr:cNvSpPr/>
          </xdr:nvSpPr>
          <xdr:spPr>
            <a:xfrm>
              <a:off x="6076950" y="1447800"/>
              <a:ext cx="552450" cy="139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700" b="1">
                  <a:solidFill>
                    <a:schemeClr val="bg1"/>
                  </a:solidFill>
                  <a:latin typeface="Aptos Narrow" panose="020B0004020202020204" pitchFamily="34" charset="0"/>
                </a:rPr>
                <a:t>Income</a:t>
              </a:r>
            </a:p>
          </xdr:txBody>
        </xdr:sp>
        <xdr:sp macro="" textlink="">
          <xdr:nvSpPr>
            <xdr:cNvPr id="12" name="Rectangle 11">
              <a:extLst>
                <a:ext uri="{FF2B5EF4-FFF2-40B4-BE49-F238E27FC236}">
                  <a16:creationId xmlns:a16="http://schemas.microsoft.com/office/drawing/2014/main" id="{00000000-0008-0000-0900-00000C000000}"/>
                </a:ext>
              </a:extLst>
            </xdr:cNvPr>
            <xdr:cNvSpPr/>
          </xdr:nvSpPr>
          <xdr:spPr>
            <a:xfrm>
              <a:off x="4445000" y="15938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600" b="1">
                  <a:solidFill>
                    <a:schemeClr val="tx1"/>
                  </a:solidFill>
                  <a:latin typeface="Aptos Narrow" panose="020B0004020202020204" pitchFamily="34" charset="0"/>
                </a:rPr>
                <a:t>2025-0-01</a:t>
              </a:r>
            </a:p>
          </xdr:txBody>
        </xdr:sp>
        <xdr:sp macro="" textlink="">
          <xdr:nvSpPr>
            <xdr:cNvPr id="21" name="Rectangle 20">
              <a:extLst>
                <a:ext uri="{FF2B5EF4-FFF2-40B4-BE49-F238E27FC236}">
                  <a16:creationId xmlns:a16="http://schemas.microsoft.com/office/drawing/2014/main" id="{00000000-0008-0000-0900-000015000000}"/>
                </a:ext>
              </a:extLst>
            </xdr:cNvPr>
            <xdr:cNvSpPr/>
          </xdr:nvSpPr>
          <xdr:spPr>
            <a:xfrm>
              <a:off x="4991100" y="15938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CA" sz="700" b="1">
                  <a:solidFill>
                    <a:schemeClr val="tx1"/>
                  </a:solidFill>
                  <a:latin typeface="Aptos Narrow" panose="020B0004020202020204" pitchFamily="34" charset="0"/>
                </a:rPr>
                <a:t>My Salary</a:t>
              </a:r>
            </a:p>
          </xdr:txBody>
        </xdr:sp>
        <xdr:sp macro="" textlink="">
          <xdr:nvSpPr>
            <xdr:cNvPr id="22" name="Rectangle 21">
              <a:extLst>
                <a:ext uri="{FF2B5EF4-FFF2-40B4-BE49-F238E27FC236}">
                  <a16:creationId xmlns:a16="http://schemas.microsoft.com/office/drawing/2014/main" id="{00000000-0008-0000-0900-000016000000}"/>
                </a:ext>
              </a:extLst>
            </xdr:cNvPr>
            <xdr:cNvSpPr/>
          </xdr:nvSpPr>
          <xdr:spPr>
            <a:xfrm>
              <a:off x="5537200" y="15938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endParaRPr lang="en-CA" sz="700" b="1">
                <a:solidFill>
                  <a:schemeClr val="tx1"/>
                </a:solidFill>
                <a:latin typeface="Aptos Narrow" panose="020B0004020202020204" pitchFamily="34" charset="0"/>
              </a:endParaRPr>
            </a:p>
          </xdr:txBody>
        </xdr:sp>
        <xdr:sp macro="" textlink="">
          <xdr:nvSpPr>
            <xdr:cNvPr id="23" name="Rectangle 22">
              <a:extLst>
                <a:ext uri="{FF2B5EF4-FFF2-40B4-BE49-F238E27FC236}">
                  <a16:creationId xmlns:a16="http://schemas.microsoft.com/office/drawing/2014/main" id="{00000000-0008-0000-0900-000017000000}"/>
                </a:ext>
              </a:extLst>
            </xdr:cNvPr>
            <xdr:cNvSpPr/>
          </xdr:nvSpPr>
          <xdr:spPr>
            <a:xfrm>
              <a:off x="6076950" y="15938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700" b="1">
                  <a:solidFill>
                    <a:schemeClr val="tx1"/>
                  </a:solidFill>
                  <a:latin typeface="Aptos Narrow" panose="020B0004020202020204" pitchFamily="34" charset="0"/>
                </a:rPr>
                <a:t>2000</a:t>
              </a:r>
            </a:p>
          </xdr:txBody>
        </xdr:sp>
        <xdr:sp macro="" textlink="">
          <xdr:nvSpPr>
            <xdr:cNvPr id="24" name="Rectangle 23">
              <a:extLst>
                <a:ext uri="{FF2B5EF4-FFF2-40B4-BE49-F238E27FC236}">
                  <a16:creationId xmlns:a16="http://schemas.microsoft.com/office/drawing/2014/main" id="{00000000-0008-0000-0900-000018000000}"/>
                </a:ext>
              </a:extLst>
            </xdr:cNvPr>
            <xdr:cNvSpPr/>
          </xdr:nvSpPr>
          <xdr:spPr>
            <a:xfrm>
              <a:off x="4445000" y="17462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600" b="1">
                  <a:solidFill>
                    <a:schemeClr val="tx1"/>
                  </a:solidFill>
                  <a:latin typeface="Aptos Narrow" panose="020B0004020202020204" pitchFamily="34" charset="0"/>
                </a:rPr>
                <a:t>2025-01-02</a:t>
              </a:r>
            </a:p>
          </xdr:txBody>
        </xdr:sp>
        <xdr:sp macro="" textlink="">
          <xdr:nvSpPr>
            <xdr:cNvPr id="25" name="Rectangle 24">
              <a:extLst>
                <a:ext uri="{FF2B5EF4-FFF2-40B4-BE49-F238E27FC236}">
                  <a16:creationId xmlns:a16="http://schemas.microsoft.com/office/drawing/2014/main" id="{00000000-0008-0000-0900-000019000000}"/>
                </a:ext>
              </a:extLst>
            </xdr:cNvPr>
            <xdr:cNvSpPr/>
          </xdr:nvSpPr>
          <xdr:spPr>
            <a:xfrm>
              <a:off x="4991100" y="17462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CA" sz="700" b="1">
                  <a:solidFill>
                    <a:schemeClr val="tx1"/>
                  </a:solidFill>
                  <a:latin typeface="Aptos Narrow" panose="020B0004020202020204" pitchFamily="34" charset="0"/>
                </a:rPr>
                <a:t>My Rent</a:t>
              </a:r>
            </a:p>
          </xdr:txBody>
        </xdr:sp>
        <xdr:sp macro="" textlink="">
          <xdr:nvSpPr>
            <xdr:cNvPr id="26" name="Rectangle 25">
              <a:extLst>
                <a:ext uri="{FF2B5EF4-FFF2-40B4-BE49-F238E27FC236}">
                  <a16:creationId xmlns:a16="http://schemas.microsoft.com/office/drawing/2014/main" id="{00000000-0008-0000-0900-00001A000000}"/>
                </a:ext>
              </a:extLst>
            </xdr:cNvPr>
            <xdr:cNvSpPr/>
          </xdr:nvSpPr>
          <xdr:spPr>
            <a:xfrm>
              <a:off x="5537200" y="17462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CA" sz="700" b="1">
                  <a:solidFill>
                    <a:schemeClr val="tx1"/>
                  </a:solidFill>
                  <a:latin typeface="Aptos Narrow" panose="020B0004020202020204" pitchFamily="34" charset="0"/>
                </a:rPr>
                <a:t>500</a:t>
              </a:r>
            </a:p>
          </xdr:txBody>
        </xdr:sp>
        <xdr:sp macro="" textlink="">
          <xdr:nvSpPr>
            <xdr:cNvPr id="27" name="Rectangle 26">
              <a:extLst>
                <a:ext uri="{FF2B5EF4-FFF2-40B4-BE49-F238E27FC236}">
                  <a16:creationId xmlns:a16="http://schemas.microsoft.com/office/drawing/2014/main" id="{00000000-0008-0000-0900-00001B000000}"/>
                </a:ext>
              </a:extLst>
            </xdr:cNvPr>
            <xdr:cNvSpPr/>
          </xdr:nvSpPr>
          <xdr:spPr>
            <a:xfrm>
              <a:off x="6076950" y="1746250"/>
              <a:ext cx="552450" cy="1397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700" b="1">
                <a:solidFill>
                  <a:schemeClr val="tx1"/>
                </a:solidFill>
                <a:latin typeface="Aptos Narrow" panose="020B0004020202020204" pitchFamily="34" charset="0"/>
              </a:endParaRPr>
            </a:p>
          </xdr:txBody>
        </xdr:sp>
      </xdr:grpSp>
      <xdr:sp macro="" textlink="">
        <xdr:nvSpPr>
          <xdr:cNvPr id="30" name="Rectangle 29">
            <a:extLst>
              <a:ext uri="{FF2B5EF4-FFF2-40B4-BE49-F238E27FC236}">
                <a16:creationId xmlns:a16="http://schemas.microsoft.com/office/drawing/2014/main" id="{00000000-0008-0000-0900-00001E000000}"/>
              </a:ext>
            </a:extLst>
          </xdr:cNvPr>
          <xdr:cNvSpPr/>
        </xdr:nvSpPr>
        <xdr:spPr>
          <a:xfrm>
            <a:off x="4838700" y="190500"/>
            <a:ext cx="1384300" cy="241300"/>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AUTOMATE1</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47</xdr:row>
      <xdr:rowOff>95250</xdr:rowOff>
    </xdr:from>
    <xdr:to>
      <xdr:col>17</xdr:col>
      <xdr:colOff>107950</xdr:colOff>
      <xdr:row>62</xdr:row>
      <xdr:rowOff>48559</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0" y="6959600"/>
          <a:ext cx="12706350" cy="2144059"/>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a:t>
          </a:r>
          <a:r>
            <a:rPr lang="fr-CA" sz="1600" kern="1200" baseline="0"/>
            <a:t> BUDGET QUARTER</a:t>
          </a:r>
          <a:endParaRPr lang="fr-CA" sz="1600" kern="1200"/>
        </a:p>
      </xdr:txBody>
    </xdr:sp>
    <xdr:clientData/>
  </xdr:twoCellAnchor>
  <xdr:twoCellAnchor>
    <xdr:from>
      <xdr:col>18</xdr:col>
      <xdr:colOff>234950</xdr:colOff>
      <xdr:row>4</xdr:row>
      <xdr:rowOff>139701</xdr:rowOff>
    </xdr:from>
    <xdr:to>
      <xdr:col>21</xdr:col>
      <xdr:colOff>209549</xdr:colOff>
      <xdr:row>16</xdr:row>
      <xdr:rowOff>76201</xdr:rowOff>
    </xdr:to>
    <xdr:sp macro="" textlink="">
      <xdr:nvSpPr>
        <xdr:cNvPr id="3" name="Rectangle 2">
          <a:extLst>
            <a:ext uri="{FF2B5EF4-FFF2-40B4-BE49-F238E27FC236}">
              <a16:creationId xmlns:a16="http://schemas.microsoft.com/office/drawing/2014/main" id="{00000000-0008-0000-0C00-000003000000}"/>
            </a:ext>
          </a:extLst>
        </xdr:cNvPr>
        <xdr:cNvSpPr/>
      </xdr:nvSpPr>
      <xdr:spPr>
        <a:xfrm>
          <a:off x="13658850" y="723901"/>
          <a:ext cx="2184399" cy="16891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 RÉPARTITION ANNUELLE CAT 2</a:t>
          </a:r>
        </a:p>
      </xdr:txBody>
    </xdr:sp>
    <xdr:clientData/>
  </xdr:twoCellAnchor>
  <xdr:twoCellAnchor>
    <xdr:from>
      <xdr:col>24</xdr:col>
      <xdr:colOff>349250</xdr:colOff>
      <xdr:row>6</xdr:row>
      <xdr:rowOff>44450</xdr:rowOff>
    </xdr:from>
    <xdr:to>
      <xdr:col>30</xdr:col>
      <xdr:colOff>44450</xdr:colOff>
      <xdr:row>23</xdr:row>
      <xdr:rowOff>57150</xdr:rowOff>
    </xdr:to>
    <xdr:sp macro="" textlink="">
      <xdr:nvSpPr>
        <xdr:cNvPr id="4" name="Rectangle 3">
          <a:extLst>
            <a:ext uri="{FF2B5EF4-FFF2-40B4-BE49-F238E27FC236}">
              <a16:creationId xmlns:a16="http://schemas.microsoft.com/office/drawing/2014/main" id="{00000000-0008-0000-0C00-000004000000}"/>
            </a:ext>
          </a:extLst>
        </xdr:cNvPr>
        <xdr:cNvSpPr/>
      </xdr:nvSpPr>
      <xdr:spPr>
        <a:xfrm>
          <a:off x="18243550" y="920750"/>
          <a:ext cx="5715000" cy="249555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 CASH FLOW B1</a:t>
          </a:r>
        </a:p>
      </xdr:txBody>
    </xdr:sp>
    <xdr:clientData/>
  </xdr:twoCellAnchor>
  <xdr:twoCellAnchor>
    <xdr:from>
      <xdr:col>30</xdr:col>
      <xdr:colOff>1123950</xdr:colOff>
      <xdr:row>1</xdr:row>
      <xdr:rowOff>120650</xdr:rowOff>
    </xdr:from>
    <xdr:to>
      <xdr:col>39</xdr:col>
      <xdr:colOff>101599</xdr:colOff>
      <xdr:row>20</xdr:row>
      <xdr:rowOff>95250</xdr:rowOff>
    </xdr:to>
    <xdr:sp macro="" textlink="">
      <xdr:nvSpPr>
        <xdr:cNvPr id="5" name="Rectangle 4">
          <a:extLst>
            <a:ext uri="{FF2B5EF4-FFF2-40B4-BE49-F238E27FC236}">
              <a16:creationId xmlns:a16="http://schemas.microsoft.com/office/drawing/2014/main" id="{00000000-0008-0000-0C00-000005000000}"/>
            </a:ext>
          </a:extLst>
        </xdr:cNvPr>
        <xdr:cNvSpPr/>
      </xdr:nvSpPr>
      <xdr:spPr>
        <a:xfrm>
          <a:off x="25012650" y="266700"/>
          <a:ext cx="6515099" cy="274955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 CAT3</a:t>
          </a:r>
          <a:r>
            <a:rPr lang="fr-CA" sz="1600" kern="1200" baseline="0"/>
            <a:t> B1</a:t>
          </a:r>
          <a:endParaRPr lang="fr-CA" sz="1600" kern="1200"/>
        </a:p>
      </xdr:txBody>
    </xdr:sp>
    <xdr:clientData/>
  </xdr:twoCellAnchor>
  <xdr:twoCellAnchor>
    <xdr:from>
      <xdr:col>31</xdr:col>
      <xdr:colOff>25401</xdr:colOff>
      <xdr:row>42</xdr:row>
      <xdr:rowOff>139700</xdr:rowOff>
    </xdr:from>
    <xdr:to>
      <xdr:col>36</xdr:col>
      <xdr:colOff>38101</xdr:colOff>
      <xdr:row>55</xdr:row>
      <xdr:rowOff>133350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25285701" y="6273800"/>
          <a:ext cx="3841750" cy="18923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 CAT2 B1</a:t>
          </a:r>
        </a:p>
      </xdr:txBody>
    </xdr:sp>
    <xdr:clientData/>
  </xdr:twoCellAnchor>
  <xdr:twoCellAnchor>
    <xdr:from>
      <xdr:col>40</xdr:col>
      <xdr:colOff>565150</xdr:colOff>
      <xdr:row>0</xdr:row>
      <xdr:rowOff>0</xdr:rowOff>
    </xdr:from>
    <xdr:to>
      <xdr:col>57</xdr:col>
      <xdr:colOff>349250</xdr:colOff>
      <xdr:row>13</xdr:row>
      <xdr:rowOff>127000</xdr:rowOff>
    </xdr:to>
    <xdr:sp macro="" textlink="">
      <xdr:nvSpPr>
        <xdr:cNvPr id="8" name="Rectangle 7">
          <a:extLst>
            <a:ext uri="{FF2B5EF4-FFF2-40B4-BE49-F238E27FC236}">
              <a16:creationId xmlns:a16="http://schemas.microsoft.com/office/drawing/2014/main" id="{00000000-0008-0000-0C00-000008000000}"/>
            </a:ext>
          </a:extLst>
        </xdr:cNvPr>
        <xdr:cNvSpPr/>
      </xdr:nvSpPr>
      <xdr:spPr>
        <a:xfrm>
          <a:off x="32048450" y="0"/>
          <a:ext cx="10737850" cy="202565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a:t>
          </a:r>
          <a:r>
            <a:rPr lang="fr-CA" sz="1600" kern="1200" baseline="0"/>
            <a:t> DÉPENSE B1</a:t>
          </a:r>
          <a:endParaRPr lang="fr-CA" sz="1600" kern="12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412750</xdr:colOff>
      <xdr:row>24</xdr:row>
      <xdr:rowOff>114300</xdr:rowOff>
    </xdr:to>
    <xdr:sp macro="" textlink="">
      <xdr:nvSpPr>
        <xdr:cNvPr id="8" name="Rectangle 7">
          <a:extLst>
            <a:ext uri="{FF2B5EF4-FFF2-40B4-BE49-F238E27FC236}">
              <a16:creationId xmlns:a16="http://schemas.microsoft.com/office/drawing/2014/main" id="{00000000-0008-0000-0D00-000008000000}"/>
            </a:ext>
          </a:extLst>
        </xdr:cNvPr>
        <xdr:cNvSpPr/>
      </xdr:nvSpPr>
      <xdr:spPr>
        <a:xfrm>
          <a:off x="0" y="0"/>
          <a:ext cx="15119350" cy="36576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TRIAGE DATA QUARTER</a:t>
          </a:r>
        </a:p>
      </xdr:txBody>
    </xdr:sp>
    <xdr:clientData/>
  </xdr:twoCellAnchor>
  <xdr:twoCellAnchor>
    <xdr:from>
      <xdr:col>25</xdr:col>
      <xdr:colOff>406400</xdr:colOff>
      <xdr:row>0</xdr:row>
      <xdr:rowOff>0</xdr:rowOff>
    </xdr:from>
    <xdr:to>
      <xdr:col>69</xdr:col>
      <xdr:colOff>95250</xdr:colOff>
      <xdr:row>176</xdr:row>
      <xdr:rowOff>76200</xdr:rowOff>
    </xdr:to>
    <xdr:sp macro="" textlink="">
      <xdr:nvSpPr>
        <xdr:cNvPr id="9" name="Rectangle 8">
          <a:extLst>
            <a:ext uri="{FF2B5EF4-FFF2-40B4-BE49-F238E27FC236}">
              <a16:creationId xmlns:a16="http://schemas.microsoft.com/office/drawing/2014/main" id="{00000000-0008-0000-0D00-000009000000}"/>
            </a:ext>
          </a:extLst>
        </xdr:cNvPr>
        <xdr:cNvSpPr/>
      </xdr:nvSpPr>
      <xdr:spPr>
        <a:xfrm>
          <a:off x="15030450" y="0"/>
          <a:ext cx="27457400" cy="258572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600" kern="1200"/>
            <a:t>GRAPH BUDGET</a:t>
          </a:r>
        </a:p>
        <a:p>
          <a:pPr algn="ctr"/>
          <a:endParaRPr lang="fr-CA" sz="1600" kern="1200"/>
        </a:p>
        <a:p>
          <a:pPr algn="ctr"/>
          <a:endParaRPr lang="fr-CA" sz="1600" kern="1200"/>
        </a:p>
        <a:p>
          <a:pPr algn="ctr"/>
          <a:r>
            <a:rPr lang="fr-CA" sz="1600" kern="1200"/>
            <a:t>KPI</a:t>
          </a:r>
        </a:p>
      </xdr:txBody>
    </xdr:sp>
    <xdr:clientData/>
  </xdr:twoCellAnchor>
  <xdr:twoCellAnchor>
    <xdr:from>
      <xdr:col>88</xdr:col>
      <xdr:colOff>95250</xdr:colOff>
      <xdr:row>1</xdr:row>
      <xdr:rowOff>69850</xdr:rowOff>
    </xdr:from>
    <xdr:to>
      <xdr:col>98</xdr:col>
      <xdr:colOff>215900</xdr:colOff>
      <xdr:row>21</xdr:row>
      <xdr:rowOff>88900</xdr:rowOff>
    </xdr:to>
    <xdr:sp macro="" textlink="">
      <xdr:nvSpPr>
        <xdr:cNvPr id="10" name="Rectangle 9">
          <a:extLst>
            <a:ext uri="{FF2B5EF4-FFF2-40B4-BE49-F238E27FC236}">
              <a16:creationId xmlns:a16="http://schemas.microsoft.com/office/drawing/2014/main" id="{00000000-0008-0000-0D00-00000A000000}"/>
            </a:ext>
          </a:extLst>
        </xdr:cNvPr>
        <xdr:cNvSpPr/>
      </xdr:nvSpPr>
      <xdr:spPr>
        <a:xfrm>
          <a:off x="53105050" y="215900"/>
          <a:ext cx="5708650" cy="297815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TRI BUDGET ANNUEL</a:t>
          </a:r>
        </a:p>
      </xdr:txBody>
    </xdr:sp>
    <xdr:clientData/>
  </xdr:twoCellAnchor>
  <xdr:twoCellAnchor>
    <xdr:from>
      <xdr:col>100</xdr:col>
      <xdr:colOff>355600</xdr:colOff>
      <xdr:row>0</xdr:row>
      <xdr:rowOff>0</xdr:rowOff>
    </xdr:from>
    <xdr:to>
      <xdr:col>106</xdr:col>
      <xdr:colOff>38100</xdr:colOff>
      <xdr:row>64</xdr:row>
      <xdr:rowOff>38100</xdr:rowOff>
    </xdr:to>
    <xdr:sp macro="" textlink="">
      <xdr:nvSpPr>
        <xdr:cNvPr id="11" name="Rectangle 10">
          <a:extLst>
            <a:ext uri="{FF2B5EF4-FFF2-40B4-BE49-F238E27FC236}">
              <a16:creationId xmlns:a16="http://schemas.microsoft.com/office/drawing/2014/main" id="{00000000-0008-0000-0D00-00000B000000}"/>
            </a:ext>
          </a:extLst>
        </xdr:cNvPr>
        <xdr:cNvSpPr/>
      </xdr:nvSpPr>
      <xdr:spPr>
        <a:xfrm>
          <a:off x="60191650" y="0"/>
          <a:ext cx="3302000" cy="94615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600" kern="1200"/>
            <a:t>GESTION KPI ANNUELLE</a:t>
          </a:r>
        </a:p>
      </xdr:txBody>
    </xdr:sp>
    <xdr:clientData/>
  </xdr:twoCellAnchor>
  <xdr:twoCellAnchor>
    <xdr:from>
      <xdr:col>114</xdr:col>
      <xdr:colOff>539750</xdr:colOff>
      <xdr:row>0</xdr:row>
      <xdr:rowOff>0</xdr:rowOff>
    </xdr:from>
    <xdr:to>
      <xdr:col>136</xdr:col>
      <xdr:colOff>139700</xdr:colOff>
      <xdr:row>38</xdr:row>
      <xdr:rowOff>31750</xdr:rowOff>
    </xdr:to>
    <xdr:sp macro="" textlink="">
      <xdr:nvSpPr>
        <xdr:cNvPr id="12" name="Rectangle 11">
          <a:extLst>
            <a:ext uri="{FF2B5EF4-FFF2-40B4-BE49-F238E27FC236}">
              <a16:creationId xmlns:a16="http://schemas.microsoft.com/office/drawing/2014/main" id="{00000000-0008-0000-0D00-00000C000000}"/>
            </a:ext>
          </a:extLst>
        </xdr:cNvPr>
        <xdr:cNvSpPr/>
      </xdr:nvSpPr>
      <xdr:spPr>
        <a:xfrm>
          <a:off x="68383150" y="0"/>
          <a:ext cx="13277850" cy="563245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 PAPILLON</a:t>
          </a:r>
        </a:p>
      </xdr:txBody>
    </xdr:sp>
    <xdr:clientData/>
  </xdr:twoCellAnchor>
  <xdr:twoCellAnchor>
    <xdr:from>
      <xdr:col>140</xdr:col>
      <xdr:colOff>469900</xdr:colOff>
      <xdr:row>0</xdr:row>
      <xdr:rowOff>0</xdr:rowOff>
    </xdr:from>
    <xdr:to>
      <xdr:col>151</xdr:col>
      <xdr:colOff>260350</xdr:colOff>
      <xdr:row>31</xdr:row>
      <xdr:rowOff>50800</xdr:rowOff>
    </xdr:to>
    <xdr:sp macro="" textlink="">
      <xdr:nvSpPr>
        <xdr:cNvPr id="13" name="Rectangle 12">
          <a:extLst>
            <a:ext uri="{FF2B5EF4-FFF2-40B4-BE49-F238E27FC236}">
              <a16:creationId xmlns:a16="http://schemas.microsoft.com/office/drawing/2014/main" id="{00000000-0008-0000-0D00-00000D000000}"/>
            </a:ext>
          </a:extLst>
        </xdr:cNvPr>
        <xdr:cNvSpPr/>
      </xdr:nvSpPr>
      <xdr:spPr>
        <a:xfrm>
          <a:off x="84308950" y="0"/>
          <a:ext cx="6972300" cy="462915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 CAT3</a:t>
          </a:r>
        </a:p>
      </xdr:txBody>
    </xdr:sp>
    <xdr:clientData/>
  </xdr:twoCellAnchor>
  <xdr:twoCellAnchor>
    <xdr:from>
      <xdr:col>160</xdr:col>
      <xdr:colOff>304800</xdr:colOff>
      <xdr:row>0</xdr:row>
      <xdr:rowOff>0</xdr:rowOff>
    </xdr:from>
    <xdr:to>
      <xdr:col>173</xdr:col>
      <xdr:colOff>298450</xdr:colOff>
      <xdr:row>20</xdr:row>
      <xdr:rowOff>31750</xdr:rowOff>
    </xdr:to>
    <xdr:sp macro="" textlink="">
      <xdr:nvSpPr>
        <xdr:cNvPr id="14" name="Rectangle 13">
          <a:extLst>
            <a:ext uri="{FF2B5EF4-FFF2-40B4-BE49-F238E27FC236}">
              <a16:creationId xmlns:a16="http://schemas.microsoft.com/office/drawing/2014/main" id="{00000000-0008-0000-0D00-00000E000000}"/>
            </a:ext>
          </a:extLst>
        </xdr:cNvPr>
        <xdr:cNvSpPr/>
      </xdr:nvSpPr>
      <xdr:spPr>
        <a:xfrm>
          <a:off x="96354900" y="0"/>
          <a:ext cx="7791450" cy="299085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RÉPARTITION CAT 2</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48</xdr:row>
      <xdr:rowOff>44450</xdr:rowOff>
    </xdr:from>
    <xdr:to>
      <xdr:col>17</xdr:col>
      <xdr:colOff>82550</xdr:colOff>
      <xdr:row>62</xdr:row>
      <xdr:rowOff>143809</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0" y="7054850"/>
          <a:ext cx="11258550" cy="2144059"/>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a:t>
          </a:r>
          <a:r>
            <a:rPr lang="fr-CA" sz="1600" kern="1200" baseline="0"/>
            <a:t> BUDGET QUARTER B2</a:t>
          </a:r>
          <a:endParaRPr lang="fr-CA" sz="1600" kern="1200"/>
        </a:p>
      </xdr:txBody>
    </xdr:sp>
    <xdr:clientData/>
  </xdr:twoCellAnchor>
  <xdr:twoCellAnchor>
    <xdr:from>
      <xdr:col>18</xdr:col>
      <xdr:colOff>387351</xdr:colOff>
      <xdr:row>4</xdr:row>
      <xdr:rowOff>76201</xdr:rowOff>
    </xdr:from>
    <xdr:to>
      <xdr:col>21</xdr:col>
      <xdr:colOff>444501</xdr:colOff>
      <xdr:row>16</xdr:row>
      <xdr:rowOff>12701</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12280901" y="660401"/>
          <a:ext cx="2089150" cy="168910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 RÉPARTITION ANNUELLE CAT 2</a:t>
          </a:r>
        </a:p>
      </xdr:txBody>
    </xdr:sp>
    <xdr:clientData/>
  </xdr:twoCellAnchor>
  <xdr:twoCellAnchor>
    <xdr:from>
      <xdr:col>24</xdr:col>
      <xdr:colOff>406400</xdr:colOff>
      <xdr:row>6</xdr:row>
      <xdr:rowOff>139700</xdr:rowOff>
    </xdr:from>
    <xdr:to>
      <xdr:col>30</xdr:col>
      <xdr:colOff>234950</xdr:colOff>
      <xdr:row>23</xdr:row>
      <xdr:rowOff>69849</xdr:rowOff>
    </xdr:to>
    <xdr:sp macro="" textlink="">
      <xdr:nvSpPr>
        <xdr:cNvPr id="4" name="Rectangle 3">
          <a:extLst>
            <a:ext uri="{FF2B5EF4-FFF2-40B4-BE49-F238E27FC236}">
              <a16:creationId xmlns:a16="http://schemas.microsoft.com/office/drawing/2014/main" id="{00000000-0008-0000-1000-000004000000}"/>
            </a:ext>
          </a:extLst>
        </xdr:cNvPr>
        <xdr:cNvSpPr/>
      </xdr:nvSpPr>
      <xdr:spPr>
        <a:xfrm>
          <a:off x="16967200" y="1016000"/>
          <a:ext cx="5975350" cy="2412999"/>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 CASH FLOW B2</a:t>
          </a:r>
        </a:p>
      </xdr:txBody>
    </xdr:sp>
    <xdr:clientData/>
  </xdr:twoCellAnchor>
  <xdr:twoCellAnchor>
    <xdr:from>
      <xdr:col>30</xdr:col>
      <xdr:colOff>469900</xdr:colOff>
      <xdr:row>2</xdr:row>
      <xdr:rowOff>25400</xdr:rowOff>
    </xdr:from>
    <xdr:to>
      <xdr:col>39</xdr:col>
      <xdr:colOff>247649</xdr:colOff>
      <xdr:row>21</xdr:row>
      <xdr:rowOff>0</xdr:rowOff>
    </xdr:to>
    <xdr:sp macro="" textlink="">
      <xdr:nvSpPr>
        <xdr:cNvPr id="5" name="Rectangle 4">
          <a:extLst>
            <a:ext uri="{FF2B5EF4-FFF2-40B4-BE49-F238E27FC236}">
              <a16:creationId xmlns:a16="http://schemas.microsoft.com/office/drawing/2014/main" id="{00000000-0008-0000-1000-000005000000}"/>
            </a:ext>
          </a:extLst>
        </xdr:cNvPr>
        <xdr:cNvSpPr/>
      </xdr:nvSpPr>
      <xdr:spPr>
        <a:xfrm>
          <a:off x="23152100" y="317500"/>
          <a:ext cx="7404099" cy="274955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 CAT3</a:t>
          </a:r>
          <a:r>
            <a:rPr lang="fr-CA" sz="1600" kern="1200" baseline="0"/>
            <a:t> B2</a:t>
          </a:r>
          <a:endParaRPr lang="fr-CA" sz="1600" kern="1200"/>
        </a:p>
      </xdr:txBody>
    </xdr:sp>
    <xdr:clientData/>
  </xdr:twoCellAnchor>
  <xdr:twoCellAnchor>
    <xdr:from>
      <xdr:col>29</xdr:col>
      <xdr:colOff>882651</xdr:colOff>
      <xdr:row>27</xdr:row>
      <xdr:rowOff>25400</xdr:rowOff>
    </xdr:from>
    <xdr:to>
      <xdr:col>35</xdr:col>
      <xdr:colOff>679451</xdr:colOff>
      <xdr:row>40</xdr:row>
      <xdr:rowOff>19050</xdr:rowOff>
    </xdr:to>
    <xdr:sp macro="" textlink="">
      <xdr:nvSpPr>
        <xdr:cNvPr id="6" name="Rectangle 5">
          <a:extLst>
            <a:ext uri="{FF2B5EF4-FFF2-40B4-BE49-F238E27FC236}">
              <a16:creationId xmlns:a16="http://schemas.microsoft.com/office/drawing/2014/main" id="{00000000-0008-0000-1000-000006000000}"/>
            </a:ext>
          </a:extLst>
        </xdr:cNvPr>
        <xdr:cNvSpPr/>
      </xdr:nvSpPr>
      <xdr:spPr>
        <a:xfrm>
          <a:off x="22879051" y="3968750"/>
          <a:ext cx="5441950" cy="189230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 CAT2 B2</a:t>
          </a:r>
        </a:p>
      </xdr:txBody>
    </xdr:sp>
    <xdr:clientData/>
  </xdr:twoCellAnchor>
  <xdr:twoCellAnchor>
    <xdr:from>
      <xdr:col>41</xdr:col>
      <xdr:colOff>355600</xdr:colOff>
      <xdr:row>0</xdr:row>
      <xdr:rowOff>0</xdr:rowOff>
    </xdr:from>
    <xdr:to>
      <xdr:col>57</xdr:col>
      <xdr:colOff>228600</xdr:colOff>
      <xdr:row>19</xdr:row>
      <xdr:rowOff>12700</xdr:rowOff>
    </xdr:to>
    <xdr:sp macro="" textlink="">
      <xdr:nvSpPr>
        <xdr:cNvPr id="7" name="Rectangle 6">
          <a:extLst>
            <a:ext uri="{FF2B5EF4-FFF2-40B4-BE49-F238E27FC236}">
              <a16:creationId xmlns:a16="http://schemas.microsoft.com/office/drawing/2014/main" id="{00000000-0008-0000-1000-000007000000}"/>
            </a:ext>
          </a:extLst>
        </xdr:cNvPr>
        <xdr:cNvSpPr/>
      </xdr:nvSpPr>
      <xdr:spPr>
        <a:xfrm>
          <a:off x="31781750" y="0"/>
          <a:ext cx="9715500" cy="278765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TABLEAU</a:t>
          </a:r>
          <a:r>
            <a:rPr lang="fr-CA" sz="1600" kern="1200" baseline="0"/>
            <a:t> DÉPENSE B2</a:t>
          </a:r>
          <a:endParaRPr lang="fr-CA" sz="1600" kern="12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66</xdr:col>
          <xdr:colOff>508000</xdr:colOff>
          <xdr:row>0</xdr:row>
          <xdr:rowOff>133350</xdr:rowOff>
        </xdr:from>
        <xdr:to>
          <xdr:col>69</xdr:col>
          <xdr:colOff>12700</xdr:colOff>
          <xdr:row>9</xdr:row>
          <xdr:rowOff>50800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40944800" y="133350"/>
              <a:ext cx="1181100" cy="1238250"/>
              <a:chOff x="36760150" y="133350"/>
              <a:chExt cx="1181159" cy="1231900"/>
            </a:xfrm>
          </xdr:grpSpPr>
          <xdr:sp macro="" textlink="">
            <xdr:nvSpPr>
              <xdr:cNvPr id="21505" name="Option Button 1" hidden="1">
                <a:extLst>
                  <a:ext uri="{63B3BB69-23CF-44E3-9099-C40C66FF867C}">
                    <a14:compatExt spid="_x0000_s21505"/>
                  </a:ext>
                  <a:ext uri="{FF2B5EF4-FFF2-40B4-BE49-F238E27FC236}">
                    <a16:creationId xmlns:a16="http://schemas.microsoft.com/office/drawing/2014/main" id="{00000000-0008-0000-1100-000001540000}"/>
                  </a:ext>
                </a:extLst>
              </xdr:cNvPr>
              <xdr:cNvSpPr/>
            </xdr:nvSpPr>
            <xdr:spPr bwMode="auto">
              <a:xfrm>
                <a:off x="36766500" y="133350"/>
                <a:ext cx="11366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Q1</a:t>
                </a:r>
              </a:p>
            </xdr:txBody>
          </xdr:sp>
          <xdr:sp macro="" textlink="">
            <xdr:nvSpPr>
              <xdr:cNvPr id="21506" name="Option Button 2" hidden="1">
                <a:extLst>
                  <a:ext uri="{63B3BB69-23CF-44E3-9099-C40C66FF867C}">
                    <a14:compatExt spid="_x0000_s21506"/>
                  </a:ext>
                  <a:ext uri="{FF2B5EF4-FFF2-40B4-BE49-F238E27FC236}">
                    <a16:creationId xmlns:a16="http://schemas.microsoft.com/office/drawing/2014/main" id="{00000000-0008-0000-1100-000002540000}"/>
                  </a:ext>
                </a:extLst>
              </xdr:cNvPr>
              <xdr:cNvSpPr/>
            </xdr:nvSpPr>
            <xdr:spPr bwMode="auto">
              <a:xfrm>
                <a:off x="36760150" y="381000"/>
                <a:ext cx="116840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Q2</a:t>
                </a:r>
              </a:p>
            </xdr:txBody>
          </xdr:sp>
          <xdr:sp macro="" textlink="">
            <xdr:nvSpPr>
              <xdr:cNvPr id="21507" name="Option Button 3" hidden="1">
                <a:extLst>
                  <a:ext uri="{63B3BB69-23CF-44E3-9099-C40C66FF867C}">
                    <a14:compatExt spid="_x0000_s21507"/>
                  </a:ext>
                  <a:ext uri="{FF2B5EF4-FFF2-40B4-BE49-F238E27FC236}">
                    <a16:creationId xmlns:a16="http://schemas.microsoft.com/office/drawing/2014/main" id="{00000000-0008-0000-1100-000003540000}"/>
                  </a:ext>
                </a:extLst>
              </xdr:cNvPr>
              <xdr:cNvSpPr/>
            </xdr:nvSpPr>
            <xdr:spPr bwMode="auto">
              <a:xfrm>
                <a:off x="36760150" y="641350"/>
                <a:ext cx="1168400" cy="234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Q3</a:t>
                </a:r>
              </a:p>
            </xdr:txBody>
          </xdr:sp>
          <xdr:sp macro="" textlink="">
            <xdr:nvSpPr>
              <xdr:cNvPr id="21508" name="Option Button 4" hidden="1">
                <a:extLst>
                  <a:ext uri="{63B3BB69-23CF-44E3-9099-C40C66FF867C}">
                    <a14:compatExt spid="_x0000_s21508"/>
                  </a:ext>
                  <a:ext uri="{FF2B5EF4-FFF2-40B4-BE49-F238E27FC236}">
                    <a16:creationId xmlns:a16="http://schemas.microsoft.com/office/drawing/2014/main" id="{00000000-0008-0000-1100-000004540000}"/>
                  </a:ext>
                </a:extLst>
              </xdr:cNvPr>
              <xdr:cNvSpPr/>
            </xdr:nvSpPr>
            <xdr:spPr bwMode="auto">
              <a:xfrm>
                <a:off x="36766500" y="908050"/>
                <a:ext cx="11620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Q4</a:t>
                </a:r>
              </a:p>
            </xdr:txBody>
          </xdr:sp>
          <xdr:sp macro="" textlink="">
            <xdr:nvSpPr>
              <xdr:cNvPr id="21509" name="Option Button 5" hidden="1">
                <a:extLst>
                  <a:ext uri="{63B3BB69-23CF-44E3-9099-C40C66FF867C}">
                    <a14:compatExt spid="_x0000_s21509"/>
                  </a:ext>
                  <a:ext uri="{FF2B5EF4-FFF2-40B4-BE49-F238E27FC236}">
                    <a16:creationId xmlns:a16="http://schemas.microsoft.com/office/drawing/2014/main" id="{00000000-0008-0000-1100-000005540000}"/>
                  </a:ext>
                </a:extLst>
              </xdr:cNvPr>
              <xdr:cNvSpPr/>
            </xdr:nvSpPr>
            <xdr:spPr bwMode="auto">
              <a:xfrm>
                <a:off x="36779151" y="1136650"/>
                <a:ext cx="1162158"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Q5</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129</xdr:col>
          <xdr:colOff>488950</xdr:colOff>
          <xdr:row>18</xdr:row>
          <xdr:rowOff>107950</xdr:rowOff>
        </xdr:from>
        <xdr:to>
          <xdr:col>131</xdr:col>
          <xdr:colOff>469900</xdr:colOff>
          <xdr:row>20</xdr:row>
          <xdr:rowOff>6350</xdr:rowOff>
        </xdr:to>
        <xdr:sp macro="" textlink="">
          <xdr:nvSpPr>
            <xdr:cNvPr id="21510" name="OptionButton1" hidden="1">
              <a:extLst>
                <a:ext uri="{63B3BB69-23CF-44E3-9099-C40C66FF867C}">
                  <a14:compatExt spid="_x0000_s21510"/>
                </a:ext>
                <a:ext uri="{FF2B5EF4-FFF2-40B4-BE49-F238E27FC236}">
                  <a16:creationId xmlns:a16="http://schemas.microsoft.com/office/drawing/2014/main" id="{00000000-0008-0000-11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129</xdr:col>
          <xdr:colOff>508000</xdr:colOff>
          <xdr:row>20</xdr:row>
          <xdr:rowOff>69850</xdr:rowOff>
        </xdr:from>
        <xdr:to>
          <xdr:col>131</xdr:col>
          <xdr:colOff>88900</xdr:colOff>
          <xdr:row>21</xdr:row>
          <xdr:rowOff>114300</xdr:rowOff>
        </xdr:to>
        <xdr:sp macro="" textlink="">
          <xdr:nvSpPr>
            <xdr:cNvPr id="21511" name="OptionButton2" hidden="1">
              <a:extLst>
                <a:ext uri="{63B3BB69-23CF-44E3-9099-C40C66FF867C}">
                  <a14:compatExt spid="_x0000_s21511"/>
                </a:ext>
                <a:ext uri="{FF2B5EF4-FFF2-40B4-BE49-F238E27FC236}">
                  <a16:creationId xmlns:a16="http://schemas.microsoft.com/office/drawing/2014/main" id="{00000000-0008-0000-11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131</xdr:col>
          <xdr:colOff>400050</xdr:colOff>
          <xdr:row>18</xdr:row>
          <xdr:rowOff>57150</xdr:rowOff>
        </xdr:from>
        <xdr:to>
          <xdr:col>133</xdr:col>
          <xdr:colOff>342900</xdr:colOff>
          <xdr:row>20</xdr:row>
          <xdr:rowOff>25400</xdr:rowOff>
        </xdr:to>
        <xdr:sp macro="" textlink="">
          <xdr:nvSpPr>
            <xdr:cNvPr id="21512" name="OptionButton3" hidden="1">
              <a:extLst>
                <a:ext uri="{63B3BB69-23CF-44E3-9099-C40C66FF867C}">
                  <a14:compatExt spid="_x0000_s21512"/>
                </a:ext>
                <a:ext uri="{FF2B5EF4-FFF2-40B4-BE49-F238E27FC236}">
                  <a16:creationId xmlns:a16="http://schemas.microsoft.com/office/drawing/2014/main" id="{00000000-0008-0000-11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131</xdr:col>
          <xdr:colOff>381000</xdr:colOff>
          <xdr:row>20</xdr:row>
          <xdr:rowOff>76200</xdr:rowOff>
        </xdr:from>
        <xdr:to>
          <xdr:col>133</xdr:col>
          <xdr:colOff>412750</xdr:colOff>
          <xdr:row>22</xdr:row>
          <xdr:rowOff>19050</xdr:rowOff>
        </xdr:to>
        <xdr:sp macro="" textlink="">
          <xdr:nvSpPr>
            <xdr:cNvPr id="21513" name="OptionButton4" hidden="1">
              <a:extLst>
                <a:ext uri="{63B3BB69-23CF-44E3-9099-C40C66FF867C}">
                  <a14:compatExt spid="_x0000_s21513"/>
                </a:ext>
                <a:ext uri="{FF2B5EF4-FFF2-40B4-BE49-F238E27FC236}">
                  <a16:creationId xmlns:a16="http://schemas.microsoft.com/office/drawing/2014/main" id="{00000000-0008-0000-11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25</xdr:col>
      <xdr:colOff>450850</xdr:colOff>
      <xdr:row>24</xdr:row>
      <xdr:rowOff>101600</xdr:rowOff>
    </xdr:to>
    <xdr:sp macro="" textlink="">
      <xdr:nvSpPr>
        <xdr:cNvPr id="3" name="Rectangle 2">
          <a:extLst>
            <a:ext uri="{FF2B5EF4-FFF2-40B4-BE49-F238E27FC236}">
              <a16:creationId xmlns:a16="http://schemas.microsoft.com/office/drawing/2014/main" id="{00000000-0008-0000-1100-000003000000}"/>
            </a:ext>
          </a:extLst>
        </xdr:cNvPr>
        <xdr:cNvSpPr/>
      </xdr:nvSpPr>
      <xdr:spPr>
        <a:xfrm>
          <a:off x="0" y="0"/>
          <a:ext cx="14795500" cy="363855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TRIAGE DATA QUARTER</a:t>
          </a:r>
        </a:p>
      </xdr:txBody>
    </xdr:sp>
    <xdr:clientData/>
  </xdr:twoCellAnchor>
  <xdr:twoCellAnchor>
    <xdr:from>
      <xdr:col>25</xdr:col>
      <xdr:colOff>425450</xdr:colOff>
      <xdr:row>0</xdr:row>
      <xdr:rowOff>0</xdr:rowOff>
    </xdr:from>
    <xdr:to>
      <xdr:col>69</xdr:col>
      <xdr:colOff>279400</xdr:colOff>
      <xdr:row>116</xdr:row>
      <xdr:rowOff>6350</xdr:rowOff>
    </xdr:to>
    <xdr:sp macro="" textlink="">
      <xdr:nvSpPr>
        <xdr:cNvPr id="4" name="Rectangle 3">
          <a:extLst>
            <a:ext uri="{FF2B5EF4-FFF2-40B4-BE49-F238E27FC236}">
              <a16:creationId xmlns:a16="http://schemas.microsoft.com/office/drawing/2014/main" id="{00000000-0008-0000-1100-000004000000}"/>
            </a:ext>
          </a:extLst>
        </xdr:cNvPr>
        <xdr:cNvSpPr/>
      </xdr:nvSpPr>
      <xdr:spPr>
        <a:xfrm>
          <a:off x="14770100" y="0"/>
          <a:ext cx="27489150" cy="1701800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600" kern="1200"/>
            <a:t>GRAPH BUDGET</a:t>
          </a:r>
        </a:p>
        <a:p>
          <a:pPr algn="ctr"/>
          <a:endParaRPr lang="fr-CA" sz="1600" kern="1200"/>
        </a:p>
        <a:p>
          <a:pPr algn="ctr"/>
          <a:endParaRPr lang="fr-CA" sz="1600" kern="1200"/>
        </a:p>
        <a:p>
          <a:pPr algn="ctr"/>
          <a:r>
            <a:rPr lang="fr-CA" sz="1600" kern="1200"/>
            <a:t>KPI</a:t>
          </a:r>
        </a:p>
      </xdr:txBody>
    </xdr:sp>
    <xdr:clientData/>
  </xdr:twoCellAnchor>
  <xdr:twoCellAnchor>
    <xdr:from>
      <xdr:col>88</xdr:col>
      <xdr:colOff>82550</xdr:colOff>
      <xdr:row>1</xdr:row>
      <xdr:rowOff>25400</xdr:rowOff>
    </xdr:from>
    <xdr:to>
      <xdr:col>98</xdr:col>
      <xdr:colOff>203200</xdr:colOff>
      <xdr:row>21</xdr:row>
      <xdr:rowOff>50800</xdr:rowOff>
    </xdr:to>
    <xdr:sp macro="" textlink="">
      <xdr:nvSpPr>
        <xdr:cNvPr id="5" name="Rectangle 4">
          <a:extLst>
            <a:ext uri="{FF2B5EF4-FFF2-40B4-BE49-F238E27FC236}">
              <a16:creationId xmlns:a16="http://schemas.microsoft.com/office/drawing/2014/main" id="{00000000-0008-0000-1100-000005000000}"/>
            </a:ext>
          </a:extLst>
        </xdr:cNvPr>
        <xdr:cNvSpPr/>
      </xdr:nvSpPr>
      <xdr:spPr>
        <a:xfrm>
          <a:off x="52679600" y="177800"/>
          <a:ext cx="5708650" cy="297180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TRI BUDGET ANNUEL</a:t>
          </a:r>
        </a:p>
      </xdr:txBody>
    </xdr:sp>
    <xdr:clientData/>
  </xdr:twoCellAnchor>
  <xdr:twoCellAnchor>
    <xdr:from>
      <xdr:col>99</xdr:col>
      <xdr:colOff>444500</xdr:colOff>
      <xdr:row>0</xdr:row>
      <xdr:rowOff>0</xdr:rowOff>
    </xdr:from>
    <xdr:to>
      <xdr:col>106</xdr:col>
      <xdr:colOff>95250</xdr:colOff>
      <xdr:row>64</xdr:row>
      <xdr:rowOff>38100</xdr:rowOff>
    </xdr:to>
    <xdr:sp macro="" textlink="">
      <xdr:nvSpPr>
        <xdr:cNvPr id="6" name="Rectangle 5">
          <a:extLst>
            <a:ext uri="{FF2B5EF4-FFF2-40B4-BE49-F238E27FC236}">
              <a16:creationId xmlns:a16="http://schemas.microsoft.com/office/drawing/2014/main" id="{00000000-0008-0000-1100-000006000000}"/>
            </a:ext>
          </a:extLst>
        </xdr:cNvPr>
        <xdr:cNvSpPr/>
      </xdr:nvSpPr>
      <xdr:spPr>
        <a:xfrm>
          <a:off x="59359800" y="0"/>
          <a:ext cx="4083050" cy="945515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A" sz="1600" kern="1200"/>
            <a:t>GESTION KPI ANNUELLE</a:t>
          </a:r>
        </a:p>
      </xdr:txBody>
    </xdr:sp>
    <xdr:clientData/>
  </xdr:twoCellAnchor>
  <xdr:twoCellAnchor>
    <xdr:from>
      <xdr:col>114</xdr:col>
      <xdr:colOff>501650</xdr:colOff>
      <xdr:row>0</xdr:row>
      <xdr:rowOff>0</xdr:rowOff>
    </xdr:from>
    <xdr:to>
      <xdr:col>137</xdr:col>
      <xdr:colOff>438150</xdr:colOff>
      <xdr:row>38</xdr:row>
      <xdr:rowOff>31750</xdr:rowOff>
    </xdr:to>
    <xdr:sp macro="" textlink="">
      <xdr:nvSpPr>
        <xdr:cNvPr id="7" name="Rectangle 6">
          <a:extLst>
            <a:ext uri="{FF2B5EF4-FFF2-40B4-BE49-F238E27FC236}">
              <a16:creationId xmlns:a16="http://schemas.microsoft.com/office/drawing/2014/main" id="{00000000-0008-0000-1100-000007000000}"/>
            </a:ext>
          </a:extLst>
        </xdr:cNvPr>
        <xdr:cNvSpPr/>
      </xdr:nvSpPr>
      <xdr:spPr>
        <a:xfrm>
          <a:off x="68186300" y="0"/>
          <a:ext cx="13887450" cy="562610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 PAPILLON</a:t>
          </a:r>
        </a:p>
      </xdr:txBody>
    </xdr:sp>
    <xdr:clientData/>
  </xdr:twoCellAnchor>
  <xdr:twoCellAnchor>
    <xdr:from>
      <xdr:col>140</xdr:col>
      <xdr:colOff>469900</xdr:colOff>
      <xdr:row>0</xdr:row>
      <xdr:rowOff>0</xdr:rowOff>
    </xdr:from>
    <xdr:to>
      <xdr:col>151</xdr:col>
      <xdr:colOff>425450</xdr:colOff>
      <xdr:row>31</xdr:row>
      <xdr:rowOff>50800</xdr:rowOff>
    </xdr:to>
    <xdr:sp macro="" textlink="">
      <xdr:nvSpPr>
        <xdr:cNvPr id="8" name="Rectangle 7">
          <a:extLst>
            <a:ext uri="{FF2B5EF4-FFF2-40B4-BE49-F238E27FC236}">
              <a16:creationId xmlns:a16="http://schemas.microsoft.com/office/drawing/2014/main" id="{00000000-0008-0000-1100-000008000000}"/>
            </a:ext>
          </a:extLst>
        </xdr:cNvPr>
        <xdr:cNvSpPr/>
      </xdr:nvSpPr>
      <xdr:spPr>
        <a:xfrm>
          <a:off x="83915250" y="0"/>
          <a:ext cx="7137400" cy="462280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GRAPH CAT3</a:t>
          </a:r>
        </a:p>
      </xdr:txBody>
    </xdr:sp>
    <xdr:clientData/>
  </xdr:twoCellAnchor>
  <xdr:twoCellAnchor>
    <xdr:from>
      <xdr:col>160</xdr:col>
      <xdr:colOff>298450</xdr:colOff>
      <xdr:row>0</xdr:row>
      <xdr:rowOff>0</xdr:rowOff>
    </xdr:from>
    <xdr:to>
      <xdr:col>173</xdr:col>
      <xdr:colOff>292100</xdr:colOff>
      <xdr:row>20</xdr:row>
      <xdr:rowOff>31750</xdr:rowOff>
    </xdr:to>
    <xdr:sp macro="" textlink="">
      <xdr:nvSpPr>
        <xdr:cNvPr id="9" name="Rectangle 8">
          <a:extLst>
            <a:ext uri="{FF2B5EF4-FFF2-40B4-BE49-F238E27FC236}">
              <a16:creationId xmlns:a16="http://schemas.microsoft.com/office/drawing/2014/main" id="{00000000-0008-0000-1100-000009000000}"/>
            </a:ext>
          </a:extLst>
        </xdr:cNvPr>
        <xdr:cNvSpPr/>
      </xdr:nvSpPr>
      <xdr:spPr>
        <a:xfrm>
          <a:off x="95821500" y="0"/>
          <a:ext cx="7791450" cy="298450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kern="1200"/>
            <a:t>RÉPARTITION CAT 2</a:t>
          </a:r>
        </a:p>
      </xdr:txBody>
    </xdr:sp>
    <xdr:clientData/>
  </xdr:twoCellAnchor>
</xdr:wsDr>
</file>

<file path=xl/persons/person.xml><?xml version="1.0" encoding="utf-8"?>
<personList xmlns="http://schemas.microsoft.com/office/spreadsheetml/2018/threadedcomments" xmlns:x="http://schemas.openxmlformats.org/spreadsheetml/2006/main">
  <person displayName="Sébastien OGER" id="{C042D04B-CE2F-429F-95C0-7E6B865BF305}" userId="661679369a43b7a5"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3989930554" backgroundQuery="1" createdVersion="8" refreshedVersion="8" minRefreshableVersion="3" recordCount="0" supportSubquery="1" supportAdvancedDrill="1" xr:uid="{6BED9F34-0B06-45CD-B5FB-A48554A23F39}">
  <cacheSource type="external" connectionId="2"/>
  <cacheFields count="6">
    <cacheField name="[DataBudget2].[Année].[Année]" caption="Année" numFmtId="0" hierarchy="12" level="1">
      <sharedItems containsSemiMixedTypes="0" containsString="0" containsNumber="1" containsInteger="1" minValue="2025" maxValue="2026" count="2">
        <n v="2025"/>
        <n v="2026"/>
      </sharedItems>
      <extLst>
        <ext xmlns:x15="http://schemas.microsoft.com/office/spreadsheetml/2010/11/main" uri="{4F2E5C28-24EA-4eb8-9CBF-B6C8F9C3D259}">
          <x15:cachedUniqueNames>
            <x15:cachedUniqueName index="0" name="[DataBudget2].[Année].&amp;[2025]"/>
            <x15:cachedUniqueName index="1" name="[DataBudget2].[Année].&amp;[2026]"/>
          </x15:cachedUniqueNames>
        </ext>
      </extLst>
    </cacheField>
    <cacheField name="[DataBudget2].[Mois (Month)].[Mois (Month)]" caption="Mois (Month)" numFmtId="0" hierarchy="23" level="1">
      <sharedItems count="2">
        <s v="janv"/>
        <s v="févr"/>
      </sharedItems>
    </cacheField>
    <cacheField name="[Measures].[Sum of Last_Montant 2]" caption="Sum of Last_Montant 2" numFmtId="0" hierarchy="115" level="32767"/>
    <cacheField name="[Measures].[Sum of Montant_Extrap 4]" caption="Sum of Montant_Extrap 4" numFmtId="0" hierarchy="113" level="32767"/>
    <cacheField name="[Measures].[Sum of Montant 6]" caption="Sum of Montant 6" numFmtId="0" hierarchy="114" level="32767"/>
    <cacheField name="[DataBudget2].[Cat_2].[Cat_2]" caption="Cat_2" numFmtId="0" hierarchy="15"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2" memberValueDatatype="20" unbalanced="0">
      <fieldsUsage count="2">
        <fieldUsage x="-1"/>
        <fieldUsage x="0"/>
      </fieldsUsage>
    </cacheHierarchy>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2" memberValueDatatype="130" unbalanced="0">
      <fieldsUsage count="2">
        <fieldUsage x="-1"/>
        <fieldUsage x="5"/>
      </fieldsUsage>
    </cacheHierarchy>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2" memberValueDatatype="130" unbalanced="0">
      <fieldsUsage count="2">
        <fieldUsage x="-1"/>
        <fieldUsage x="1"/>
      </fieldsUsage>
    </cacheHierarchy>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oneField="1" hidden="1">
      <fieldsUsage count="1">
        <fieldUsage x="4"/>
      </fieldsUsage>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oneField="1" hidden="1">
      <fieldsUsage count="1">
        <fieldUsage x="2"/>
      </fieldsUsage>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3996527781" backgroundQuery="1" createdVersion="8" refreshedVersion="8" minRefreshableVersion="3" recordCount="0" supportSubquery="1" supportAdvancedDrill="1" xr:uid="{F1C7B543-399C-4D67-837D-70B85E21B92B}">
  <cacheSource type="external" connectionId="2"/>
  <cacheFields count="6">
    <cacheField name="[Budget1Data].[Année].[Année]" caption="Année" numFmtId="0" level="1">
      <sharedItems containsSemiMixedTypes="0" containsString="0" containsNumber="1" containsInteger="1" minValue="2025" maxValue="2026" count="2">
        <n v="2025"/>
        <n v="2026"/>
      </sharedItems>
      <extLst>
        <ext xmlns:x15="http://schemas.microsoft.com/office/spreadsheetml/2010/11/main" uri="{4F2E5C28-24EA-4eb8-9CBF-B6C8F9C3D259}">
          <x15:cachedUniqueNames>
            <x15:cachedUniqueName index="0" name="[Budget1Data].[Année].&amp;[2025]"/>
            <x15:cachedUniqueName index="1" name="[Budget1Data].[Année].&amp;[2026]"/>
          </x15:cachedUniqueNames>
        </ext>
      </extLst>
    </cacheField>
    <cacheField name="[Budget1Data].[Mois (Month)].[Mois (Month)]" caption="Mois (Month)" numFmtId="0" hierarchy="10" level="1">
      <sharedItems count="2">
        <s v="janv"/>
        <s v="févr"/>
      </sharedItems>
    </cacheField>
    <cacheField name="[Measures].[Sum of Last_Montant]" caption="Sum of Last_Montant" numFmtId="0" hierarchy="112" level="32767"/>
    <cacheField name="[Measures].[Sum of Montant_Extrap 3]" caption="Sum of Montant_Extrap 3" numFmtId="0" hierarchy="108" level="32767"/>
    <cacheField name="[Measures].[Sum of Montant 3]" caption="Sum of Montant 3" numFmtId="0" hierarchy="116" level="32767"/>
    <cacheField name="[Budget1Data].[Cat_2].[Cat_2]" caption="Cat_2" numFmtId="0" hierarchy="3"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2" memberValueDatatype="20" unbalanced="0">
      <fieldsUsage count="2">
        <fieldUsage x="-1"/>
        <fieldUsage x="0"/>
      </fieldsUsage>
    </cacheHierarchy>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2" memberValueDatatype="130" unbalanced="0">
      <fieldsUsage count="2">
        <fieldUsage x="-1"/>
        <fieldUsage x="5"/>
      </fieldsUsage>
    </cacheHierarchy>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2" memberValueDatatype="130" unbalanced="0">
      <fieldsUsage count="2">
        <fieldUsage x="-1"/>
        <fieldUsage x="1"/>
      </fieldsUsage>
    </cacheHierarchy>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oneField="1" hidden="1">
      <fieldsUsage count="1">
        <fieldUsage x="3"/>
      </fieldsUsage>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oneField="1" hidden="1">
      <fieldsUsage count="1">
        <fieldUsage x="4"/>
      </fieldsUsage>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14583332" backgroundQuery="1" createdVersion="8" refreshedVersion="8" minRefreshableVersion="3" recordCount="0" supportSubquery="1" supportAdvancedDrill="1" xr:uid="{2CFB9CFD-4F53-423D-9C72-4957527681A6}">
  <cacheSource type="external" connectionId="2"/>
  <cacheFields count="8">
    <cacheField name="[Budget1Data].[Cat_3].[Cat_3]" caption="Cat_3" numFmtId="0" hierarchy="4" level="1">
      <sharedItems count="1">
        <s v="Sub-Category5"/>
      </sharedItems>
    </cacheField>
    <cacheField name="[Measures].[ABSMontantE]" caption="ABSMontantE" numFmtId="0" hierarchy="81" level="32767"/>
    <cacheField name="[Measures].[ABS_LastM]" caption="ABS_LastM" numFmtId="0" hierarchy="83" level="32767"/>
    <cacheField name="[Budget1Data].[Mois (Month)].[Mois (Month)]" caption="Mois (Month)" numFmtId="0" hierarchy="10" level="1">
      <sharedItems count="2">
        <s v="janv"/>
        <s v="févr"/>
      </sharedItems>
    </cacheField>
    <cacheField name="[Budget1Data].[Mois (Year)].[Mois (Year)]" caption="Mois (Year)" numFmtId="0" hierarchy="8" level="1">
      <sharedItems count="1">
        <s v="2025"/>
      </sharedItems>
    </cacheField>
    <cacheField name="[Measures].[ABSB1M]" caption="ABSB1M" numFmtId="0" hierarchy="82" level="32767"/>
    <cacheField name="[Budget1Data].[Année].[Année]" caption="Année" numFmtId="0" level="1">
      <sharedItems containsSemiMixedTypes="0" containsNonDate="0" containsString="0"/>
    </cacheField>
    <cacheField name="[Budget1Data].[Mois (Quarter)].[Mois (Quarter)]" caption="Mois (Quarter)" numFmtId="0" hierarchy="9"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2" memberValueDatatype="20" unbalanced="0">
      <fieldsUsage count="2">
        <fieldUsage x="-1"/>
        <fieldUsage x="6"/>
      </fieldsUsage>
    </cacheHierarchy>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2" memberValueDatatype="130" unbalanced="0">
      <fieldsUsage count="2">
        <fieldUsage x="-1"/>
        <fieldUsage x="0"/>
      </fieldsUsage>
    </cacheHierarchy>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2" memberValueDatatype="130" unbalanced="0">
      <fieldsUsage count="2">
        <fieldUsage x="-1"/>
        <fieldUsage x="4"/>
      </fieldsUsage>
    </cacheHierarchy>
    <cacheHierarchy uniqueName="[Budget1Data].[Mois (Quarter)]" caption="Mois (Quarter)" attribute="1" defaultMemberUniqueName="[Budget1Data].[Mois (Quarter)].[All]" allUniqueName="[Budget1Data].[Mois (Quarter)].[All]" dimensionUniqueName="[Budget1Data]" displayFolder="" count="2" memberValueDatatype="130" unbalanced="0">
      <fieldsUsage count="2">
        <fieldUsage x="-1"/>
        <fieldUsage x="7"/>
      </fieldsUsage>
    </cacheHierarchy>
    <cacheHierarchy uniqueName="[Budget1Data].[Mois (Month)]" caption="Mois (Month)" attribute="1" defaultMemberUniqueName="[Budget1Data].[Mois (Month)].[All]" allUniqueName="[Budget1Data].[Mois (Month)].[All]" dimensionUniqueName="[Budget1Data]" displayFolder="" count="2" memberValueDatatype="130" unbalanced="0">
      <fieldsUsage count="2">
        <fieldUsage x="-1"/>
        <fieldUsage x="3"/>
      </fieldsUsage>
    </cacheHierarchy>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oneField="1">
      <fieldsUsage count="1">
        <fieldUsage x="1"/>
      </fieldsUsage>
    </cacheHierarchy>
    <cacheHierarchy uniqueName="[Measures].[ABSB1M]" caption="ABSB1M" measure="1" displayFolder="" measureGroup="Budget1Data" count="0" oneField="1">
      <fieldsUsage count="1">
        <fieldUsage x="5"/>
      </fieldsUsage>
    </cacheHierarchy>
    <cacheHierarchy uniqueName="[Measures].[ABS_LastM]" caption="ABS_LastM" measure="1" displayFolder="" measureGroup="Budget1Data" count="0" oneField="1">
      <fieldsUsage count="1">
        <fieldUsage x="2"/>
      </fieldsUsage>
    </cacheHierarchy>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23842592" backgroundQuery="1" createdVersion="8" refreshedVersion="8" minRefreshableVersion="3" recordCount="0" supportSubquery="1" supportAdvancedDrill="1" xr:uid="{DBA78B6C-D8EC-417A-BDD4-2BA29589D826}">
  <cacheSource type="external" connectionId="2"/>
  <cacheFields count="6">
    <cacheField name="[Budget1Data].[Cat_2].[Cat_2]" caption="Cat_2" numFmtId="0" hierarchy="3" level="1">
      <sharedItems count="7">
        <s v="Category1"/>
        <s v="Category2"/>
        <s v="Category3"/>
        <s v="Category4"/>
        <s v="Category5"/>
        <s v="Category6"/>
        <s v="Category7"/>
      </sharedItems>
    </cacheField>
    <cacheField name="[Budget1Data].[Cat_1].[Cat_1]" caption="Cat_1" numFmtId="0" hierarchy="2" level="1">
      <sharedItems containsSemiMixedTypes="0" containsNonDate="0" containsString="0"/>
    </cacheField>
    <cacheField name="[Measures].[ABSMontantE]" caption="ABSMontantE" numFmtId="0" hierarchy="81" level="32767"/>
    <cacheField name="[Measures].[ABS_LastM]" caption="ABS_LastM" numFmtId="0" hierarchy="83" level="32767"/>
    <cacheField name="[Budget1Data].[Année].[Année]" caption="Année" numFmtId="0" level="1">
      <sharedItems containsSemiMixedTypes="0" containsNonDate="0" containsString="0"/>
    </cacheField>
    <cacheField name="[Budget1Data].[Mois (Quarter)].[Mois (Quarter)]" caption="Mois (Quarter)" numFmtId="0" hierarchy="9"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2" memberValueDatatype="20" unbalanced="0">
      <fieldsUsage count="2">
        <fieldUsage x="-1"/>
        <fieldUsage x="4"/>
      </fieldsUsage>
    </cacheHierarchy>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2" memberValueDatatype="130" unbalanced="0">
      <fieldsUsage count="2">
        <fieldUsage x="-1"/>
        <fieldUsage x="1"/>
      </fieldsUsage>
    </cacheHierarchy>
    <cacheHierarchy uniqueName="[Budget1Data].[Cat_2]" caption="Cat_2" attribute="1" defaultMemberUniqueName="[Budget1Data].[Cat_2].[All]" allUniqueName="[Budget1Data].[Cat_2].[All]" dimensionUniqueName="[Budget1Data]" displayFolder="" count="2" memberValueDatatype="130" unbalanced="0">
      <fieldsUsage count="2">
        <fieldUsage x="-1"/>
        <fieldUsage x="0"/>
      </fieldsUsage>
    </cacheHierarchy>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2" memberValueDatatype="130" unbalanced="0">
      <fieldsUsage count="2">
        <fieldUsage x="-1"/>
        <fieldUsage x="5"/>
      </fieldsUsage>
    </cacheHierarchy>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oneField="1">
      <fieldsUsage count="1">
        <fieldUsage x="2"/>
      </fieldsUsage>
    </cacheHierarchy>
    <cacheHierarchy uniqueName="[Measures].[ABSB1M]" caption="ABSB1M" measure="1" displayFolder="" measureGroup="Budget1Data" count="0"/>
    <cacheHierarchy uniqueName="[Measures].[ABS_LastM]" caption="ABS_LastM" measure="1" displayFolder="" measureGroup="Budget1Data" count="0" oneField="1">
      <fieldsUsage count="1">
        <fieldUsage x="3"/>
      </fieldsUsage>
    </cacheHierarchy>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2835648" backgroundQuery="1" createdVersion="8" refreshedVersion="8" minRefreshableVersion="3" recordCount="0" supportSubquery="1" supportAdvancedDrill="1" xr:uid="{A148885A-C77B-441F-A8F5-812658ECB2DA}">
  <cacheSource type="external" connectionId="2"/>
  <cacheFields count="7">
    <cacheField name="[Budget1Data].[Cat_2].[Cat_2]" caption="Cat_2" numFmtId="0" hierarchy="3" level="1">
      <sharedItems count="1">
        <s v="Category3"/>
      </sharedItems>
    </cacheField>
    <cacheField name="[Budget1Data].[Cat_3].[Cat_3]" caption="Cat_3" numFmtId="0" hierarchy="4" level="1">
      <sharedItems count="1">
        <s v="Sub-Category3"/>
      </sharedItems>
    </cacheField>
    <cacheField name="[Budget1Data].[Cat_1].[Cat_1]" caption="Cat_1" numFmtId="0" hierarchy="2" level="1">
      <sharedItems containsSemiMixedTypes="0" containsNonDate="0" containsString="0"/>
    </cacheField>
    <cacheField name="[Measures].[ABSMontantE]" caption="ABSMontantE" numFmtId="0" hierarchy="81" level="32767"/>
    <cacheField name="[Measures].[ABS_LastM]" caption="ABS_LastM" numFmtId="0" hierarchy="83" level="32767"/>
    <cacheField name="[Budget1Data].[Année].[Année]" caption="Année" numFmtId="0" level="1">
      <sharedItems containsSemiMixedTypes="0" containsNonDate="0" containsString="0"/>
    </cacheField>
    <cacheField name="[Budget1Data].[Mois (Quarter)].[Mois (Quarter)]" caption="Mois (Quarter)" numFmtId="0" hierarchy="9"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2" memberValueDatatype="20" unbalanced="0">
      <fieldsUsage count="2">
        <fieldUsage x="-1"/>
        <fieldUsage x="5"/>
      </fieldsUsage>
    </cacheHierarchy>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2" memberValueDatatype="130" unbalanced="0">
      <fieldsUsage count="2">
        <fieldUsage x="-1"/>
        <fieldUsage x="2"/>
      </fieldsUsage>
    </cacheHierarchy>
    <cacheHierarchy uniqueName="[Budget1Data].[Cat_2]" caption="Cat_2" attribute="1" defaultMemberUniqueName="[Budget1Data].[Cat_2].[All]" allUniqueName="[Budget1Data].[Cat_2].[All]" dimensionUniqueName="[Budget1Data]" displayFolder="" count="2" memberValueDatatype="130" unbalanced="0">
      <fieldsUsage count="2">
        <fieldUsage x="-1"/>
        <fieldUsage x="0"/>
      </fieldsUsage>
    </cacheHierarchy>
    <cacheHierarchy uniqueName="[Budget1Data].[Cat_3]" caption="Cat_3" attribute="1" defaultMemberUniqueName="[Budget1Data].[Cat_3].[All]" allUniqueName="[Budget1Data].[Cat_3].[All]" dimensionUniqueName="[Budget1Data]" displayFolder="" count="2" memberValueDatatype="130" unbalanced="0">
      <fieldsUsage count="2">
        <fieldUsage x="-1"/>
        <fieldUsage x="1"/>
      </fieldsUsage>
    </cacheHierarchy>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2" memberValueDatatype="130" unbalanced="0">
      <fieldsUsage count="2">
        <fieldUsage x="-1"/>
        <fieldUsage x="6"/>
      </fieldsUsage>
    </cacheHierarchy>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oneField="1">
      <fieldsUsage count="1">
        <fieldUsage x="3"/>
      </fieldsUsage>
    </cacheHierarchy>
    <cacheHierarchy uniqueName="[Measures].[ABSB1M]" caption="ABSB1M" measure="1" displayFolder="" measureGroup="Budget1Data" count="0"/>
    <cacheHierarchy uniqueName="[Measures].[ABS_LastM]" caption="ABS_LastM" measure="1" displayFolder="" measureGroup="Budget1Data" count="0" oneField="1">
      <fieldsUsage count="1">
        <fieldUsage x="4"/>
      </fieldsUsage>
    </cacheHierarchy>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3159722" backgroundQuery="1" createdVersion="8" refreshedVersion="8" minRefreshableVersion="3" recordCount="0" supportSubquery="1" supportAdvancedDrill="1" xr:uid="{23191630-B7FA-461E-9A2E-FA0FE497A7E4}">
  <cacheSource type="external" connectionId="2"/>
  <cacheFields count="6">
    <cacheField name="[Measures].[Sum of Last_Montant]" caption="Sum of Last_Montant" numFmtId="0" hierarchy="112" level="32767"/>
    <cacheField name="[Measures].[Sum of Montant_Extrap 3]" caption="Sum of Montant_Extrap 3" numFmtId="0" hierarchy="108" level="32767"/>
    <cacheField name="[Budget1Data].[Cat_1].[Cat_1]" caption="Cat_1" numFmtId="0" hierarchy="2" level="1">
      <sharedItems count="1">
        <s v="Income"/>
      </sharedItems>
    </cacheField>
    <cacheField name="[Budget1Data].[Cat_2].[Cat_2]" caption="Cat_2" numFmtId="0" hierarchy="3" level="1">
      <sharedItems count="3">
        <s v="i1_Income1"/>
        <s v="i2_Savings"/>
        <s v="i3_Income3"/>
      </sharedItems>
    </cacheField>
    <cacheField name="[Budget1Data].[Année].[Année]" caption="Année" numFmtId="0" level="1">
      <sharedItems containsSemiMixedTypes="0" containsNonDate="0" containsString="0"/>
    </cacheField>
    <cacheField name="[Budget1Data].[Mois (Quarter)].[Mois (Quarter)]" caption="Mois (Quarter)" numFmtId="0" hierarchy="9"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2" memberValueDatatype="20" unbalanced="0">
      <fieldsUsage count="2">
        <fieldUsage x="-1"/>
        <fieldUsage x="4"/>
      </fieldsUsage>
    </cacheHierarchy>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2" memberValueDatatype="130" unbalanced="0">
      <fieldsUsage count="2">
        <fieldUsage x="-1"/>
        <fieldUsage x="2"/>
      </fieldsUsage>
    </cacheHierarchy>
    <cacheHierarchy uniqueName="[Budget1Data].[Cat_2]" caption="Cat_2" attribute="1" defaultMemberUniqueName="[Budget1Data].[Cat_2].[All]" allUniqueName="[Budget1Data].[Cat_2].[All]" dimensionUniqueName="[Budget1Data]" displayFolder="" count="2" memberValueDatatype="130" unbalanced="0">
      <fieldsUsage count="2">
        <fieldUsage x="-1"/>
        <fieldUsage x="3"/>
      </fieldsUsage>
    </cacheHierarchy>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2" memberValueDatatype="130" unbalanced="0">
      <fieldsUsage count="2">
        <fieldUsage x="-1"/>
        <fieldUsage x="5"/>
      </fieldsUsage>
    </cacheHierarchy>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42708335" backgroundQuery="1" createdVersion="8" refreshedVersion="8" minRefreshableVersion="3" recordCount="0" supportSubquery="1" supportAdvancedDrill="1" xr:uid="{32F34D01-530C-4F44-80D0-D337735E8B20}">
  <cacheSource type="external" connectionId="2"/>
  <cacheFields count="3">
    <cacheField name="[Budget1Data].[Cat_2].[Cat_2]" caption="Cat_2" numFmtId="0" hierarchy="3" level="1">
      <sharedItems count="7">
        <s v="Category1"/>
        <s v="Category2"/>
        <s v="Category3"/>
        <s v="Category4"/>
        <s v="Category5"/>
        <s v="Category6"/>
        <s v="Category7"/>
      </sharedItems>
    </cacheField>
    <cacheField name="[Budget1Data].[Cat_1].[Cat_1]" caption="Cat_1" numFmtId="0" hierarchy="2" level="1">
      <sharedItems containsSemiMixedTypes="0" containsNonDate="0" containsString="0"/>
    </cacheField>
    <cacheField name="[Measures].[ABSMontantE]" caption="ABSMontantE" numFmtId="0" hierarchy="81" level="32767"/>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2" memberValueDatatype="130" unbalanced="0">
      <fieldsUsage count="2">
        <fieldUsage x="-1"/>
        <fieldUsage x="1"/>
      </fieldsUsage>
    </cacheHierarchy>
    <cacheHierarchy uniqueName="[Budget1Data].[Cat_2]" caption="Cat_2" attribute="1" defaultMemberUniqueName="[Budget1Data].[Cat_2].[All]" allUniqueName="[Budget1Data].[Cat_2].[All]" dimensionUniqueName="[Budget1Data]" displayFolder="" count="2" memberValueDatatype="130" unbalanced="0">
      <fieldsUsage count="2">
        <fieldUsage x="-1"/>
        <fieldUsage x="0"/>
      </fieldsUsage>
    </cacheHierarchy>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oneField="1">
      <fieldsUsage count="1">
        <fieldUsage x="2"/>
      </fieldsUsage>
    </cacheHierarchy>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4953704" backgroundQuery="1" createdVersion="8" refreshedVersion="8" minRefreshableVersion="3" recordCount="0" supportSubquery="1" supportAdvancedDrill="1" xr:uid="{70AACFC9-65FC-475F-A97A-1ACFD35AFFCF}">
  <cacheSource type="external" connectionId="2"/>
  <cacheFields count="8">
    <cacheField name="[DataBudget2].[Cat_3].[Cat_3]" caption="Cat_3" numFmtId="0" hierarchy="16" level="1">
      <sharedItems count="1">
        <s v="Sub-Category4"/>
      </sharedItems>
    </cacheField>
    <cacheField name="[DataBudget2].[Mois (Month)].[Mois (Month)]" caption="Mois (Month)" numFmtId="0" hierarchy="23" level="1">
      <sharedItems count="2">
        <s v="janv"/>
        <s v="févr"/>
      </sharedItems>
    </cacheField>
    <cacheField name="[Measures].[ABSB2ME]" caption="ABSB2ME" numFmtId="0" hierarchy="84" level="32767"/>
    <cacheField name="[Measures].[ABSB2LM]" caption="ABSB2LM" numFmtId="0" hierarchy="86" level="32767"/>
    <cacheField name="[Measures].[ABSB2M]" caption="ABSB2M" numFmtId="0" hierarchy="85" level="32767"/>
    <cacheField name="[DataBudget2].[Mois (Year)].[Mois (Year)]" caption="Mois (Year)" numFmtId="0" hierarchy="21" level="1">
      <sharedItems count="1">
        <s v="2025"/>
      </sharedItems>
    </cacheField>
    <cacheField name="[DataBudget2].[Année].[Année]" caption="Année" numFmtId="0" hierarchy="12" level="1">
      <sharedItems containsSemiMixedTypes="0" containsNonDate="0" containsString="0"/>
    </cacheField>
    <cacheField name="[DataBudget2].[Mois (Quarter)].[Mois (Quarter)]" caption="Mois (Quarter)" numFmtId="0" hierarchy="22"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2" memberValueDatatype="20" unbalanced="0">
      <fieldsUsage count="2">
        <fieldUsage x="-1"/>
        <fieldUsage x="6"/>
      </fieldsUsage>
    </cacheHierarchy>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2" memberValueDatatype="130" unbalanced="0">
      <fieldsUsage count="2">
        <fieldUsage x="-1"/>
        <fieldUsage x="0"/>
      </fieldsUsage>
    </cacheHierarchy>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2" memberValueDatatype="130" unbalanced="0">
      <fieldsUsage count="2">
        <fieldUsage x="-1"/>
        <fieldUsage x="5"/>
      </fieldsUsage>
    </cacheHierarchy>
    <cacheHierarchy uniqueName="[DataBudget2].[Mois (Quarter)]" caption="Mois (Quarter)" attribute="1" defaultMemberUniqueName="[DataBudget2].[Mois (Quarter)].[All]" allUniqueName="[DataBudget2].[Mois (Quarter)].[All]" dimensionUniqueName="[DataBudget2]" displayFolder="" count="2" memberValueDatatype="130" unbalanced="0">
      <fieldsUsage count="2">
        <fieldUsage x="-1"/>
        <fieldUsage x="7"/>
      </fieldsUsage>
    </cacheHierarchy>
    <cacheHierarchy uniqueName="[DataBudget2].[Mois (Month)]" caption="Mois (Month)" attribute="1" defaultMemberUniqueName="[DataBudget2].[Mois (Month)].[All]" allUniqueName="[DataBudget2].[Mois (Month)].[All]" dimensionUniqueName="[DataBudget2]" displayFolder="" count="2" memberValueDatatype="130" unbalanced="0">
      <fieldsUsage count="2">
        <fieldUsage x="-1"/>
        <fieldUsage x="1"/>
      </fieldsUsage>
    </cacheHierarchy>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oneField="1">
      <fieldsUsage count="1">
        <fieldUsage x="2"/>
      </fieldsUsage>
    </cacheHierarchy>
    <cacheHierarchy uniqueName="[Measures].[ABSB2M]" caption="ABSB2M" measure="1" displayFolder="" measureGroup="DataBudget2" count="0" oneField="1">
      <fieldsUsage count="1">
        <fieldUsage x="4"/>
      </fieldsUsage>
    </cacheHierarchy>
    <cacheHierarchy uniqueName="[Measures].[ABSB2LM]" caption="ABSB2LM" measure="1" displayFolder="" measureGroup="DataBudget2" count="0" oneField="1">
      <fieldsUsage count="1">
        <fieldUsage x="3"/>
      </fieldsUsage>
    </cacheHierarchy>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51967595" backgroundQuery="1" createdVersion="8" refreshedVersion="8" minRefreshableVersion="3" recordCount="0" supportSubquery="1" supportAdvancedDrill="1" xr:uid="{76212F51-0FA4-4077-91CD-E86749F209EB}">
  <cacheSource type="external" connectionId="2"/>
  <cacheFields count="6">
    <cacheField name="[DataBudget2].[Cat_2].[Cat_2]" caption="Cat_2" numFmtId="0" hierarchy="15" level="1">
      <sharedItems count="7">
        <s v="Category1"/>
        <s v="Category2"/>
        <s v="Category3"/>
        <s v="Category4"/>
        <s v="Category5"/>
        <s v="Category6"/>
        <s v="Category7"/>
      </sharedItems>
    </cacheField>
    <cacheField name="[DataBudget2].[Cat_1].[Cat_1]" caption="Cat_1" numFmtId="0" hierarchy="14" level="1">
      <sharedItems containsSemiMixedTypes="0" containsNonDate="0" containsString="0"/>
    </cacheField>
    <cacheField name="[Measures].[ABSB2ME]" caption="ABSB2ME" numFmtId="0" hierarchy="84" level="32767"/>
    <cacheField name="[Measures].[ABSB2LM]" caption="ABSB2LM" numFmtId="0" hierarchy="86" level="32767"/>
    <cacheField name="[DataBudget2].[Année].[Année]" caption="Année" numFmtId="0" hierarchy="12" level="1">
      <sharedItems containsSemiMixedTypes="0" containsNonDate="0" containsString="0"/>
    </cacheField>
    <cacheField name="[DataBudget2].[Mois (Quarter)].[Mois (Quarter)]" caption="Mois (Quarter)" numFmtId="0" hierarchy="22"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2" memberValueDatatype="20" unbalanced="0">
      <fieldsUsage count="2">
        <fieldUsage x="-1"/>
        <fieldUsage x="4"/>
      </fieldsUsage>
    </cacheHierarchy>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2" memberValueDatatype="130" unbalanced="0">
      <fieldsUsage count="2">
        <fieldUsage x="-1"/>
        <fieldUsage x="1"/>
      </fieldsUsage>
    </cacheHierarchy>
    <cacheHierarchy uniqueName="[DataBudget2].[Cat_2]" caption="Cat_2" attribute="1" defaultMemberUniqueName="[DataBudget2].[Cat_2].[All]" allUniqueName="[DataBudget2].[Cat_2].[All]" dimensionUniqueName="[DataBudget2]" displayFolder="" count="2" memberValueDatatype="130" unbalanced="0">
      <fieldsUsage count="2">
        <fieldUsage x="-1"/>
        <fieldUsage x="0"/>
      </fieldsUsage>
    </cacheHierarchy>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2" memberValueDatatype="130" unbalanced="0">
      <fieldsUsage count="2">
        <fieldUsage x="-1"/>
        <fieldUsage x="5"/>
      </fieldsUsage>
    </cacheHierarchy>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oneField="1">
      <fieldsUsage count="1">
        <fieldUsage x="2"/>
      </fieldsUsage>
    </cacheHierarchy>
    <cacheHierarchy uniqueName="[Measures].[ABSB2M]" caption="ABSB2M" measure="1" displayFolder="" measureGroup="DataBudget2" count="0"/>
    <cacheHierarchy uniqueName="[Measures].[ABSB2LM]" caption="ABSB2LM" measure="1" displayFolder="" measureGroup="DataBudget2" count="0" oneField="1">
      <fieldsUsage count="1">
        <fieldUsage x="3"/>
      </fieldsUsage>
    </cacheHierarchy>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56134259" backgroundQuery="1" createdVersion="8" refreshedVersion="8" minRefreshableVersion="3" recordCount="0" supportSubquery="1" supportAdvancedDrill="1" xr:uid="{8516C07E-82B8-4AB9-BEB1-122459A7AF98}">
  <cacheSource type="external" connectionId="2"/>
  <cacheFields count="8">
    <cacheField name="[DataBudget2].[Cat_3].[Cat_3]" caption="Cat_3" numFmtId="0" hierarchy="16" level="1">
      <sharedItems count="1">
        <s v="Sub-Category4"/>
      </sharedItems>
    </cacheField>
    <cacheField name="[DataBudget2].[Mois (Year)].[Mois (Year)]" caption="Mois (Year)" numFmtId="0" hierarchy="21" level="1">
      <sharedItems count="1">
        <s v="2025"/>
      </sharedItems>
    </cacheField>
    <cacheField name="[DataBudget2].[Mois (Month)].[Mois (Month)]" caption="Mois (Month)" numFmtId="0" hierarchy="23" level="1">
      <sharedItems count="2">
        <s v="janv"/>
        <s v="févr"/>
      </sharedItems>
    </cacheField>
    <cacheField name="[Measures].[ABSB2ME]" caption="ABSB2ME" numFmtId="0" hierarchy="84" level="32767"/>
    <cacheField name="[Measures].[ABSB2LM]" caption="ABSB2LM" numFmtId="0" hierarchy="86" level="32767"/>
    <cacheField name="[Measures].[ABSB2M]" caption="ABSB2M" numFmtId="0" hierarchy="85" level="32767"/>
    <cacheField name="[DataBudget2].[Année].[Année]" caption="Année" numFmtId="0" hierarchy="12" level="1">
      <sharedItems containsSemiMixedTypes="0" containsNonDate="0" containsString="0"/>
    </cacheField>
    <cacheField name="[DataBudget2].[Mois (Quarter)].[Mois (Quarter)]" caption="Mois (Quarter)" numFmtId="0" hierarchy="22"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2" memberValueDatatype="20" unbalanced="0">
      <fieldsUsage count="2">
        <fieldUsage x="-1"/>
        <fieldUsage x="6"/>
      </fieldsUsage>
    </cacheHierarchy>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2" memberValueDatatype="130" unbalanced="0">
      <fieldsUsage count="2">
        <fieldUsage x="-1"/>
        <fieldUsage x="0"/>
      </fieldsUsage>
    </cacheHierarchy>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2" memberValueDatatype="130" unbalanced="0">
      <fieldsUsage count="2">
        <fieldUsage x="-1"/>
        <fieldUsage x="1"/>
      </fieldsUsage>
    </cacheHierarchy>
    <cacheHierarchy uniqueName="[DataBudget2].[Mois (Quarter)]" caption="Mois (Quarter)" attribute="1" defaultMemberUniqueName="[DataBudget2].[Mois (Quarter)].[All]" allUniqueName="[DataBudget2].[Mois (Quarter)].[All]" dimensionUniqueName="[DataBudget2]" displayFolder="" count="2" memberValueDatatype="130" unbalanced="0">
      <fieldsUsage count="2">
        <fieldUsage x="-1"/>
        <fieldUsage x="7"/>
      </fieldsUsage>
    </cacheHierarchy>
    <cacheHierarchy uniqueName="[DataBudget2].[Mois (Month)]" caption="Mois (Month)" attribute="1" defaultMemberUniqueName="[DataBudget2].[Mois (Month)].[All]" allUniqueName="[DataBudget2].[Mois (Month)].[All]" dimensionUniqueName="[DataBudget2]" displayFolder="" count="2" memberValueDatatype="130" unbalanced="0">
      <fieldsUsage count="2">
        <fieldUsage x="-1"/>
        <fieldUsage x="2"/>
      </fieldsUsage>
    </cacheHierarchy>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oneField="1">
      <fieldsUsage count="1">
        <fieldUsage x="3"/>
      </fieldsUsage>
    </cacheHierarchy>
    <cacheHierarchy uniqueName="[Measures].[ABSB2M]" caption="ABSB2M" measure="1" displayFolder="" measureGroup="DataBudget2" count="0" oneField="1">
      <fieldsUsage count="1">
        <fieldUsage x="5"/>
      </fieldsUsage>
    </cacheHierarchy>
    <cacheHierarchy uniqueName="[Measures].[ABSB2LM]" caption="ABSB2LM" measure="1" displayFolder="" measureGroup="DataBudget2" count="0" oneField="1">
      <fieldsUsage count="1">
        <fieldUsage x="4"/>
      </fieldsUsage>
    </cacheHierarchy>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59490739" backgroundQuery="1" createdVersion="8" refreshedVersion="8" minRefreshableVersion="3" recordCount="0" supportSubquery="1" supportAdvancedDrill="1" xr:uid="{4D8FCD2F-8EC1-4162-A5A8-C3969500C966}">
  <cacheSource type="external" connectionId="2"/>
  <cacheFields count="6">
    <cacheField name="[DataBudget2].[Cat_2].[Cat_2]" caption="Cat_2" numFmtId="0" hierarchy="15" level="1">
      <sharedItems count="3">
        <s v="i1_Income1"/>
        <s v="i2_Savings"/>
        <s v="i3_Income3"/>
      </sharedItems>
    </cacheField>
    <cacheField name="[DataBudget2].[Cat_1].[Cat_1]" caption="Cat_1" numFmtId="0" hierarchy="14" level="1">
      <sharedItems containsSemiMixedTypes="0" containsNonDate="0" containsString="0"/>
    </cacheField>
    <cacheField name="[Measures].[Sum of Montant_Extrap 4]" caption="Sum of Montant_Extrap 4" numFmtId="0" hierarchy="113" level="32767"/>
    <cacheField name="[Measures].[Sum of Last_Montant 2]" caption="Sum of Last_Montant 2" numFmtId="0" hierarchy="115" level="32767"/>
    <cacheField name="[DataBudget2].[Année].[Année]" caption="Année" numFmtId="0" hierarchy="12" level="1">
      <sharedItems containsSemiMixedTypes="0" containsNonDate="0" containsString="0"/>
    </cacheField>
    <cacheField name="[DataBudget2].[Mois (Quarter)].[Mois (Quarter)]" caption="Mois (Quarter)" numFmtId="0" hierarchy="22"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2" memberValueDatatype="20" unbalanced="0">
      <fieldsUsage count="2">
        <fieldUsage x="-1"/>
        <fieldUsage x="4"/>
      </fieldsUsage>
    </cacheHierarchy>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2" memberValueDatatype="130" unbalanced="0">
      <fieldsUsage count="2">
        <fieldUsage x="-1"/>
        <fieldUsage x="1"/>
      </fieldsUsage>
    </cacheHierarchy>
    <cacheHierarchy uniqueName="[DataBudget2].[Cat_2]" caption="Cat_2" attribute="1" defaultMemberUniqueName="[DataBudget2].[Cat_2].[All]" allUniqueName="[DataBudget2].[Cat_2].[All]" dimensionUniqueName="[DataBudget2]" displayFolder="" count="2" memberValueDatatype="130" unbalanced="0">
      <fieldsUsage count="2">
        <fieldUsage x="-1"/>
        <fieldUsage x="0"/>
      </fieldsUsage>
    </cacheHierarchy>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2" memberValueDatatype="130" unbalanced="0">
      <fieldsUsage count="2">
        <fieldUsage x="-1"/>
        <fieldUsage x="5"/>
      </fieldsUsage>
    </cacheHierarchy>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oneField="1" hidden="1">
      <fieldsUsage count="1">
        <fieldUsage x="2"/>
      </fieldsUsage>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oneField="1" hidden="1">
      <fieldsUsage count="1">
        <fieldUsage x="3"/>
      </fieldsUsage>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62731479" backgroundQuery="1" createdVersion="8" refreshedVersion="8" minRefreshableVersion="3" recordCount="0" supportSubquery="1" supportAdvancedDrill="1" xr:uid="{B2C122C8-2BD8-4CEF-89C4-9FD89F13A078}">
  <cacheSource type="external" connectionId="2"/>
  <cacheFields count="7">
    <cacheField name="[DataBudget2].[Cat_2].[Cat_2]" caption="Cat_2" numFmtId="0" hierarchy="15" level="1">
      <sharedItems count="1">
        <s v="Category1"/>
      </sharedItems>
    </cacheField>
    <cacheField name="[DataBudget2].[Cat_3].[Cat_3]" caption="Cat_3" numFmtId="0" hierarchy="16" level="1">
      <sharedItems count="1">
        <s v="Sub-Category1"/>
      </sharedItems>
    </cacheField>
    <cacheField name="[DataBudget2].[Cat_1].[Cat_1]" caption="Cat_1" numFmtId="0" hierarchy="14" level="1">
      <sharedItems containsSemiMixedTypes="0" containsNonDate="0" containsString="0"/>
    </cacheField>
    <cacheField name="[Measures].[ABSB2ME]" caption="ABSB2ME" numFmtId="0" hierarchy="84" level="32767"/>
    <cacheField name="[Measures].[ABSB2LM]" caption="ABSB2LM" numFmtId="0" hierarchy="86" level="32767"/>
    <cacheField name="[DataBudget2].[Année].[Année]" caption="Année" numFmtId="0" hierarchy="12" level="1">
      <sharedItems containsSemiMixedTypes="0" containsNonDate="0" containsString="0"/>
    </cacheField>
    <cacheField name="[DataBudget2].[Mois (Quarter)].[Mois (Quarter)]" caption="Mois (Quarter)" numFmtId="0" hierarchy="22"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2" memberValueDatatype="20" unbalanced="0">
      <fieldsUsage count="2">
        <fieldUsage x="-1"/>
        <fieldUsage x="5"/>
      </fieldsUsage>
    </cacheHierarchy>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2" memberValueDatatype="130" unbalanced="0">
      <fieldsUsage count="2">
        <fieldUsage x="-1"/>
        <fieldUsage x="2"/>
      </fieldsUsage>
    </cacheHierarchy>
    <cacheHierarchy uniqueName="[DataBudget2].[Cat_2]" caption="Cat_2" attribute="1" defaultMemberUniqueName="[DataBudget2].[Cat_2].[All]" allUniqueName="[DataBudget2].[Cat_2].[All]" dimensionUniqueName="[DataBudget2]" displayFolder="" count="2" memberValueDatatype="130" unbalanced="0">
      <fieldsUsage count="2">
        <fieldUsage x="-1"/>
        <fieldUsage x="0"/>
      </fieldsUsage>
    </cacheHierarchy>
    <cacheHierarchy uniqueName="[DataBudget2].[Cat_3]" caption="Cat_3" attribute="1" defaultMemberUniqueName="[DataBudget2].[Cat_3].[All]" allUniqueName="[DataBudget2].[Cat_3].[All]" dimensionUniqueName="[DataBudget2]" displayFolder="" count="2" memberValueDatatype="130" unbalanced="0">
      <fieldsUsage count="2">
        <fieldUsage x="-1"/>
        <fieldUsage x="1"/>
      </fieldsUsage>
    </cacheHierarchy>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2" memberValueDatatype="130" unbalanced="0">
      <fieldsUsage count="2">
        <fieldUsage x="-1"/>
        <fieldUsage x="6"/>
      </fieldsUsage>
    </cacheHierarchy>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oneField="1">
      <fieldsUsage count="1">
        <fieldUsage x="3"/>
      </fieldsUsage>
    </cacheHierarchy>
    <cacheHierarchy uniqueName="[Measures].[ABSB2M]" caption="ABSB2M" measure="1" displayFolder="" measureGroup="DataBudget2" count="0"/>
    <cacheHierarchy uniqueName="[Measures].[ABSB2LM]" caption="ABSB2LM" measure="1" displayFolder="" measureGroup="DataBudget2" count="0" oneField="1">
      <fieldsUsage count="1">
        <fieldUsage x="4"/>
      </fieldsUsage>
    </cacheHierarchy>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73495371" backgroundQuery="1" createdVersion="8" refreshedVersion="8" minRefreshableVersion="3" recordCount="0" supportSubquery="1" supportAdvancedDrill="1" xr:uid="{BF746EA0-B22B-470A-A0FC-EB83F58863AC}">
  <cacheSource type="external" connectionId="2"/>
  <cacheFields count="3">
    <cacheField name="[DataBudget2].[Cat_1].[Cat_1]" caption="Cat_1" numFmtId="0" hierarchy="14" level="1">
      <sharedItems containsSemiMixedTypes="0" containsNonDate="0" containsString="0"/>
    </cacheField>
    <cacheField name="[DataBudget2].[Cat_2].[Cat_2]" caption="Cat_2" numFmtId="0" hierarchy="15" level="1">
      <sharedItems count="7">
        <s v="Category1"/>
        <s v="Category2"/>
        <s v="Category3"/>
        <s v="Category4"/>
        <s v="Category5"/>
        <s v="Category6"/>
        <s v="Category7"/>
      </sharedItems>
    </cacheField>
    <cacheField name="[Measures].[ABSB2ME]" caption="ABSB2ME" numFmtId="0" hierarchy="84" level="32767"/>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2" memberValueDatatype="130" unbalanced="0">
      <fieldsUsage count="2">
        <fieldUsage x="-1"/>
        <fieldUsage x="0"/>
      </fieldsUsage>
    </cacheHierarchy>
    <cacheHierarchy uniqueName="[DataBudget2].[Cat_2]" caption="Cat_2" attribute="1" defaultMemberUniqueName="[DataBudget2].[Cat_2].[All]" allUniqueName="[DataBudget2].[Cat_2].[All]" dimensionUniqueName="[DataBudget2]" displayFolder="" count="2" memberValueDatatype="130" unbalanced="0">
      <fieldsUsage count="2">
        <fieldUsage x="-1"/>
        <fieldUsage x="1"/>
      </fieldsUsage>
    </cacheHierarchy>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oneField="1">
      <fieldsUsage count="1">
        <fieldUsage x="2"/>
      </fieldsUsage>
    </cacheHierarchy>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70370374" backgroundQuery="1" createdVersion="8" refreshedVersion="8" minRefreshableVersion="3" recordCount="0" supportSubquery="1" supportAdvancedDrill="1" xr:uid="{81A77E57-93E9-4308-8B7F-9D41A6038056}">
  <cacheSource type="external" connectionId="2"/>
  <cacheFields count="4">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aster_1].[Cat_3].[Cat_3]" caption="Cat_3" numFmtId="0" hierarchy="59" level="1">
      <sharedItems count="1">
        <s v="Sub-Category3"/>
      </sharedItems>
    </cacheField>
    <cacheField name="[Measures].[Sum of Montant]" caption="Sum of Montant" numFmtId="0" hierarchy="118" level="32767"/>
    <cacheField name="[Master_1].[Mois (Name)].[Mois (Name)]" caption="Mois (Name)" numFmtId="0" hierarchy="62" level="1">
      <sharedItems count="12">
        <s v="Jan"/>
        <s v="Feb"/>
        <s v="Mar"/>
        <s v="Apr"/>
        <s v="May"/>
        <s v="Jun"/>
        <s v="Jul"/>
        <s v="Aug"/>
        <s v="Sep"/>
        <s v="Oct"/>
        <s v="Nov"/>
        <s v="Dec"/>
      </sharedItems>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0"/>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2" memberValueDatatype="130" unbalanced="0">
      <fieldsUsage count="2">
        <fieldUsage x="-1"/>
        <fieldUsage x="1"/>
      </fieldsUsage>
    </cacheHierarchy>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72106483" backgroundQuery="1" createdVersion="8" refreshedVersion="8" minRefreshableVersion="3" recordCount="0" supportSubquery="1" supportAdvancedDrill="1" xr:uid="{7696117F-895A-4CC4-9BA2-9C53E69642FF}">
  <cacheSource type="external" connectionId="2"/>
  <cacheFields count="4">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aster_1].[Cat_3].[Cat_3]" caption="Cat_3" numFmtId="0" hierarchy="59" level="1">
      <sharedItems count="10">
        <s v="Savings"/>
        <s v="Sub-Category1"/>
        <s v="Sub-Category2"/>
        <s v="Sub-Category3"/>
        <s v="Sub-Category4"/>
        <s v="Sub-Category5"/>
        <s v="Sub-Category6"/>
        <s v="Sub-Category7"/>
        <s v="Sub-Income1"/>
        <s v="Sub-Income3"/>
      </sharedItems>
    </cacheField>
    <cacheField name="[Measures].[Sum of Montant]" caption="Sum of Montant" numFmtId="0" hierarchy="118" level="32767"/>
    <cacheField name="[Master_1].[Mois (Name)].[Mois (Name)]" caption="Mois (Name)" numFmtId="0" hierarchy="62" level="1">
      <sharedItems count="12">
        <s v="Jan"/>
        <s v="Feb"/>
        <s v="Mar"/>
        <s v="Apr"/>
        <s v="May"/>
        <s v="Jun"/>
        <s v="Jul"/>
        <s v="Aug"/>
        <s v="Sep"/>
        <s v="Oct"/>
        <s v="Nov"/>
        <s v="Dec"/>
      </sharedItems>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0"/>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2" memberValueDatatype="130" unbalanced="0">
      <fieldsUsage count="2">
        <fieldUsage x="-1"/>
        <fieldUsage x="1"/>
      </fieldsUsage>
    </cacheHierarchy>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73726853" backgroundQuery="1" createdVersion="8" refreshedVersion="8" minRefreshableVersion="3" recordCount="0" supportSubquery="1" supportAdvancedDrill="1" xr:uid="{EF0B6965-6DA5-4A2F-AC76-BEA43CE28305}">
  <cacheSource type="external" connectionId="2"/>
  <cacheFields count="4">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aster_1].[Cat_3].[Cat_3]" caption="Cat_3" numFmtId="0" hierarchy="59" level="1">
      <sharedItems count="1">
        <s v="Sub-Category3"/>
      </sharedItems>
    </cacheField>
    <cacheField name="[Measures].[Sum of Montant]" caption="Sum of Montant" numFmtId="0" hierarchy="118" level="32767"/>
    <cacheField name="[Master_1].[Mois (Name)].[Mois (Name)]" caption="Mois (Name)" numFmtId="0" hierarchy="62" level="1">
      <sharedItems count="12">
        <s v="Jan"/>
        <s v="Feb"/>
        <s v="Mar"/>
        <s v="Apr"/>
        <s v="May"/>
        <s v="Jun"/>
        <s v="Jul"/>
        <s v="Aug"/>
        <s v="Sep"/>
        <s v="Oct"/>
        <s v="Nov"/>
        <s v="Dec"/>
      </sharedItems>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0"/>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2" memberValueDatatype="130" unbalanced="0">
      <fieldsUsage count="2">
        <fieldUsage x="-1"/>
        <fieldUsage x="1"/>
      </fieldsUsage>
    </cacheHierarchy>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75347223" backgroundQuery="1" createdVersion="8" refreshedVersion="8" minRefreshableVersion="3" recordCount="0" supportSubquery="1" supportAdvancedDrill="1" xr:uid="{BF8B52E3-EA19-4A53-95F2-F1948A59F40B}">
  <cacheSource type="external" connectionId="2"/>
  <cacheFields count="4">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aster_1].[Cat_3].[Cat_3]" caption="Cat_3" numFmtId="0" hierarchy="59" level="1">
      <sharedItems count="1">
        <s v="Sub-Category3"/>
      </sharedItems>
    </cacheField>
    <cacheField name="[Measures].[Sum of Montant]" caption="Sum of Montant" numFmtId="0" hierarchy="118" level="32767"/>
    <cacheField name="[Master_1].[Mois (Name)].[Mois (Name)]" caption="Mois (Name)" numFmtId="0" hierarchy="62" level="1">
      <sharedItems count="12">
        <s v="Jan"/>
        <s v="Feb"/>
        <s v="Mar"/>
        <s v="Apr"/>
        <s v="May"/>
        <s v="Jun"/>
        <s v="Jul"/>
        <s v="Aug"/>
        <s v="Sep"/>
        <s v="Oct"/>
        <s v="Nov"/>
        <s v="Dec"/>
      </sharedItems>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0"/>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2" memberValueDatatype="130" unbalanced="0">
      <fieldsUsage count="2">
        <fieldUsage x="-1"/>
        <fieldUsage x="1"/>
      </fieldsUsage>
    </cacheHierarchy>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76851855" backgroundQuery="1" createdVersion="8" refreshedVersion="8" minRefreshableVersion="3" recordCount="0" supportSubquery="1" supportAdvancedDrill="1" xr:uid="{FEB49A76-4A36-4211-925C-4D5476562D59}">
  <cacheSource type="external" connectionId="2"/>
  <cacheFields count="4">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aster_1].[Cat_3].[Cat_3]" caption="Cat_3" numFmtId="0" hierarchy="59" level="1">
      <sharedItems count="1">
        <s v="Sub-Category3"/>
      </sharedItems>
    </cacheField>
    <cacheField name="[Measures].[Sum of Montant]" caption="Sum of Montant" numFmtId="0" hierarchy="118" level="32767"/>
    <cacheField name="[Master_1].[Mois (Name)].[Mois (Name)]" caption="Mois (Name)" numFmtId="0" hierarchy="62" level="1">
      <sharedItems count="12">
        <s v="Jan"/>
        <s v="Feb"/>
        <s v="Mar"/>
        <s v="Apr"/>
        <s v="May"/>
        <s v="Jun"/>
        <s v="Jul"/>
        <s v="Aug"/>
        <s v="Sep"/>
        <s v="Oct"/>
        <s v="Nov"/>
        <s v="Dec"/>
      </sharedItems>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0"/>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2" memberValueDatatype="130" unbalanced="0">
      <fieldsUsage count="2">
        <fieldUsage x="-1"/>
        <fieldUsage x="1"/>
      </fieldsUsage>
    </cacheHierarchy>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78472225" backgroundQuery="1" createdVersion="8" refreshedVersion="8" minRefreshableVersion="3" recordCount="0" supportSubquery="1" supportAdvancedDrill="1" xr:uid="{262861E1-47C3-4455-AAFC-F88540502F32}">
  <cacheSource type="external" connectionId="2"/>
  <cacheFields count="4">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aster_1].[Cat_3].[Cat_3]" caption="Cat_3" numFmtId="0" hierarchy="59" level="1">
      <sharedItems count="1">
        <s v="Sub-Category3"/>
      </sharedItems>
    </cacheField>
    <cacheField name="[Measures].[Sum of Montant]" caption="Sum of Montant" numFmtId="0" hierarchy="118" level="32767"/>
    <cacheField name="[Master_1].[Mois (Name)].[Mois (Name)]" caption="Mois (Name)" numFmtId="0" hierarchy="62" level="1">
      <sharedItems count="12">
        <s v="Jan"/>
        <s v="Feb"/>
        <s v="Mar"/>
        <s v="Apr"/>
        <s v="May"/>
        <s v="Jun"/>
        <s v="Jul"/>
        <s v="Aug"/>
        <s v="Sep"/>
        <s v="Oct"/>
        <s v="Nov"/>
        <s v="Dec"/>
      </sharedItems>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0"/>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2" memberValueDatatype="130" unbalanced="0">
      <fieldsUsage count="2">
        <fieldUsage x="-1"/>
        <fieldUsage x="1"/>
      </fieldsUsage>
    </cacheHierarchy>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89467594" backgroundQuery="1" createdVersion="8" refreshedVersion="8" minRefreshableVersion="3" recordCount="0" supportSubquery="1" supportAdvancedDrill="1" xr:uid="{81A11073-75DC-419C-84E0-1E9BA1948E26}">
  <cacheSource type="external" connectionId="2"/>
  <cacheFields count="8">
    <cacheField name="[Master_1].[Cat_2].[Cat_2]" caption="Cat_2" numFmtId="0" hierarchy="58" level="1">
      <sharedItems count="1">
        <s v="Category3"/>
      </sharedItems>
    </cacheField>
    <cacheField name="[Master_1].[Cat_3].[Cat_3]" caption="Cat_3" numFmtId="0" hierarchy="59" level="1">
      <sharedItems count="1">
        <s v="Sub-Category3"/>
      </sharedItems>
    </cacheField>
    <cacheField name="[Master_1].[Cat_1].[Cat_1]" caption="Cat_1" numFmtId="0" hierarchy="57" level="1">
      <sharedItems containsSemiMixedTypes="0" containsNonDate="0" containsString="0"/>
    </cacheField>
    <cacheField name="[Measures].[Sum of Montant]" caption="Sum of Montant" numFmtId="0" hierarchy="118" level="32767"/>
    <cacheField name="[Master_1].[Mois (Name)].[Mois (Name)]" caption="Mois (Name)" numFmtId="0" hierarchy="62" level="1">
      <sharedItems containsSemiMixedTypes="0" containsNonDate="0" containsString="0"/>
    </cacheField>
    <cacheField name="[Master_1].[Mois (Quarter)].[Mois (Quarter)]" caption="Mois (Quarter)" numFmtId="0" hierarchy="66" level="1">
      <sharedItems containsSemiMixedTypes="0" containsNonDate="0" containsString="0"/>
    </cacheField>
    <cacheField name="[Master_1].[Année].[Année]" caption="Année" numFmtId="0" hierarchy="55" level="1">
      <sharedItems containsSemiMixedTypes="0" containsNonDate="0" containsString="0"/>
    </cacheField>
    <cacheField name="Dummy0" numFmtId="0" hierarchy="119" level="32767">
      <extLst>
        <ext xmlns:x14="http://schemas.microsoft.com/office/spreadsheetml/2009/9/main" uri="{63CAB8AC-B538-458d-9737-405883B0398D}">
          <x14:cacheField ignore="1"/>
        </ext>
      </extLst>
    </cacheField>
  </cacheFields>
  <cacheHierarchies count="120">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6"/>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2" memberValueDatatype="130" unbalanced="0">
      <fieldsUsage count="2">
        <fieldUsage x="-1"/>
        <fieldUsage x="2"/>
      </fieldsUsage>
    </cacheHierarchy>
    <cacheHierarchy uniqueName="[Master_1].[Cat_2]" caption="Cat_2" attribute="1" defaultMemberUniqueName="[Master_1].[Cat_2].[All]" allUniqueName="[Master_1].[Cat_2].[All]" dimensionUniqueName="[Master_1]" displayFolder="" count="2" memberValueDatatype="130" unbalanced="0">
      <fieldsUsage count="2">
        <fieldUsage x="-1"/>
        <fieldUsage x="0"/>
      </fieldsUsage>
    </cacheHierarchy>
    <cacheHierarchy uniqueName="[Master_1].[Cat_3]" caption="Cat_3" attribute="1" defaultMemberUniqueName="[Master_1].[Cat_3].[All]" allUniqueName="[Master_1].[Cat_3].[All]" dimensionUniqueName="[Master_1]" displayFolder="" count="2" memberValueDatatype="130" unbalanced="0">
      <fieldsUsage count="2">
        <fieldUsage x="-1"/>
        <fieldUsage x="1"/>
      </fieldsUsage>
    </cacheHierarchy>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4"/>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fieldsUsage count="2">
        <fieldUsage x="-1"/>
        <fieldUsage x="5"/>
      </fieldsUsage>
    </cacheHierarchy>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3"/>
      </fieldsUsage>
      <extLst>
        <ext xmlns:x15="http://schemas.microsoft.com/office/spreadsheetml/2010/11/main" uri="{B97F6D7D-B522-45F9-BDA1-12C45D357490}">
          <x15:cacheHierarchy aggregatedColumn="61"/>
        </ext>
      </extLst>
    </cacheHierarchy>
    <cacheHierarchy uniqueName="Dummy0" caption="Année" measure="1" count="0">
      <extLst>
        <ext xmlns:x14="http://schemas.microsoft.com/office/spreadsheetml/2009/9/main" uri="{8CF416AD-EC4C-4aba-99F5-12A058AE0983}">
          <x14:cacheHierarchy ignore="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91203703" backgroundQuery="1" createdVersion="8" refreshedVersion="8" minRefreshableVersion="3" recordCount="0" supportSubquery="1" supportAdvancedDrill="1" xr:uid="{CBE2D467-21F0-44EE-BC06-9A6FCFB1EFB4}">
  <cacheSource type="external" connectionId="2"/>
  <cacheFields count="6">
    <cacheField name="[Master_1].[Cat_1].[Cat_1]" caption="Cat_1" numFmtId="0" hierarchy="57" level="1">
      <sharedItems containsSemiMixedTypes="0" containsNonDate="0" containsString="0"/>
    </cacheField>
    <cacheField name="[Master_1].[Cat_2].[Cat_2]" caption="Cat_2" numFmtId="0" hierarchy="58" level="1">
      <sharedItems count="3">
        <s v="i1_Income1"/>
        <s v="i2_Savings"/>
        <s v="i3_Income3"/>
      </sharedItems>
    </cacheField>
    <cacheField name="[Measures].[Sum of Montant]" caption="Sum of Montant" numFmtId="0" hierarchy="118" level="32767"/>
    <cacheField name="[Master_1].[Mois (Name)].[Mois (Name)]" caption="Mois (Name)" numFmtId="0" hierarchy="62" level="1">
      <sharedItems containsSemiMixedTypes="0" containsNonDate="0" containsString="0"/>
    </cacheField>
    <cacheField name="[Master_1].[Mois (Quarter)].[Mois (Quarter)]" caption="Mois (Quarter)" numFmtId="0" hierarchy="66" level="1">
      <sharedItems containsSemiMixedTypes="0" containsNonDate="0" containsString="0"/>
    </cacheField>
    <cacheField name="[Master_1].[Année].[Année]" caption="Année" numFmtId="0" hierarchy="55"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5"/>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2" memberValueDatatype="130" unbalanced="0">
      <fieldsUsage count="2">
        <fieldUsage x="-1"/>
        <fieldUsage x="0"/>
      </fieldsUsage>
    </cacheHierarchy>
    <cacheHierarchy uniqueName="[Master_1].[Cat_2]" caption="Cat_2" attribute="1" defaultMemberUniqueName="[Master_1].[Cat_2].[All]" allUniqueName="[Master_1].[Cat_2].[All]" dimensionUniqueName="[Master_1]" displayFolder="" count="2" memberValueDatatype="130" unbalanced="0">
      <fieldsUsage count="2">
        <fieldUsage x="-1"/>
        <fieldUsage x="1"/>
      </fieldsUsage>
    </cacheHierarchy>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fieldsUsage count="2">
        <fieldUsage x="-1"/>
        <fieldUsage x="4"/>
      </fieldsUsage>
    </cacheHierarchy>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92708335" backgroundQuery="1" createdVersion="8" refreshedVersion="8" minRefreshableVersion="3" recordCount="0" supportSubquery="1" supportAdvancedDrill="1" xr:uid="{8ED8950A-E88D-4FCF-B645-51640CE93EF7}">
  <cacheSource type="external" connectionId="2"/>
  <cacheFields count="5">
    <cacheField name="[Master_1].[Cat_1].[Cat_1]" caption="Cat_1" numFmtId="0" hierarchy="57" level="1">
      <sharedItems count="1">
        <s v="Dépense"/>
      </sharedItems>
    </cacheField>
    <cacheField name="[Measures].[Sum of Montant]" caption="Sum of Montant" numFmtId="0" hierarchy="118" level="32767"/>
    <cacheField name="[Master_1].[Mois (Name)].[Mois (Name)]" caption="Mois (Name)" numFmtId="0" hierarchy="62" level="1">
      <sharedItems containsSemiMixedTypes="0" containsNonDate="0" containsString="0"/>
    </cacheField>
    <cacheField name="[Master_1].[Mois (Quarter)].[Mois (Quarter)]" caption="Mois (Quarter)" numFmtId="0" hierarchy="66" level="1">
      <sharedItems containsSemiMixedTypes="0" containsNonDate="0" containsString="0"/>
    </cacheField>
    <cacheField name="[Master_1].[Année].[Année]" caption="Année" numFmtId="0" hierarchy="55"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4"/>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2" memberValueDatatype="130" unbalanced="0">
      <fieldsUsage count="2">
        <fieldUsage x="-1"/>
        <fieldUsage x="0"/>
      </fieldsUsage>
    </cacheHierarchy>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2"/>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fieldsUsage count="2">
        <fieldUsage x="-1"/>
        <fieldUsage x="3"/>
      </fieldsUsage>
    </cacheHierarchy>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1"/>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94444444" backgroundQuery="1" createdVersion="8" refreshedVersion="8" minRefreshableVersion="3" recordCount="0" supportSubquery="1" supportAdvancedDrill="1" xr:uid="{F30AE358-BC77-4EE8-9F80-70D5BA17BE27}">
  <cacheSource type="external" connectionId="2"/>
  <cacheFields count="5">
    <cacheField name="[Master_1].[Mois (Name)].[Mois (Name)]" caption="Mois (Name)" numFmtId="0" hierarchy="62" level="1">
      <sharedItems count="12">
        <s v="Jan"/>
        <s v="Feb"/>
        <s v="Mar"/>
        <s v="Apr"/>
        <s v="May"/>
        <s v="Jun"/>
        <s v="Jul"/>
        <s v="Aug"/>
        <s v="Sep"/>
        <s v="Oct"/>
        <s v="Nov"/>
        <s v="Dec"/>
      </sharedItems>
    </cacheField>
    <cacheField name="[Measures].[Sum of Montant]" caption="Sum of Montant" numFmtId="0" hierarchy="118" level="32767"/>
    <cacheField name="[Master_1].[Mois (Quarter)].[Mois (Quarter)]" caption="Mois (Quarter)" numFmtId="0" hierarchy="66" level="1">
      <sharedItems containsSemiMixedTypes="0" containsNonDate="0" containsString="0"/>
    </cacheField>
    <cacheField name="[Master_1].[Année].[Année]" caption="Année" numFmtId="0" hierarchy="55" level="1">
      <sharedItems containsSemiMixedTypes="0" containsNonDate="0" containsString="0"/>
    </cacheField>
    <cacheField name="[Master_1].[Cat_2].[Cat_2]" caption="Cat_2" numFmtId="0" hierarchy="58"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3"/>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2" memberValueDatatype="130" unbalanced="0">
      <fieldsUsage count="2">
        <fieldUsage x="-1"/>
        <fieldUsage x="4"/>
      </fieldsUsage>
    </cacheHierarchy>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0"/>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fieldsUsage count="2">
        <fieldUsage x="-1"/>
        <fieldUsage x="2"/>
      </fieldsUsage>
    </cacheHierarchy>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1"/>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96064814" backgroundQuery="1" createdVersion="8" refreshedVersion="8" minRefreshableVersion="3" recordCount="0" supportSubquery="1" supportAdvancedDrill="1" xr:uid="{5F04C8A7-5793-41CE-8671-B7DA3ADE84AB}">
  <cacheSource type="external" connectionId="2"/>
  <cacheFields count="5">
    <cacheField name="[Master_1].[Mois (Name)].[Mois (Name)]" caption="Mois (Name)" numFmtId="0" hierarchy="62" level="1">
      <sharedItems count="12">
        <s v="Jan"/>
        <s v="Feb"/>
        <s v="Mar"/>
        <s v="Apr"/>
        <s v="May"/>
        <s v="Jun"/>
        <s v="Jul"/>
        <s v="Aug"/>
        <s v="Sep"/>
        <s v="Oct"/>
        <s v="Nov"/>
        <s v="Dec"/>
      </sharedItems>
    </cacheField>
    <cacheField name="[Measures].[Sum of Montant]" caption="Sum of Montant" numFmtId="0" hierarchy="118" level="32767"/>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aster_1].[Mois (Quarter)].[Mois (Quarter)]" caption="Mois (Quarter)" numFmtId="0" hierarchy="66" level="1">
      <sharedItems containsSemiMixedTypes="0" containsNonDate="0" containsString="0"/>
    </cacheField>
    <cacheField name="[Master_1].[Cat_2].[Cat_2]" caption="Cat_2" numFmtId="0" hierarchy="58"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2"/>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2" memberValueDatatype="130" unbalanced="0">
      <fieldsUsage count="2">
        <fieldUsage x="-1"/>
        <fieldUsage x="4"/>
      </fieldsUsage>
    </cacheHierarchy>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0"/>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fieldsUsage count="2">
        <fieldUsage x="-1"/>
        <fieldUsage x="3"/>
      </fieldsUsage>
    </cacheHierarchy>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1"/>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97685184" backgroundQuery="1" createdVersion="8" refreshedVersion="8" minRefreshableVersion="3" recordCount="0" supportSubquery="1" supportAdvancedDrill="1" xr:uid="{4D8515F3-55D1-487A-9ABD-1E3488090AA2}">
  <cacheSource type="external" connectionId="2"/>
  <cacheFields count="5">
    <cacheField name="[Master_1].[Cat_2].[Cat_2]" caption="Cat_2" numFmtId="0" hierarchy="58" level="1">
      <sharedItems count="3">
        <s v="i1_Income1"/>
        <s v="i2_Savings"/>
        <s v="i3_Income3"/>
      </sharedItems>
    </cacheField>
    <cacheField name="[Measures].[Sum of Montant]" caption="Sum of Montant" numFmtId="0" hierarchy="118" level="32767"/>
    <cacheField name="[Master_1].[Cat_1].[Cat_1]" caption="Cat_1" numFmtId="0" hierarchy="57" level="1">
      <sharedItems containsSemiMixedTypes="0" containsNonDate="0" containsString="0"/>
    </cacheField>
    <cacheField name="[Master_1].[Mois (Name)].[Mois (Name)]" caption="Mois (Name)" numFmtId="0" hierarchy="62" level="1">
      <sharedItems containsSemiMixedTypes="0" containsNonDate="0" containsString="0"/>
    </cacheField>
    <cacheField name="[Master_1].[Année].[Année]" caption="Année" numFmtId="0" hierarchy="55"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4"/>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2" memberValueDatatype="130" unbalanced="0">
      <fieldsUsage count="2">
        <fieldUsage x="-1"/>
        <fieldUsage x="2"/>
      </fieldsUsage>
    </cacheHierarchy>
    <cacheHierarchy uniqueName="[Master_1].[Cat_2]" caption="Cat_2" attribute="1" defaultMemberUniqueName="[Master_1].[Cat_2].[All]" allUniqueName="[Master_1].[Cat_2].[All]" dimensionUniqueName="[Master_1]" displayFolder="" count="2" memberValueDatatype="130" unbalanced="0">
      <fieldsUsage count="2">
        <fieldUsage x="-1"/>
        <fieldUsage x="0"/>
      </fieldsUsage>
    </cacheHierarchy>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1"/>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99421293" backgroundQuery="1" createdVersion="8" refreshedVersion="8" minRefreshableVersion="3" recordCount="0" supportSubquery="1" supportAdvancedDrill="1" xr:uid="{E5BCF6ED-6EFA-4C18-8EB8-FD7D85A8306E}">
  <cacheSource type="external" connectionId="2"/>
  <cacheFields count="5">
    <cacheField name="[Master_1].[Mois (Name)].[Mois (Name)]" caption="Mois (Name)" numFmtId="0" hierarchy="62" level="1">
      <sharedItems count="12">
        <s v="Jan"/>
        <s v="Feb"/>
        <s v="Mar"/>
        <s v="Apr"/>
        <s v="May"/>
        <s v="Jun"/>
        <s v="Jul"/>
        <s v="Aug"/>
        <s v="Sep"/>
        <s v="Oct"/>
        <s v="Nov"/>
        <s v="Dec"/>
      </sharedItems>
    </cacheField>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easures].[Sum of Montant]" caption="Sum of Montant" numFmtId="0" hierarchy="118" level="32767"/>
    <cacheField name="[Master_1].[Mois (Quarter)].[Mois (Quarter)]" caption="Mois (Quarter)" numFmtId="0" hierarchy="66" level="1">
      <sharedItems containsSemiMixedTypes="0" containsNonDate="0" containsString="0"/>
    </cacheField>
    <cacheField name="[Master_1].[Cat_2].[Cat_2]" caption="Cat_2" numFmtId="0" hierarchy="58"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1"/>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2" memberValueDatatype="130" unbalanced="0">
      <fieldsUsage count="2">
        <fieldUsage x="-1"/>
        <fieldUsage x="4"/>
      </fieldsUsage>
    </cacheHierarchy>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0"/>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fieldsUsage count="2">
        <fieldUsage x="-1"/>
        <fieldUsage x="3"/>
      </fieldsUsage>
    </cacheHierarchy>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201273148" backgroundQuery="1" createdVersion="8" refreshedVersion="8" minRefreshableVersion="3" recordCount="0" supportSubquery="1" supportAdvancedDrill="1" xr:uid="{BCF1456F-1D6C-4DE9-A571-E830ECFB38F7}">
  <cacheSource type="external" connectionId="2"/>
  <cacheFields count="7">
    <cacheField name="[Master_1].[Cat_1].[Cat_1]" caption="Cat_1" numFmtId="0" hierarchy="57" level="1">
      <sharedItems containsSemiMixedTypes="0" containsNonDate="0" containsString="0"/>
    </cacheField>
    <cacheField name="[Master_1].[Cat_2].[Cat_2]" caption="Cat_2" numFmtId="0" hierarchy="58" level="1">
      <sharedItems count="7">
        <s v="Category1"/>
        <s v="Category2"/>
        <s v="Category3"/>
        <s v="Category4"/>
        <s v="Category5"/>
        <s v="Category6"/>
        <s v="Category7"/>
      </sharedItems>
    </cacheField>
    <cacheField name="[Measures].[Sum of Montant]" caption="Sum of Montant" numFmtId="0" hierarchy="118" level="32767"/>
    <cacheField name="[Master_1].[Mois (Name)].[Mois (Name)]" caption="Mois (Name)" numFmtId="0" hierarchy="62" level="1">
      <sharedItems containsSemiMixedTypes="0" containsNonDate="0" containsString="0"/>
    </cacheField>
    <cacheField name="[Master_1].[Mois (Quarter)].[Mois (Quarter)]" caption="Mois (Quarter)" numFmtId="0" hierarchy="66" level="1">
      <sharedItems containsSemiMixedTypes="0" containsNonDate="0" containsString="0"/>
    </cacheField>
    <cacheField name="[Master_1].[Année].[Année]" caption="Année" numFmtId="0" hierarchy="55" level="1">
      <sharedItems containsSemiMixedTypes="0" containsNonDate="0" containsString="0"/>
    </cacheField>
    <cacheField name="Dummy0" numFmtId="0" hierarchy="119" level="32767">
      <extLst>
        <ext xmlns:x14="http://schemas.microsoft.com/office/spreadsheetml/2009/9/main" uri="{63CAB8AC-B538-458d-9737-405883B0398D}">
          <x14:cacheField ignore="1"/>
        </ext>
      </extLst>
    </cacheField>
  </cacheFields>
  <cacheHierarchies count="120">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5"/>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2" memberValueDatatype="130" unbalanced="0">
      <fieldsUsage count="2">
        <fieldUsage x="-1"/>
        <fieldUsage x="0"/>
      </fieldsUsage>
    </cacheHierarchy>
    <cacheHierarchy uniqueName="[Master_1].[Cat_2]" caption="Cat_2" attribute="1" defaultMemberUniqueName="[Master_1].[Cat_2].[All]" allUniqueName="[Master_1].[Cat_2].[All]" dimensionUniqueName="[Master_1]" displayFolder="" count="2" memberValueDatatype="130" unbalanced="0">
      <fieldsUsage count="2">
        <fieldUsage x="-1"/>
        <fieldUsage x="1"/>
      </fieldsUsage>
    </cacheHierarchy>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3"/>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fieldsUsage count="2">
        <fieldUsage x="-1"/>
        <fieldUsage x="4"/>
      </fieldsUsage>
    </cacheHierarchy>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2"/>
      </fieldsUsage>
      <extLst>
        <ext xmlns:x15="http://schemas.microsoft.com/office/spreadsheetml/2010/11/main" uri="{B97F6D7D-B522-45F9-BDA1-12C45D357490}">
          <x15:cacheHierarchy aggregatedColumn="61"/>
        </ext>
      </extLst>
    </cacheHierarchy>
    <cacheHierarchy uniqueName="Dummy0" caption="Année" measure="1" count="0">
      <extLst>
        <ext xmlns:x14="http://schemas.microsoft.com/office/spreadsheetml/2009/9/main" uri="{8CF416AD-EC4C-4aba-99F5-12A058AE0983}">
          <x14:cacheHierarchy ignore="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212731479" backgroundQuery="1" createdVersion="8" refreshedVersion="8" minRefreshableVersion="3" recordCount="0" supportSubquery="1" supportAdvancedDrill="1" xr:uid="{1EC176ED-2D5D-42D2-BD4A-04872690FB7D}">
  <cacheSource type="external" connectionId="2"/>
  <cacheFields count="5">
    <cacheField name="[Master_1].[Mois (Name)].[Mois (Name)]" caption="Mois (Name)" numFmtId="0" hierarchy="62" level="1">
      <sharedItems count="12">
        <s v="Jan"/>
        <s v="Feb"/>
        <s v="Mar"/>
        <s v="Apr"/>
        <s v="May"/>
        <s v="Jun"/>
        <s v="Jul"/>
        <s v="Aug"/>
        <s v="Sep"/>
        <s v="Oct"/>
        <s v="Nov"/>
        <s v="Dec"/>
      </sharedItems>
    </cacheField>
    <cacheField name="[Measures].[Sum of Montant]" caption="Sum of Montant" numFmtId="0" hierarchy="118" level="32767"/>
    <cacheField name="[Master_1].[Année].[Année]" caption="Année" numFmtId="0" hierarchy="55" level="1">
      <sharedItems containsSemiMixedTypes="0" containsString="0" containsNumber="1" containsInteger="1" minValue="2025" maxValue="2025" count="1">
        <n v="2025"/>
      </sharedItems>
      <extLst>
        <ext xmlns:x15="http://schemas.microsoft.com/office/spreadsheetml/2010/11/main" uri="{4F2E5C28-24EA-4eb8-9CBF-B6C8F9C3D259}">
          <x15:cachedUniqueNames>
            <x15:cachedUniqueName index="0" name="[Master_1].[Année].&amp;[2025]"/>
          </x15:cachedUniqueNames>
        </ext>
      </extLst>
    </cacheField>
    <cacheField name="[Master_1].[Mois (Quarter)].[Mois (Quarter)]" caption="Mois (Quarter)" numFmtId="0" hierarchy="66" level="1">
      <sharedItems containsSemiMixedTypes="0" containsNonDate="0" containsString="0"/>
    </cacheField>
    <cacheField name="[Master_1].[Cat_2].[Cat_2]" caption="Cat_2" numFmtId="0" hierarchy="58" level="1">
      <sharedItems containsSemiMixedTypes="0" containsNonDate="0" containsString="0"/>
    </cacheField>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fieldsUsage count="2">
        <fieldUsage x="-1"/>
        <fieldUsage x="2"/>
      </fieldsUsage>
    </cacheHierarchy>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2" memberValueDatatype="130" unbalanced="0">
      <fieldsUsage count="2">
        <fieldUsage x="-1"/>
        <fieldUsage x="4"/>
      </fieldsUsage>
    </cacheHierarchy>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fieldsUsage count="2">
        <fieldUsage x="-1"/>
        <fieldUsage x="0"/>
      </fieldsUsage>
    </cacheHierarchy>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fieldsUsage count="2">
        <fieldUsage x="-1"/>
        <fieldUsage x="3"/>
      </fieldsUsage>
    </cacheHierarchy>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oneField="1" hidden="1">
      <fieldsUsage count="1">
        <fieldUsage x="1"/>
      </fieldsUsage>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21863426" backgroundQuery="1" createdVersion="8" refreshedVersion="8" minRefreshableVersion="3" recordCount="0" supportSubquery="1" supportAdvancedDrill="1" xr:uid="{FE69B550-F88A-4E4A-995F-01D6DBDDA0A3}">
  <cacheSource type="external" connectionId="2"/>
  <cacheFields count="5">
    <cacheField name="[Budget1Data].[Mois (Quarter)].[Mois (Quarter)]" caption="Mois (Quarter)" numFmtId="0" hierarchy="9" level="1">
      <sharedItems count="1">
        <s v="Qtr1"/>
      </sharedItems>
    </cacheField>
    <cacheField name="[Budget1Data].[Cat_2].[Cat_2]" caption="Cat_2" numFmtId="0" hierarchy="3" level="1">
      <sharedItems count="7">
        <s v="Category1"/>
        <s v="Category2"/>
        <s v="Category3"/>
        <s v="Category4"/>
        <s v="Category5"/>
        <s v="Category6"/>
        <s v="Category7"/>
      </sharedItems>
    </cacheField>
    <cacheField name="[Measures].[ABSMontantE]" caption="ABSMontantE" numFmtId="0" hierarchy="81" level="32767"/>
    <cacheField name="[Budget1Data].[Année].[Année]" caption="Année" numFmtId="0" level="1">
      <sharedItems containsSemiMixedTypes="0" containsString="0" containsNumber="1" containsInteger="1" minValue="2025" maxValue="2026" count="2">
        <n v="2025"/>
        <n v="2026"/>
      </sharedItems>
      <extLst>
        <ext xmlns:x15="http://schemas.microsoft.com/office/spreadsheetml/2010/11/main" uri="{4F2E5C28-24EA-4eb8-9CBF-B6C8F9C3D259}">
          <x15:cachedUniqueNames>
            <x15:cachedUniqueName index="0" name="[Budget1Data].[Année].&amp;[2025]"/>
            <x15:cachedUniqueName index="1" name="[Budget1Data].[Année].&amp;[2026]"/>
          </x15:cachedUniqueNames>
        </ext>
      </extLst>
    </cacheField>
    <cacheField name="[Measures].[ABSB1M]" caption="ABSB1M" numFmtId="0" hierarchy="82" level="32767"/>
  </cacheFields>
  <cacheHierarchies count="119">
    <cacheHierarchy uniqueName="[Budget1Data].[Année]" caption="Année" attribute="1" defaultMemberUniqueName="[Budget1Data].[Année].[All]" allUniqueName="[Budget1Data].[Année].[All]" dimensionUniqueName="[Budget1Data]" displayFolder="" count="2" memberValueDatatype="20" unbalanced="0">
      <fieldsUsage count="2">
        <fieldUsage x="-1"/>
        <fieldUsage x="3"/>
      </fieldsUsage>
    </cacheHierarchy>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2" memberValueDatatype="130" unbalanced="0">
      <fieldsUsage count="2">
        <fieldUsage x="-1"/>
        <fieldUsage x="1"/>
      </fieldsUsage>
    </cacheHierarchy>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2" memberValueDatatype="130" unbalanced="0">
      <fieldsUsage count="2">
        <fieldUsage x="-1"/>
        <fieldUsage x="0"/>
      </fieldsUsage>
    </cacheHierarchy>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oneField="1">
      <fieldsUsage count="1">
        <fieldUsage x="2"/>
      </fieldsUsage>
    </cacheHierarchy>
    <cacheHierarchy uniqueName="[Measures].[ABSB1M]" caption="ABSB1M" measure="1" displayFolder="" measureGroup="Budget1Data" count="0" oneField="1">
      <fieldsUsage count="1">
        <fieldUsage x="4"/>
      </fieldsUsage>
    </cacheHierarchy>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219560184" backgroundQuery="1" createdVersion="8" refreshedVersion="8" minRefreshableVersion="3" recordCount="0" supportSubquery="1" supportAdvancedDrill="1" xr:uid="{F5BF546B-7D12-4671-9F88-1AA7BB2EF054}">
  <cacheSource type="external" connectionId="2"/>
  <cacheFields count="5">
    <cacheField name="[DataBudget2].[Année].[Année]" caption="Année" numFmtId="0" hierarchy="12" level="1">
      <sharedItems containsSemiMixedTypes="0" containsString="0" containsNumber="1" containsInteger="1" minValue="2025" maxValue="2026" count="2">
        <n v="2025"/>
        <n v="2026"/>
      </sharedItems>
      <extLst>
        <ext xmlns:x15="http://schemas.microsoft.com/office/spreadsheetml/2010/11/main" uri="{4F2E5C28-24EA-4eb8-9CBF-B6C8F9C3D259}">
          <x15:cachedUniqueNames>
            <x15:cachedUniqueName index="0" name="[DataBudget2].[Année].&amp;[2025]"/>
            <x15:cachedUniqueName index="1" name="[DataBudget2].[Année].&amp;[2026]"/>
          </x15:cachedUniqueNames>
        </ext>
      </extLst>
    </cacheField>
    <cacheField name="[DataBudget2].[Mois (Quarter)].[Mois (Quarter)]" caption="Mois (Quarter)" numFmtId="0" hierarchy="22" level="1">
      <sharedItems count="1">
        <s v="Qtr1"/>
      </sharedItems>
    </cacheField>
    <cacheField name="[Measures].[ABSB2M]" caption="ABSB2M" numFmtId="0" hierarchy="85" level="32767"/>
    <cacheField name="[DataBudget2].[Cat_2].[Cat_2]" caption="Cat_2" numFmtId="0" hierarchy="15" level="1">
      <sharedItems count="7">
        <s v="Category1"/>
        <s v="Category2"/>
        <s v="Category3"/>
        <s v="Category4"/>
        <s v="Category5"/>
        <s v="Category6"/>
        <s v="Category7"/>
      </sharedItems>
    </cacheField>
    <cacheField name="[Measures].[ABSB2ME]" caption="ABSB2ME" numFmtId="0" hierarchy="84" level="32767"/>
  </cacheFields>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2" memberValueDatatype="20" unbalanced="0">
      <fieldsUsage count="2">
        <fieldUsage x="-1"/>
        <fieldUsage x="0"/>
      </fieldsUsage>
    </cacheHierarchy>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2" memberValueDatatype="130" unbalanced="0">
      <fieldsUsage count="2">
        <fieldUsage x="-1"/>
        <fieldUsage x="3"/>
      </fieldsUsage>
    </cacheHierarchy>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2" memberValueDatatype="130" unbalanced="0">
      <fieldsUsage count="2">
        <fieldUsage x="-1"/>
        <fieldUsage x="1"/>
      </fieldsUsage>
    </cacheHierarchy>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oneField="1">
      <fieldsUsage count="1">
        <fieldUsage x="4"/>
      </fieldsUsage>
    </cacheHierarchy>
    <cacheHierarchy uniqueName="[Measures].[ABSB2M]" caption="ABSB2M" measure="1" displayFolder="" measureGroup="DataBudget2" count="0" oneField="1">
      <fieldsUsage count="1">
        <fieldUsage x="2"/>
      </fieldsUsage>
    </cacheHierarchy>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9.588847106483" backgroundQuery="1" createdVersion="8" refreshedVersion="8" minRefreshableVersion="3" recordCount="0" supportSubquery="1" supportAdvancedDrill="1" xr:uid="{6E0BCE90-C951-4C06-8C1B-0046CA96ED6D}">
  <cacheSource type="external" connectionId="2"/>
  <cacheFields count="6">
    <cacheField name="[Budget1Data].[Cat_3].[Cat_3]" caption="Cat_3" numFmtId="0" hierarchy="4" level="1">
      <sharedItems count="1">
        <s v="Sub-Category3"/>
      </sharedItems>
    </cacheField>
    <cacheField name="[Measures].[ABSMontantE]" caption="ABSMontantE" numFmtId="0" hierarchy="81" level="32767"/>
    <cacheField name="[Measures].[ABS_LastM]" caption="ABS_LastM" numFmtId="0" hierarchy="83" level="32767"/>
    <cacheField name="[Budget1Data].[Mois (Year)].[Mois (Year)]" caption="Mois (Year)" numFmtId="0" hierarchy="8" level="1">
      <sharedItems count="1">
        <s v="2025"/>
      </sharedItems>
    </cacheField>
    <cacheField name="[Budget1Data].[Mois (Month)].[Mois (Month)]" caption="Mois (Month)" numFmtId="0" hierarchy="10" level="1">
      <sharedItems count="2">
        <s v="janv"/>
        <s v="févr"/>
      </sharedItems>
    </cacheField>
    <cacheField name="[Measures].[ABSB1M]" caption="ABSB1M" numFmtId="0" hierarchy="82" level="32767"/>
  </cacheFields>
  <cacheHierarchies count="119">
    <cacheHierarchy uniqueName="[Budget1Data].[Année]" caption="Année" attribute="1" defaultMemberUniqueName="[Budget1Data].[Année].[All]" allUniqueName="[Budget1Data].[Année].[All]" dimensionUniqueName="[Budget1Data]" displayFolder="" count="2"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2" memberValueDatatype="130" unbalanced="0">
      <fieldsUsage count="2">
        <fieldUsage x="-1"/>
        <fieldUsage x="0"/>
      </fieldsUsage>
    </cacheHierarchy>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2" memberValueDatatype="130" unbalanced="0">
      <fieldsUsage count="2">
        <fieldUsage x="-1"/>
        <fieldUsage x="3"/>
      </fieldsUsage>
    </cacheHierarchy>
    <cacheHierarchy uniqueName="[Budget1Data].[Mois (Quarter)]" caption="Mois (Quarter)" attribute="1" defaultMemberUniqueName="[Budget1Data].[Mois (Quarter)].[All]" allUniqueName="[Budget1Data].[Mois (Quarter)].[All]" dimensionUniqueName="[Budget1Data]" displayFolder="" count="2" memberValueDatatype="130" unbalanced="0"/>
    <cacheHierarchy uniqueName="[Budget1Data].[Mois (Month)]" caption="Mois (Month)" attribute="1" defaultMemberUniqueName="[Budget1Data].[Mois (Month)].[All]" allUniqueName="[Budget1Data].[Mois (Month)].[All]" dimensionUniqueName="[Budget1Data]" displayFolder="" count="2" memberValueDatatype="130" unbalanced="0">
      <fieldsUsage count="2">
        <fieldUsage x="-1"/>
        <fieldUsage x="4"/>
      </fieldsUsage>
    </cacheHierarchy>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oneField="1">
      <fieldsUsage count="1">
        <fieldUsage x="1"/>
      </fieldsUsage>
    </cacheHierarchy>
    <cacheHierarchy uniqueName="[Measures].[ABSB1M]" caption="ABSB1M" measure="1" displayFolder="" measureGroup="Budget1Data" count="0" oneField="1">
      <fieldsUsage count="1">
        <fieldUsage x="5"/>
      </fieldsUsage>
    </cacheHierarchy>
    <cacheHierarchy uniqueName="[Measures].[ABS_LastM]" caption="ABS_LastM" measure="1" displayFolder="" measureGroup="Budget1Data" count="0" oneField="1">
      <fieldsUsage count="1">
        <fieldUsage x="2"/>
      </fieldsUsage>
    </cacheHierarchy>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dimensions count="8">
    <dimension name="Budget1Data" uniqueName="[Budget1Data]" caption="Budget1Data"/>
    <dimension name="DataBudget2" uniqueName="[DataBudget2]" caption="DataBudget2"/>
    <dimension name="DataTable" uniqueName="[DataTable]" caption="DataTable"/>
    <dimension name="Extrap" uniqueName="[Extrap]" caption="Extrap"/>
    <dimension name="Master" uniqueName="[Master]" caption="Master"/>
    <dimension name="Master_1" uniqueName="[Master_1]" caption="Master_1"/>
    <dimension measure="1" name="Measures" uniqueName="[Measures]" caption="Measures"/>
    <dimension name="Month" uniqueName="[Month]" caption="Month"/>
  </dimensions>
  <measureGroups count="7">
    <measureGroup name="Budget1Data" caption="Budget1Data"/>
    <measureGroup name="DataBudget2" caption="DataBudget2"/>
    <measureGroup name="DataTable" caption="DataTable"/>
    <measureGroup name="Extrap" caption="Extrap"/>
    <measureGroup name="Master" caption="Master"/>
    <measureGroup name="Master_1" caption="Master_1"/>
    <measureGroup name="Month" caption="Month"/>
  </measureGroups>
  <maps count="11">
    <map measureGroup="0" dimension="0"/>
    <map measureGroup="0" dimension="7"/>
    <map measureGroup="1" dimension="1"/>
    <map measureGroup="1" dimension="7"/>
    <map measureGroup="2" dimension="2"/>
    <map measureGroup="3" dimension="3"/>
    <map measureGroup="3" dimension="7"/>
    <map measureGroup="4" dimension="4"/>
    <map measureGroup="4" dimension="7"/>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3984837966" backgroundQuery="1" createdVersion="3" refreshedVersion="8" minRefreshableVersion="3" recordCount="0" supportSubquery="1" supportAdvancedDrill="1" xr:uid="{B12CBF05-1C46-4D8B-A790-5B9A83FD8CC9}">
  <cacheSource type="external" connectionId="2">
    <extLst>
      <ext xmlns:x14="http://schemas.microsoft.com/office/spreadsheetml/2009/9/main" uri="{F057638F-6D5F-4e77-A914-E7F072B9BCA8}">
        <x14:sourceConnection name="ThisWorkbookDataModel"/>
      </ext>
    </extLst>
  </cacheSource>
  <cacheFields count="0"/>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2"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extLst>
    <ext xmlns:x14="http://schemas.microsoft.com/office/spreadsheetml/2009/9/main" uri="{725AE2AE-9491-48be-B2B4-4EB974FC3084}">
      <x14:pivotCacheDefinition slicerData="1" pivotCacheId="616163013"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3992476855" backgroundQuery="1" createdVersion="3" refreshedVersion="8" minRefreshableVersion="3" recordCount="0" supportSubquery="1" supportAdvancedDrill="1" xr:uid="{4FDD7EBA-0608-4B2B-A3C4-CBC3DA170D66}">
  <cacheSource type="external" connectionId="2">
    <extLst>
      <ext xmlns:x14="http://schemas.microsoft.com/office/spreadsheetml/2009/9/main" uri="{F057638F-6D5F-4e77-A914-E7F072B9BCA8}">
        <x14:sourceConnection name="ThisWorkbookDataModel"/>
      </ext>
    </extLst>
  </cacheSource>
  <cacheFields count="0"/>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2"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extLst>
    <ext xmlns:x14="http://schemas.microsoft.com/office/spreadsheetml/2009/9/main" uri="{725AE2AE-9491-48be-B2B4-4EB974FC3084}">
      <x14:pivotCacheDefinition slicerData="1" pivotCacheId="1111197869"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08101851" backgroundQuery="1" createdVersion="3" refreshedVersion="8" minRefreshableVersion="3" recordCount="0" supportSubquery="1" supportAdvancedDrill="1" xr:uid="{B521219D-B8CB-4A52-A0EB-1B59B26593F1}">
  <cacheSource type="external" connectionId="2">
    <extLst>
      <ext xmlns:x14="http://schemas.microsoft.com/office/spreadsheetml/2009/9/main" uri="{F057638F-6D5F-4e77-A914-E7F072B9BCA8}">
        <x14:sourceConnection name="ThisWorkbookDataModel"/>
      </ext>
    </extLst>
  </cacheSource>
  <cacheFields count="0"/>
  <cacheHierarchies count="119">
    <cacheHierarchy uniqueName="[Budget1Data].[Année]" caption="Année" attribute="1" defaultMemberUniqueName="[Budget1Data].[Année].[All]" allUniqueName="[Budget1Data].[Année].[All]" dimensionUniqueName="[Budget1Data]" displayFolder="" count="2"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2" memberValueDatatype="130" unbalanced="0"/>
    <cacheHierarchy uniqueName="[Budget1Data].[Cat_3]" caption="Cat_3" attribute="1" defaultMemberUniqueName="[Budget1Data].[Cat_3].[All]" allUniqueName="[Budget1Data].[Cat_3].[All]" dimensionUniqueName="[Budget1Data]" displayFolder="" count="2"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2"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extLst>
    <ext xmlns:x14="http://schemas.microsoft.com/office/spreadsheetml/2009/9/main" uri="{725AE2AE-9491-48be-B2B4-4EB974FC3084}">
      <x14:pivotCacheDefinition slicerData="1" pivotCacheId="1207842879"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044212959" backgroundQuery="1" createdVersion="3" refreshedVersion="8" minRefreshableVersion="3" recordCount="0" supportSubquery="1" supportAdvancedDrill="1" xr:uid="{69F16689-BFE1-4B5A-A251-F41E31F19CF5}">
  <cacheSource type="external" connectionId="2">
    <extLst>
      <ext xmlns:x14="http://schemas.microsoft.com/office/spreadsheetml/2009/9/main" uri="{F057638F-6D5F-4e77-A914-E7F072B9BCA8}">
        <x14:sourceConnection name="ThisWorkbookDataModel"/>
      </ext>
    </extLst>
  </cacheSource>
  <cacheFields count="0"/>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2"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2" memberValueDatatype="130" unbalanced="0"/>
    <cacheHierarchy uniqueName="[DataBudget2].[Cat_3]" caption="Cat_3" attribute="1" defaultMemberUniqueName="[DataBudget2].[Cat_3].[All]" allUniqueName="[DataBudget2].[Cat_3].[All]" dimensionUniqueName="[DataBudget2]" displayFolder="" count="2"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2"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0"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0"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extLst>
    <ext xmlns:x14="http://schemas.microsoft.com/office/spreadsheetml/2009/9/main" uri="{725AE2AE-9491-48be-B2B4-4EB974FC3084}">
      <x14:pivotCacheDefinition slicerData="1" pivotCacheId="997070430"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6840278" backgroundQuery="1" createdVersion="3" refreshedVersion="8" minRefreshableVersion="3" recordCount="0" supportSubquery="1" supportAdvancedDrill="1" xr:uid="{794556AD-6901-489C-A6AC-12B2B54509FA}">
  <cacheSource type="external" connectionId="2">
    <extLst>
      <ext xmlns:x14="http://schemas.microsoft.com/office/spreadsheetml/2009/9/main" uri="{F057638F-6D5F-4e77-A914-E7F072B9BCA8}">
        <x14:sourceConnection name="ThisWorkbookDataModel"/>
      </ext>
    </extLst>
  </cacheSource>
  <cacheFields count="0"/>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0" memberValueDatatype="130" unbalanced="0"/>
    <cacheHierarchy uniqueName="[Master_1].[Cat_3]" caption="Cat_3" attribute="1" defaultMemberUniqueName="[Master_1].[Cat_3].[All]" allUniqueName="[Master_1].[Cat_3].[All]" dimensionUniqueName="[Master_1]" displayFolder="" count="2"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0"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extLst>
    <ext xmlns:x14="http://schemas.microsoft.com/office/spreadsheetml/2009/9/main" uri="{725AE2AE-9491-48be-B2B4-4EB974FC3084}">
      <x14:pivotCacheDefinition slicerData="1" pivotCacheId="239915750"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186111108" backgroundQuery="1" createdVersion="3" refreshedVersion="8" minRefreshableVersion="3" recordCount="0" supportSubquery="1" supportAdvancedDrill="1" xr:uid="{FABE0502-FC9F-42E7-908B-F9D42049AA9C}">
  <cacheSource type="external" connectionId="2">
    <extLst>
      <ext xmlns:x14="http://schemas.microsoft.com/office/spreadsheetml/2009/9/main" uri="{F057638F-6D5F-4e77-A914-E7F072B9BCA8}">
        <x14:sourceConnection name="ThisWorkbookDataModel"/>
      </ext>
    </extLst>
  </cacheSource>
  <cacheFields count="0"/>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2"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extLst>
    <ext xmlns:x14="http://schemas.microsoft.com/office/spreadsheetml/2009/9/main" uri="{725AE2AE-9491-48be-B2B4-4EB974FC3084}">
      <x14:pivotCacheDefinition slicerData="1" pivotCacheId="2050416239"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ébastien OGER" refreshedDate="45757.924209375" backgroundQuery="1" createdVersion="3" refreshedVersion="8" minRefreshableVersion="3" recordCount="0" supportSubquery="1" supportAdvancedDrill="1" xr:uid="{97546D0D-062B-4A03-B8CC-0980EC93F57E}">
  <cacheSource type="external" connectionId="2">
    <extLst>
      <ext xmlns:x14="http://schemas.microsoft.com/office/spreadsheetml/2009/9/main" uri="{F057638F-6D5F-4e77-A914-E7F072B9BCA8}">
        <x14:sourceConnection name="ThisWorkbookDataModel"/>
      </ext>
    </extLst>
  </cacheSource>
  <cacheFields count="0"/>
  <cacheHierarchies count="119">
    <cacheHierarchy uniqueName="[Budget1Data].[Année]" caption="Année" attribute="1" defaultMemberUniqueName="[Budget1Data].[Année].[All]" allUniqueName="[Budget1Data].[Année].[All]" dimensionUniqueName="[Budget1Data]" displayFolder="" count="0" memberValueDatatype="20" unbalanced="0"/>
    <cacheHierarchy uniqueName="[Budget1Data].[Mois]" caption="Mois" attribute="1" time="1" defaultMemberUniqueName="[Budget1Data].[Mois].[All]" allUniqueName="[Budget1Data].[Mois].[All]" dimensionUniqueName="[Budget1Data]" displayFolder="" count="0" memberValueDatatype="7" unbalanced="0"/>
    <cacheHierarchy uniqueName="[Budget1Data].[Cat_1]" caption="Cat_1" attribute="1" defaultMemberUniqueName="[Budget1Data].[Cat_1].[All]" allUniqueName="[Budget1Data].[Cat_1].[All]" dimensionUniqueName="[Budget1Data]" displayFolder="" count="0" memberValueDatatype="130" unbalanced="0"/>
    <cacheHierarchy uniqueName="[Budget1Data].[Cat_2]" caption="Cat_2" attribute="1" defaultMemberUniqueName="[Budget1Data].[Cat_2].[All]" allUniqueName="[Budget1Data].[Cat_2].[All]" dimensionUniqueName="[Budget1Data]" displayFolder="" count="0" memberValueDatatype="130" unbalanced="0"/>
    <cacheHierarchy uniqueName="[Budget1Data].[Cat_3]" caption="Cat_3" attribute="1" defaultMemberUniqueName="[Budget1Data].[Cat_3].[All]" allUniqueName="[Budget1Data].[Cat_3].[All]" dimensionUniqueName="[Budget1Data]" displayFolder="" count="0" memberValueDatatype="130" unbalanced="0"/>
    <cacheHierarchy uniqueName="[Budget1Data].[Log]" caption="Log" attribute="1" defaultMemberUniqueName="[Budget1Data].[Log].[All]" allUniqueName="[Budget1Data].[Log].[All]" dimensionUniqueName="[Budget1Data]" displayFolder="" count="0" memberValueDatatype="20" unbalanced="0"/>
    <cacheHierarchy uniqueName="[Budget1Data].[Montant]" caption="Montant" attribute="1" defaultMemberUniqueName="[Budget1Data].[Montant].[All]" allUniqueName="[Budget1Data].[Montant].[All]" dimensionUniqueName="[Budget1Data]" displayFolder="" count="0" memberValueDatatype="5" unbalanced="0"/>
    <cacheHierarchy uniqueName="[Budget1Data].[Montant_Extrap]" caption="Montant_Extrap" attribute="1" defaultMemberUniqueName="[Budget1Data].[Montant_Extrap].[All]" allUniqueName="[Budget1Data].[Montant_Extrap].[All]" dimensionUniqueName="[Budget1Data]" displayFolder="" count="0" memberValueDatatype="5" unbalanced="0"/>
    <cacheHierarchy uniqueName="[Budget1Data].[Mois (Year)]" caption="Mois (Year)" attribute="1" defaultMemberUniqueName="[Budget1Data].[Mois (Year)].[All]" allUniqueName="[Budget1Data].[Mois (Year)].[All]" dimensionUniqueName="[Budget1Data]" displayFolder="" count="0" memberValueDatatype="130" unbalanced="0"/>
    <cacheHierarchy uniqueName="[Budget1Data].[Mois (Quarter)]" caption="Mois (Quarter)" attribute="1" defaultMemberUniqueName="[Budget1Data].[Mois (Quarter)].[All]" allUniqueName="[Budget1Data].[Mois (Quarter)].[All]" dimensionUniqueName="[Budget1Data]" displayFolder="" count="0" memberValueDatatype="130" unbalanced="0"/>
    <cacheHierarchy uniqueName="[Budget1Data].[Mois (Month)]" caption="Mois (Month)" attribute="1" defaultMemberUniqueName="[Budget1Data].[Mois (Month)].[All]" allUniqueName="[Budget1Data].[Mois (Month)].[All]" dimensionUniqueName="[Budget1Data]" displayFolder="" count="0" memberValueDatatype="130" unbalanced="0"/>
    <cacheHierarchy uniqueName="[Budget1Data].[Last_Montant]" caption="Last_Montant" attribute="1" defaultMemberUniqueName="[Budget1Data].[Last_Montant].[All]" allUniqueName="[Budget1Data].[Last_Montant].[All]" dimensionUniqueName="[Budget1Data]" displayFolder="" count="0" memberValueDatatype="5" unbalanced="0"/>
    <cacheHierarchy uniqueName="[DataBudget2].[Année]" caption="Année" attribute="1" defaultMemberUniqueName="[DataBudget2].[Année].[All]" allUniqueName="[DataBudget2].[Année].[All]" dimensionUniqueName="[DataBudget2]" displayFolder="" count="0" memberValueDatatype="20" unbalanced="0"/>
    <cacheHierarchy uniqueName="[DataBudget2].[Mois]" caption="Mois" attribute="1" time="1" defaultMemberUniqueName="[DataBudget2].[Mois].[All]" allUniqueName="[DataBudget2].[Mois].[All]" dimensionUniqueName="[DataBudget2]" displayFolder="" count="0" memberValueDatatype="7" unbalanced="0"/>
    <cacheHierarchy uniqueName="[DataBudget2].[Cat_1]" caption="Cat_1" attribute="1" defaultMemberUniqueName="[DataBudget2].[Cat_1].[All]" allUniqueName="[DataBudget2].[Cat_1].[All]" dimensionUniqueName="[DataBudget2]" displayFolder="" count="0" memberValueDatatype="130" unbalanced="0"/>
    <cacheHierarchy uniqueName="[DataBudget2].[Cat_2]" caption="Cat_2" attribute="1" defaultMemberUniqueName="[DataBudget2].[Cat_2].[All]" allUniqueName="[DataBudget2].[Cat_2].[All]" dimensionUniqueName="[DataBudget2]" displayFolder="" count="0" memberValueDatatype="130" unbalanced="0"/>
    <cacheHierarchy uniqueName="[DataBudget2].[Cat_3]" caption="Cat_3" attribute="1" defaultMemberUniqueName="[DataBudget2].[Cat_3].[All]" allUniqueName="[DataBudget2].[Cat_3].[All]" dimensionUniqueName="[DataBudget2]" displayFolder="" count="0" memberValueDatatype="130" unbalanced="0"/>
    <cacheHierarchy uniqueName="[DataBudget2].[Log]" caption="Log" attribute="1" defaultMemberUniqueName="[DataBudget2].[Log].[All]" allUniqueName="[DataBudget2].[Log].[All]" dimensionUniqueName="[DataBudget2]" displayFolder="" count="0" memberValueDatatype="20" unbalanced="0"/>
    <cacheHierarchy uniqueName="[DataBudget2].[Montant]" caption="Montant" attribute="1" defaultMemberUniqueName="[DataBudget2].[Montant].[All]" allUniqueName="[DataBudget2].[Montant].[All]" dimensionUniqueName="[DataBudget2]" displayFolder="" count="0" memberValueDatatype="5" unbalanced="0"/>
    <cacheHierarchy uniqueName="[DataBudget2].[Montant_Extrap]" caption="Montant_Extrap" attribute="1" defaultMemberUniqueName="[DataBudget2].[Montant_Extrap].[All]" allUniqueName="[DataBudget2].[Montant_Extrap].[All]" dimensionUniqueName="[DataBudget2]" displayFolder="" count="0" memberValueDatatype="5" unbalanced="0"/>
    <cacheHierarchy uniqueName="[DataBudget2].[Last_Montant]" caption="Last_Montant" attribute="1" defaultMemberUniqueName="[DataBudget2].[Last_Montant].[All]" allUniqueName="[DataBudget2].[Last_Montant].[All]" dimensionUniqueName="[DataBudget2]" displayFolder="" count="0" memberValueDatatype="5" unbalanced="0"/>
    <cacheHierarchy uniqueName="[DataBudget2].[Mois (Year)]" caption="Mois (Year)" attribute="1" defaultMemberUniqueName="[DataBudget2].[Mois (Year)].[All]" allUniqueName="[DataBudget2].[Mois (Year)].[All]" dimensionUniqueName="[DataBudget2]" displayFolder="" count="0" memberValueDatatype="130" unbalanced="0"/>
    <cacheHierarchy uniqueName="[DataBudget2].[Mois (Quarter)]" caption="Mois (Quarter)" attribute="1" defaultMemberUniqueName="[DataBudget2].[Mois (Quarter)].[All]" allUniqueName="[DataBudget2].[Mois (Quarter)].[All]" dimensionUniqueName="[DataBudget2]" displayFolder="" count="0" memberValueDatatype="130" unbalanced="0"/>
    <cacheHierarchy uniqueName="[DataBudget2].[Mois (Month)]" caption="Mois (Month)" attribute="1" defaultMemberUniqueName="[DataBudget2].[Mois (Month)].[All]" allUniqueName="[DataBudget2].[Mois (Month)].[All]" dimensionUniqueName="[DataBudget2]" displayFolder="" count="0" memberValueDatatype="130" unbalanced="0"/>
    <cacheHierarchy uniqueName="[DataTable].[Check]" caption="Check" attribute="1" defaultMemberUniqueName="[DataTable].[Check].[All]" allUniqueName="[DataTable].[Check].[All]" dimensionUniqueName="[DataTable]" displayFolder="" count="0" memberValueDatatype="130" unbalanced="0"/>
    <cacheHierarchy uniqueName="[DataTable].[Année]" caption="Année" attribute="1" defaultMemberUniqueName="[DataTable].[Année].[All]" allUniqueName="[DataTable].[Année].[All]" dimensionUniqueName="[DataTable]" displayFolder="" count="0" memberValueDatatype="130" unbalanced="0"/>
    <cacheHierarchy uniqueName="[DataTable].[Mois]" caption="Mois" attribute="1" defaultMemberUniqueName="[DataTable].[Mois].[All]" allUniqueName="[DataTable].[Mois].[All]" dimensionUniqueName="[DataTable]" displayFolder="" count="0" memberValueDatatype="130" unbalanced="0"/>
    <cacheHierarchy uniqueName="[DataTable].[Cat_1]" caption="Cat_1" attribute="1" defaultMemberUniqueName="[DataTable].[Cat_1].[All]" allUniqueName="[DataTable].[Cat_1].[All]" dimensionUniqueName="[DataTable]" displayFolder="" count="0" memberValueDatatype="130" unbalanced="0"/>
    <cacheHierarchy uniqueName="[DataTable].[Cat_2]" caption="Cat_2" attribute="1" defaultMemberUniqueName="[DataTable].[Cat_2].[All]" allUniqueName="[DataTable].[Cat_2].[All]" dimensionUniqueName="[DataTable]" displayFolder="" count="0" memberValueDatatype="130" unbalanced="0"/>
    <cacheHierarchy uniqueName="[DataTable].[Cat_3]" caption="Cat_3" attribute="1" defaultMemberUniqueName="[DataTable].[Cat_3].[All]" allUniqueName="[DataTable].[Cat_3].[All]" dimensionUniqueName="[DataTable]" displayFolder="" count="0" memberValueDatatype="130" unbalanced="0"/>
    <cacheHierarchy uniqueName="[DataTable].[Montant]" caption="Montant" attribute="1" defaultMemberUniqueName="[DataTable].[Montant].[All]" allUniqueName="[DataTable].[Montant].[All]" dimensionUniqueName="[DataTable]" displayFolder="" count="0" memberValueDatatype="130" unbalanced="0"/>
    <cacheHierarchy uniqueName="[Extrap].[Année]" caption="Année" attribute="1" defaultMemberUniqueName="[Extrap].[Année].[All]" allUniqueName="[Extrap].[Année].[All]" dimensionUniqueName="[Extrap]" displayFolder="" count="0" memberValueDatatype="20" unbalanced="0"/>
    <cacheHierarchy uniqueName="[Extrap].[Mois]" caption="Mois" attribute="1" time="1" defaultMemberUniqueName="[Extrap].[Mois].[All]" allUniqueName="[Extrap].[Mois].[All]" dimensionUniqueName="[Extrap]" displayFolder="" count="0" memberValueDatatype="7" unbalanced="0"/>
    <cacheHierarchy uniqueName="[Extrap].[Cat_1]" caption="Cat_1" attribute="1" defaultMemberUniqueName="[Extrap].[Cat_1].[All]" allUniqueName="[Extrap].[Cat_1].[All]" dimensionUniqueName="[Extrap]" displayFolder="" count="0" memberValueDatatype="130" unbalanced="0"/>
    <cacheHierarchy uniqueName="[Extrap].[Cat_2]" caption="Cat_2" attribute="1" defaultMemberUniqueName="[Extrap].[Cat_2].[All]" allUniqueName="[Extrap].[Cat_2].[All]" dimensionUniqueName="[Extrap]" displayFolder="" count="0" memberValueDatatype="130" unbalanced="0"/>
    <cacheHierarchy uniqueName="[Extrap].[Cat_3]" caption="Cat_3" attribute="1" defaultMemberUniqueName="[Extrap].[Cat_3].[All]" allUniqueName="[Extrap].[Cat_3].[All]" dimensionUniqueName="[Extrap]" displayFolder="" count="0" memberValueDatatype="130" unbalanced="0"/>
    <cacheHierarchy uniqueName="[Extrap].[Log]" caption="Log" attribute="1" defaultMemberUniqueName="[Extrap].[Log].[All]" allUniqueName="[Extrap].[Log].[All]" dimensionUniqueName="[Extrap]" displayFolder="" count="0" memberValueDatatype="20" unbalanced="0"/>
    <cacheHierarchy uniqueName="[Extrap].[Montant]" caption="Montant" attribute="1" defaultMemberUniqueName="[Extrap].[Montant].[All]" allUniqueName="[Extrap].[Montant].[All]" dimensionUniqueName="[Extrap]" displayFolder="" count="0" memberValueDatatype="5" unbalanced="0"/>
    <cacheHierarchy uniqueName="[Extrap].[Ratio]" caption="Ratio" attribute="1" defaultMemberUniqueName="[Extrap].[Ratio].[All]" allUniqueName="[Extrap].[Ratio].[All]" dimensionUniqueName="[Extrap]" displayFolder="" count="0" memberValueDatatype="20" unbalanced="0"/>
    <cacheHierarchy uniqueName="[Extrap].[Montant_Extrap]" caption="Montant_Extrap" attribute="1" defaultMemberUniqueName="[Extrap].[Montant_Extrap].[All]" allUniqueName="[Extrap].[Montant_Extrap].[All]" dimensionUniqueName="[Extrap]" displayFolder="" count="0" memberValueDatatype="5" unbalanced="0"/>
    <cacheHierarchy uniqueName="[Extrap].[Check]" caption="Check" attribute="1" defaultMemberUniqueName="[Extrap].[Check].[All]" allUniqueName="[Extrap].[Check].[All]" dimensionUniqueName="[Extrap]" displayFolder="" count="0" memberValueDatatype="20" unbalanced="0"/>
    <cacheHierarchy uniqueName="[Extrap].[Mois (Year)]" caption="Mois (Year)" attribute="1" defaultMemberUniqueName="[Extrap].[Mois (Year)].[All]" allUniqueName="[Extrap].[Mois (Year)].[All]" dimensionUniqueName="[Extrap]" displayFolder="" count="0" memberValueDatatype="130" unbalanced="0"/>
    <cacheHierarchy uniqueName="[Extrap].[Mois (Quarter)]" caption="Mois (Quarter)" attribute="1" defaultMemberUniqueName="[Extrap].[Mois (Quarter)].[All]" allUniqueName="[Extrap].[Mois (Quarter)].[All]" dimensionUniqueName="[Extrap]" displayFolder="" count="0" memberValueDatatype="130" unbalanced="0"/>
    <cacheHierarchy uniqueName="[Extrap].[Mois (Month)]" caption="Mois (Month)" attribute="1" defaultMemberUniqueName="[Extrap].[Mois (Month)].[All]" allUniqueName="[Extrap].[Mois (Month)].[All]" dimensionUniqueName="[Extrap]" displayFolder="" count="0" memberValueDatatype="130" unbalanced="0"/>
    <cacheHierarchy uniqueName="[Master].[Année]" caption="Année" attribute="1" defaultMemberUniqueName="[Master].[Année].[All]" allUniqueName="[Master].[Année].[All]" dimensionUniqueName="[Master]" displayFolder="" count="0" memberValueDatatype="20" unbalanced="0"/>
    <cacheHierarchy uniqueName="[Master].[Mois]" caption="Mois" attribute="1" time="1" defaultMemberUniqueName="[Master].[Mois].[All]" allUniqueName="[Master].[Mois].[All]" dimensionUniqueName="[Master]" displayFolder="" count="0" memberValueDatatype="7" unbalanced="0"/>
    <cacheHierarchy uniqueName="[Master].[Cat_1]" caption="Cat_1" attribute="1" defaultMemberUniqueName="[Master].[Cat_1].[All]" allUniqueName="[Master].[Cat_1].[All]" dimensionUniqueName="[Master]" displayFolder="" count="0" memberValueDatatype="130" unbalanced="0"/>
    <cacheHierarchy uniqueName="[Master].[Cat_2]" caption="Cat_2" attribute="1" defaultMemberUniqueName="[Master].[Cat_2].[All]" allUniqueName="[Master].[Cat_2].[All]" dimensionUniqueName="[Master]" displayFolder="" count="0" memberValueDatatype="130" unbalanced="0"/>
    <cacheHierarchy uniqueName="[Master].[Cat_3]" caption="Cat_3" attribute="1" defaultMemberUniqueName="[Master].[Cat_3].[All]" allUniqueName="[Master].[Cat_3].[All]" dimensionUniqueName="[Master]" displayFolder="" count="0" memberValueDatatype="130" unbalanced="0"/>
    <cacheHierarchy uniqueName="[Master].[Log]" caption="Log" attribute="1" defaultMemberUniqueName="[Master].[Log].[All]" allUniqueName="[Master].[Log].[All]" dimensionUniqueName="[Master]" displayFolder="" count="0" memberValueDatatype="20" unbalanced="0"/>
    <cacheHierarchy uniqueName="[Master].[Montant]" caption="Montant" attribute="1" defaultMemberUniqueName="[Master].[Montant].[All]" allUniqueName="[Master].[Montant].[All]" dimensionUniqueName="[Master]" displayFolder="" count="0" memberValueDatatype="5" unbalanced="0"/>
    <cacheHierarchy uniqueName="[Master].[Mois (Year)]" caption="Mois (Year)" attribute="1" defaultMemberUniqueName="[Master].[Mois (Year)].[All]" allUniqueName="[Master].[Mois (Year)].[All]" dimensionUniqueName="[Master]" displayFolder="" count="0" memberValueDatatype="130" unbalanced="0"/>
    <cacheHierarchy uniqueName="[Master].[Mois (Quarter)]" caption="Mois (Quarter)" attribute="1" defaultMemberUniqueName="[Master].[Mois (Quarter)].[All]" allUniqueName="[Master].[Mois (Quarter)].[All]" dimensionUniqueName="[Master]" displayFolder="" count="0" memberValueDatatype="130" unbalanced="0"/>
    <cacheHierarchy uniqueName="[Master].[Mois (Month)]" caption="Mois (Month)" attribute="1" defaultMemberUniqueName="[Master].[Mois (Month)].[All]" allUniqueName="[Master].[Mois (Month)].[All]" dimensionUniqueName="[Master]" displayFolder="" count="0" memberValueDatatype="130" unbalanced="0"/>
    <cacheHierarchy uniqueName="[Master].[Mois (Name)]" caption="Mois (Name)" attribute="1" defaultMemberUniqueName="[Master].[Mois (Name)].[All]" allUniqueName="[Master].[Mois (Name)].[All]" dimensionUniqueName="[Master]" displayFolder="" count="0" memberValueDatatype="130" unbalanced="0"/>
    <cacheHierarchy uniqueName="[Master_1].[Année]" caption="Année" attribute="1" defaultMemberUniqueName="[Master_1].[Année].[All]" allUniqueName="[Master_1].[Année].[All]" dimensionUniqueName="[Master_1]" displayFolder="" count="2" memberValueDatatype="20" unbalanced="0"/>
    <cacheHierarchy uniqueName="[Master_1].[Mois]" caption="Mois" attribute="1" time="1" defaultMemberUniqueName="[Master_1].[Mois].[All]" allUniqueName="[Master_1].[Mois].[All]" dimensionUniqueName="[Master_1]" displayFolder="" count="0" memberValueDatatype="7" unbalanced="0"/>
    <cacheHierarchy uniqueName="[Master_1].[Cat_1]" caption="Cat_1" attribute="1" defaultMemberUniqueName="[Master_1].[Cat_1].[All]" allUniqueName="[Master_1].[Cat_1].[All]" dimensionUniqueName="[Master_1]" displayFolder="" count="0" memberValueDatatype="130" unbalanced="0"/>
    <cacheHierarchy uniqueName="[Master_1].[Cat_2]" caption="Cat_2" attribute="1" defaultMemberUniqueName="[Master_1].[Cat_2].[All]" allUniqueName="[Master_1].[Cat_2].[All]" dimensionUniqueName="[Master_1]" displayFolder="" count="2" memberValueDatatype="130" unbalanced="0"/>
    <cacheHierarchy uniqueName="[Master_1].[Cat_3]" caption="Cat_3" attribute="1" defaultMemberUniqueName="[Master_1].[Cat_3].[All]" allUniqueName="[Master_1].[Cat_3].[All]" dimensionUniqueName="[Master_1]" displayFolder="" count="0" memberValueDatatype="130" unbalanced="0"/>
    <cacheHierarchy uniqueName="[Master_1].[Log]" caption="Log" attribute="1" defaultMemberUniqueName="[Master_1].[Log].[All]" allUniqueName="[Master_1].[Log].[All]" dimensionUniqueName="[Master_1]" displayFolder="" count="0" memberValueDatatype="20" unbalanced="0"/>
    <cacheHierarchy uniqueName="[Master_1].[Montant]" caption="Montant" attribute="1" defaultMemberUniqueName="[Master_1].[Montant].[All]" allUniqueName="[Master_1].[Montant].[All]" dimensionUniqueName="[Master_1]" displayFolder="" count="0" memberValueDatatype="5" unbalanced="0"/>
    <cacheHierarchy uniqueName="[Master_1].[Mois (Name)]" caption="Mois (Name)" attribute="1" defaultMemberUniqueName="[Master_1].[Mois (Name)].[All]" allUniqueName="[Master_1].[Mois (Name)].[All]" dimensionUniqueName="[Master_1]" displayFolder="" count="2" memberValueDatatype="130" unbalanced="0"/>
    <cacheHierarchy uniqueName="[Master_1].[Month (Number)]" caption="Month (Number)" attribute="1" defaultMemberUniqueName="[Master_1].[Month (Number)].[All]" allUniqueName="[Master_1].[Month (Number)].[All]" dimensionUniqueName="[Master_1]" displayFolder="" count="0" memberValueDatatype="20" unbalanced="0"/>
    <cacheHierarchy uniqueName="[Master_1].[Mois (Month)]" caption="Mois (Month)" attribute="1" defaultMemberUniqueName="[Master_1].[Mois (Month)].[All]" allUniqueName="[Master_1].[Mois (Month)].[All]" dimensionUniqueName="[Master_1]" displayFolder="" count="0" memberValueDatatype="130" unbalanced="0"/>
    <cacheHierarchy uniqueName="[Master_1].[Mois (Year)]" caption="Mois (Year)" attribute="1" defaultMemberUniqueName="[Master_1].[Mois (Year)].[All]" allUniqueName="[Master_1].[Mois (Year)].[All]" dimensionUniqueName="[Master_1]" displayFolder="" count="0" memberValueDatatype="130" unbalanced="0"/>
    <cacheHierarchy uniqueName="[Master_1].[Mois (Quarter)]" caption="Mois (Quarter)" attribute="1" defaultMemberUniqueName="[Master_1].[Mois (Quarter)].[All]" allUniqueName="[Master_1].[Mois (Quarter)].[All]" dimensionUniqueName="[Master_1]" displayFolder="" count="2" memberValueDatatype="130" unbalanced="0"/>
    <cacheHierarchy uniqueName="[Month].[Mois]" caption="Mois" attribute="1" defaultMemberUniqueName="[Month].[Mois].[All]" allUniqueName="[Month].[Mois].[All]" dimensionUniqueName="[Month]" displayFolder="" count="0" memberValueDatatype="130" unbalanced="0"/>
    <cacheHierarchy uniqueName="[Budget1Data].[Mois (Month Index)]" caption="Mois (Month Index)" attribute="1" defaultMemberUniqueName="[Budget1Data].[Mois (Month Index)].[All]" allUniqueName="[Budget1Data].[Mois (Month Index)].[All]" dimensionUniqueName="[Budget1Data]" displayFolder="" count="0" memberValueDatatype="20" unbalanced="0" hidden="1"/>
    <cacheHierarchy uniqueName="[DataBudget2].[Mois (Month Index)]" caption="Mois (Month Index)" attribute="1" defaultMemberUniqueName="[DataBudget2].[Mois (Month Index)].[All]" allUniqueName="[DataBudget2].[Mois (Month Index)].[All]" dimensionUniqueName="[DataBudget2]" displayFolder="" count="0" memberValueDatatype="20" unbalanced="0" hidden="1"/>
    <cacheHierarchy uniqueName="[Extrap].[Mois (Month Index)]" caption="Mois (Month Index)" attribute="1" defaultMemberUniqueName="[Extrap].[Mois (Month Index)].[All]" allUniqueName="[Extrap].[Mois (Month Index)].[All]" dimensionUniqueName="[Extrap]" displayFolder="" count="0" memberValueDatatype="20" unbalanced="0" hidden="1"/>
    <cacheHierarchy uniqueName="[Master].[Mois (Month Index)]" caption="Mois (Month Index)" attribute="1" defaultMemberUniqueName="[Master].[Mois (Month Index)].[All]" allUniqueName="[Master].[Mois (Month Index)].[All]" dimensionUniqueName="[Master]" displayFolder="" count="0" memberValueDatatype="20" unbalanced="0" hidden="1"/>
    <cacheHierarchy uniqueName="[Master_1].[Mois (Month Index)]" caption="Mois (Month Index)" attribute="1" defaultMemberUniqueName="[Master_1].[Mois (Month Index)].[All]" allUniqueName="[Master_1].[Mois (Month Index)].[All]" dimensionUniqueName="[Master_1]" displayFolder="" count="0" memberValueDatatype="20" unbalanced="0" hidden="1"/>
    <cacheHierarchy uniqueName="[Measures].[%Dépenses/Income]" caption="%Dépenses/Income" measure="1" displayFolder="" measureGroup="Master" count="0"/>
    <cacheHierarchy uniqueName="[Measures].[$Dépenses/Income]" caption="$Dépenses/Income" measure="1" displayFolder="" measureGroup="Master" count="0"/>
    <cacheHierarchy uniqueName="[Measures].[ABS Montant]" caption="ABS Montant" measure="1" displayFolder="" measureGroup="Master" count="0"/>
    <cacheHierarchy uniqueName="[Measures].[Analyse/Catégorie]" caption="Analyse/Catégorie" measure="1" displayFolder="" measureGroup="Master" count="0"/>
    <cacheHierarchy uniqueName="[Measures].[Analyse/Total dépense]" caption="Analyse/Total dépense" measure="1" displayFolder="" measureGroup="Master" count="0"/>
    <cacheHierarchy uniqueName="[Measures].[$Dépense/Salaire (*Modifié)]" caption="$Dépense/Salaire (*Modifié)" measure="1" displayFolder="" measureGroup="Extrap" count="0"/>
    <cacheHierarchy uniqueName="[Measures].[$Dépense/Salaire]" caption="$Dépense/Salaire" measure="1" displayFolder="" measureGroup="Extrap" count="0"/>
    <cacheHierarchy uniqueName="[Measures].[Moyenne Changement]" caption="Moyenne Changement" measure="1" displayFolder="" measureGroup="Extrap" count="0"/>
    <cacheHierarchy uniqueName="[Measures].[ABSMontantE]" caption="ABSMontantE" measure="1" displayFolder="" measureGroup="Budget1Data" count="0"/>
    <cacheHierarchy uniqueName="[Measures].[ABSB1M]" caption="ABSB1M" measure="1" displayFolder="" measureGroup="Budget1Data" count="0"/>
    <cacheHierarchy uniqueName="[Measures].[ABS_LastM]" caption="ABS_LastM" measure="1" displayFolder="" measureGroup="Budget1Data" count="0"/>
    <cacheHierarchy uniqueName="[Measures].[ABSB2ME]" caption="ABSB2ME" measure="1" displayFolder="" measureGroup="DataBudget2" count="0"/>
    <cacheHierarchy uniqueName="[Measures].[ABSB2M]" caption="ABSB2M" measure="1" displayFolder="" measureGroup="DataBudget2" count="0"/>
    <cacheHierarchy uniqueName="[Measures].[ABSB2LM]" caption="ABSB2LM" measure="1" displayFolder="" measureGroup="DataBudget2" count="0"/>
    <cacheHierarchy uniqueName="[Measures].[__XL_Count DataTable]" caption="__XL_Count DataTable" measure="1" displayFolder="" measureGroup="DataTable" count="0" hidden="1"/>
    <cacheHierarchy uniqueName="[Measures].[__XL_Count Master]" caption="__XL_Count Master" measure="1" displayFolder="" measureGroup="Master" count="0" hidden="1"/>
    <cacheHierarchy uniqueName="[Measures].[__XL_Count Extrap]" caption="__XL_Count Extrap" measure="1" displayFolder="" measureGroup="Extrap" count="0" hidden="1"/>
    <cacheHierarchy uniqueName="[Measures].[__XL_Count Budget1Data]" caption="__XL_Count Budget1Data" measure="1" displayFolder="" measureGroup="Budget1Data" count="0" hidden="1"/>
    <cacheHierarchy uniqueName="[Measures].[__XL_Count DataBudget2]" caption="__XL_Count DataBudget2" measure="1" displayFolder="" measureGroup="DataBudget2" count="0" hidden="1"/>
    <cacheHierarchy uniqueName="[Measures].[__XL_Count Month]" caption="__XL_Count Month" measure="1" displayFolder="" measureGroup="Month" count="0" hidden="1"/>
    <cacheHierarchy uniqueName="[Measures].[__XL_Count Master_1]" caption="__XL_Count Master_1" measure="1" displayFolder="" measureGroup="Master_1" count="0" hidden="1"/>
    <cacheHierarchy uniqueName="[Measures].[__No measures defined]" caption="__No measures defined" measure="1" displayFolder="" count="0" hidden="1"/>
    <cacheHierarchy uniqueName="[Measures].[Count of Cat_1]" caption="Count of Cat_1" measure="1" displayFolder="" measureGroup="DataTable" count="0" hidden="1">
      <extLst>
        <ext xmlns:x15="http://schemas.microsoft.com/office/spreadsheetml/2010/11/main" uri="{B97F6D7D-B522-45F9-BDA1-12C45D357490}">
          <x15:cacheHierarchy aggregatedColumn="27"/>
        </ext>
      </extLst>
    </cacheHierarchy>
    <cacheHierarchy uniqueName="[Measures].[Distinct Count of Montant]" caption="Distinct Count of Montant" measure="1" displayFolder="" measureGroup="DataTable" count="0" hidden="1">
      <extLst>
        <ext xmlns:x15="http://schemas.microsoft.com/office/spreadsheetml/2010/11/main" uri="{B97F6D7D-B522-45F9-BDA1-12C45D357490}">
          <x15:cacheHierarchy aggregatedColumn="30"/>
        </ext>
      </extLst>
    </cacheHierarchy>
    <cacheHierarchy uniqueName="[Measures].[Sum of Montant 2]" caption="Sum of Montant 2" measure="1" displayFolder="" measureGroup="Master" count="0" hidden="1">
      <extLst>
        <ext xmlns:x15="http://schemas.microsoft.com/office/spreadsheetml/2010/11/main" uri="{B97F6D7D-B522-45F9-BDA1-12C45D357490}">
          <x15:cacheHierarchy aggregatedColumn="50"/>
        </ext>
      </extLst>
    </cacheHierarchy>
    <cacheHierarchy uniqueName="[Measures].[Count of Cat_2]" caption="Count of Cat_2" measure="1" displayFolder="" measureGroup="Master" count="0" hidden="1">
      <extLst>
        <ext xmlns:x15="http://schemas.microsoft.com/office/spreadsheetml/2010/11/main" uri="{B97F6D7D-B522-45F9-BDA1-12C45D357490}">
          <x15:cacheHierarchy aggregatedColumn="47"/>
        </ext>
      </extLst>
    </cacheHierarchy>
    <cacheHierarchy uniqueName="[Measures].[Sum of Montant 4]" caption="Sum of Montant 4" measure="1" displayFolder="" measureGroup="Extrap" count="0" hidden="1">
      <extLst>
        <ext xmlns:x15="http://schemas.microsoft.com/office/spreadsheetml/2010/11/main" uri="{B97F6D7D-B522-45F9-BDA1-12C45D357490}">
          <x15:cacheHierarchy aggregatedColumn="37"/>
        </ext>
      </extLst>
    </cacheHierarchy>
    <cacheHierarchy uniqueName="[Measures].[Sum of Montant_Extrap 2]" caption="Sum of Montant_Extrap 2" measure="1" displayFolder="" measureGroup="Extrap" count="0" hidden="1">
      <extLst>
        <ext xmlns:x15="http://schemas.microsoft.com/office/spreadsheetml/2010/11/main" uri="{B97F6D7D-B522-45F9-BDA1-12C45D357490}">
          <x15:cacheHierarchy aggregatedColumn="39"/>
        </ext>
      </extLst>
    </cacheHierarchy>
    <cacheHierarchy uniqueName="[Measures].[Count of Mois 3]" caption="Count of Mois 3" measure="1" displayFolder="" measureGroup="Master" count="0" hidden="1">
      <extLst>
        <ext xmlns:x15="http://schemas.microsoft.com/office/spreadsheetml/2010/11/main" uri="{B97F6D7D-B522-45F9-BDA1-12C45D357490}">
          <x15:cacheHierarchy aggregatedColumn="45"/>
        </ext>
      </extLst>
    </cacheHierarchy>
    <cacheHierarchy uniqueName="[Measures].[Distinct Count of Mois]" caption="Distinct Count of Mois" measure="1" displayFolder="" measureGroup="Master" count="0" hidden="1">
      <extLst>
        <ext xmlns:x15="http://schemas.microsoft.com/office/spreadsheetml/2010/11/main" uri="{B97F6D7D-B522-45F9-BDA1-12C45D357490}">
          <x15:cacheHierarchy aggregatedColumn="45"/>
        </ext>
      </extLst>
    </cacheHierarchy>
    <cacheHierarchy uniqueName="[Measures].[Count of Mois (Year) 2]" caption="Count of Mois (Year) 2" measure="1" displayFolder="" measureGroup="Master" count="0" hidden="1">
      <extLst>
        <ext xmlns:x15="http://schemas.microsoft.com/office/spreadsheetml/2010/11/main" uri="{B97F6D7D-B522-45F9-BDA1-12C45D357490}">
          <x15:cacheHierarchy aggregatedColumn="51"/>
        </ext>
      </extLst>
    </cacheHierarchy>
    <cacheHierarchy uniqueName="[Measures].[Distinct Count of Mois (Year)]" caption="Distinct Count of Mois (Year)" measure="1" displayFolder="" measureGroup="Master" count="0" hidden="1">
      <extLst>
        <ext xmlns:x15="http://schemas.microsoft.com/office/spreadsheetml/2010/11/main" uri="{B97F6D7D-B522-45F9-BDA1-12C45D357490}">
          <x15:cacheHierarchy aggregatedColumn="51"/>
        </ext>
      </extLst>
    </cacheHierarchy>
    <cacheHierarchy uniqueName="[Measures].[Count of Mois (Month) 2]" caption="Count of Mois (Month) 2" measure="1" displayFolder="" measureGroup="Master" count="0" hidden="1">
      <extLst>
        <ext xmlns:x15="http://schemas.microsoft.com/office/spreadsheetml/2010/11/main" uri="{B97F6D7D-B522-45F9-BDA1-12C45D357490}">
          <x15:cacheHierarchy aggregatedColumn="53"/>
        </ext>
      </extLst>
    </cacheHierarchy>
    <cacheHierarchy uniqueName="[Measures].[Distinct Count of Mois (Month)]" caption="Distinct Count of Mois (Month)" measure="1" displayFolder="" measureGroup="Master" count="0" hidden="1">
      <extLst>
        <ext xmlns:x15="http://schemas.microsoft.com/office/spreadsheetml/2010/11/main" uri="{B97F6D7D-B522-45F9-BDA1-12C45D357490}">
          <x15:cacheHierarchy aggregatedColumn="53"/>
        </ext>
      </extLst>
    </cacheHierarchy>
    <cacheHierarchy uniqueName="[Measures].[Average of Montant 2]" caption="Average of Montant 2" measure="1" displayFolder="" measureGroup="Master" count="0" hidden="1">
      <extLst>
        <ext xmlns:x15="http://schemas.microsoft.com/office/spreadsheetml/2010/11/main" uri="{B97F6D7D-B522-45F9-BDA1-12C45D357490}">
          <x15:cacheHierarchy aggregatedColumn="50"/>
        </ext>
      </extLst>
    </cacheHierarchy>
    <cacheHierarchy uniqueName="[Measures].[Sum of Montant_Extrap 3]" caption="Sum of Montant_Extrap 3" measure="1" displayFolder="" measureGroup="Budget1Data" count="0" hidden="1">
      <extLst>
        <ext xmlns:x15="http://schemas.microsoft.com/office/spreadsheetml/2010/11/main" uri="{B97F6D7D-B522-45F9-BDA1-12C45D357490}">
          <x15:cacheHierarchy aggregatedColumn="7"/>
        </ext>
      </extLst>
    </cacheHierarchy>
    <cacheHierarchy uniqueName="[Measures].[Count of Montant]" caption="Count of Montant" measure="1" displayFolder="" measureGroup="Budget1Data" count="0" hidden="1">
      <extLst>
        <ext xmlns:x15="http://schemas.microsoft.com/office/spreadsheetml/2010/11/main" uri="{B97F6D7D-B522-45F9-BDA1-12C45D357490}">
          <x15:cacheHierarchy aggregatedColumn="6"/>
        </ext>
      </extLst>
    </cacheHierarchy>
    <cacheHierarchy uniqueName="[Measures].[Count of Mois 4]" caption="Count of Mois 4" measure="1" displayFolder="" measureGroup="Budget1Data" count="0" hidden="1">
      <extLst>
        <ext xmlns:x15="http://schemas.microsoft.com/office/spreadsheetml/2010/11/main" uri="{B97F6D7D-B522-45F9-BDA1-12C45D357490}">
          <x15:cacheHierarchy aggregatedColumn="1"/>
        </ext>
      </extLst>
    </cacheHierarchy>
    <cacheHierarchy uniqueName="[Measures].[Count of Last_Montant]" caption="Count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Last_Montant]" caption="Sum of Last_Montant" measure="1" displayFolder="" measureGroup="Budget1Data" count="0" hidden="1">
      <extLst>
        <ext xmlns:x15="http://schemas.microsoft.com/office/spreadsheetml/2010/11/main" uri="{B97F6D7D-B522-45F9-BDA1-12C45D357490}">
          <x15:cacheHierarchy aggregatedColumn="11"/>
        </ext>
      </extLst>
    </cacheHierarchy>
    <cacheHierarchy uniqueName="[Measures].[Sum of Montant_Extrap 4]" caption="Sum of Montant_Extrap 4" measure="1" displayFolder="" measureGroup="DataBudget2" count="0" hidden="1">
      <extLst>
        <ext xmlns:x15="http://schemas.microsoft.com/office/spreadsheetml/2010/11/main" uri="{B97F6D7D-B522-45F9-BDA1-12C45D357490}">
          <x15:cacheHierarchy aggregatedColumn="19"/>
        </ext>
      </extLst>
    </cacheHierarchy>
    <cacheHierarchy uniqueName="[Measures].[Sum of Montant 6]" caption="Sum of Montant 6" measure="1" displayFolder="" measureGroup="DataBudget2" count="0" hidden="1">
      <extLst>
        <ext xmlns:x15="http://schemas.microsoft.com/office/spreadsheetml/2010/11/main" uri="{B97F6D7D-B522-45F9-BDA1-12C45D357490}">
          <x15:cacheHierarchy aggregatedColumn="18"/>
        </ext>
      </extLst>
    </cacheHierarchy>
    <cacheHierarchy uniqueName="[Measures].[Sum of Last_Montant 2]" caption="Sum of Last_Montant 2" measure="1" displayFolder="" measureGroup="DataBudget2" count="0" hidden="1">
      <extLst>
        <ext xmlns:x15="http://schemas.microsoft.com/office/spreadsheetml/2010/11/main" uri="{B97F6D7D-B522-45F9-BDA1-12C45D357490}">
          <x15:cacheHierarchy aggregatedColumn="20"/>
        </ext>
      </extLst>
    </cacheHierarchy>
    <cacheHierarchy uniqueName="[Measures].[Sum of Montant 3]" caption="Sum of Montant 3" measure="1" displayFolder="" measureGroup="Budget1Data" count="0" hidden="1">
      <extLst>
        <ext xmlns:x15="http://schemas.microsoft.com/office/spreadsheetml/2010/11/main" uri="{B97F6D7D-B522-45F9-BDA1-12C45D357490}">
          <x15:cacheHierarchy aggregatedColumn="6"/>
        </ext>
      </extLst>
    </cacheHierarchy>
    <cacheHierarchy uniqueName="[Measures].[Count of Cat_3]" caption="Count of Cat_3" measure="1" displayFolder="" measureGroup="Master" count="0" hidden="1">
      <extLst>
        <ext xmlns:x15="http://schemas.microsoft.com/office/spreadsheetml/2010/11/main" uri="{B97F6D7D-B522-45F9-BDA1-12C45D357490}">
          <x15:cacheHierarchy aggregatedColumn="48"/>
        </ext>
      </extLst>
    </cacheHierarchy>
    <cacheHierarchy uniqueName="[Measures].[Sum of Montant]" caption="Sum of Montant" measure="1" displayFolder="" measureGroup="Master_1" count="0" hidden="1">
      <extLst>
        <ext xmlns:x15="http://schemas.microsoft.com/office/spreadsheetml/2010/11/main" uri="{B97F6D7D-B522-45F9-BDA1-12C45D357490}">
          <x15:cacheHierarchy aggregatedColumn="61"/>
        </ext>
      </extLst>
    </cacheHierarchy>
  </cacheHierarchies>
  <kpis count="0"/>
  <calculatedMembers count="1">
    <calculatedMember name="[Set1]" mdx="{([Master].[Cat_2].&amp;[Abonnement]),([Master].[Cat_2].&amp;[Alimentaire]),([Master].[Cat_2].&amp;[Autre]),([Master].[Cat_2].&amp;[Charge]),([Master].[Cat_2].&amp;[Loisir]),([Master].[Cat_2].&amp;[Santé]),([Master].[Cat_2].&amp;[Voyage]),([Master].[Cat_2].&amp;[Income_1])}" set="1">
      <extLst>
        <ext xmlns:x14="http://schemas.microsoft.com/office/spreadsheetml/2009/9/main" uri="{0C70D0D5-359C-4a49-802D-23BBF952B5CE}">
          <x14:calculatedMember flattenHierarchies="0" hierarchizeDistinct="0">
            <x14:tupleSet rowCount="8">
              <x14:headers>
                <x14:header uniqueName="[Master].[Cat_2].[Cat_2]" hierarchyName="[Master].[Cat_2]"/>
              </x14:headers>
              <x14:rows>
                <x14:row>
                  <x14:rowItem u="[Master].[Cat_2].&amp;[Abonnement]" d="Abonnement"/>
                </x14:row>
                <x14:row>
                  <x14:rowItem u="[Master].[Cat_2].&amp;[Alimentaire]" d="Alimentaire"/>
                </x14:row>
                <x14:row>
                  <x14:rowItem u="[Master].[Cat_2].&amp;[Autre]" d="Autre"/>
                </x14:row>
                <x14:row>
                  <x14:rowItem u="[Master].[Cat_2].&amp;[Charge]" d="Charge"/>
                </x14:row>
                <x14:row>
                  <x14:rowItem u="[Master].[Cat_2].&amp;[Loisir]" d="Loisir"/>
                </x14:row>
                <x14:row>
                  <x14:rowItem u="[Master].[Cat_2].&amp;[Santé]" d="Santé"/>
                </x14:row>
                <x14:row>
                  <x14:rowItem u="[Master].[Cat_2].&amp;[Voyage]" d="Voyage"/>
                </x14:row>
                <x14:row>
                  <x14:rowItem u="[Master].[Cat_2].&amp;[Income_1]" d="Income_1"/>
                </x14:row>
              </x14:rows>
            </x14:tupleSet>
          </x14:calculatedMember>
        </ext>
      </extLst>
    </calculatedMember>
  </calculatedMembers>
  <extLst>
    <ext xmlns:x14="http://schemas.microsoft.com/office/spreadsheetml/2009/9/main" uri="{725AE2AE-9491-48be-B2B4-4EB974FC3084}">
      <x14:pivotCacheDefinition slicerData="1" pivotCacheId="106504610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7D663D-4D91-45AE-A457-1B4B17198F87}" name="PivotTotal" cacheId="21"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outline="1" outlineData="1" multipleFieldFilters="0">
  <location ref="F295:G297" firstHeaderRow="1" firstDataRow="1" firstDataCol="1"/>
  <pivotFields count="5">
    <pivotField axis="axisRow" allDrilled="1" subtotalTop="0" showAll="0" dataSourceSort="1" defaultSubtotal="0" defaultAttributeDrillState="1">
      <items count="1">
        <item s="1"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colItems count="1">
    <i/>
  </colItems>
  <dataFields count="1">
    <dataField name="Sum of Montant" fld="1" baseField="0"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C7FA68-FEF7-4EF0-8499-1725DEC6624F}" name="Cat3Pivot4" cacheId="18" applyNumberFormats="0" applyBorderFormats="0" applyFontFormats="0" applyPatternFormats="0" applyAlignmentFormats="0" applyWidthHeightFormats="1" dataCaption="Values" errorCaption="0" missingCaption="0" updatedVersion="8" minRefreshableVersion="3" showDrill="0" useAutoFormatting="1" colGrandTotals="0" itemPrintTitles="1" createdVersion="8" indent="0" showEmptyRow="1" outline="1" outlineData="1" multipleFieldFilters="0">
  <location ref="Q188:R203" firstHeaderRow="1" firstDataRow="3" firstDataCol="1"/>
  <pivotFields count="4">
    <pivotField axis="axisCol" allDrilled="1" subtotalTop="0" showAll="0" sortType="descending" defaultSubtotal="0" defaultAttributeDrillState="1">
      <items count="1">
        <item x="0"/>
      </items>
    </pivotField>
    <pivotField axis="axisCol" allDrilled="1" subtotalTop="0" showAll="0" dataSourceSort="1" defaultSubtotal="0" defaultAttributeDrillState="1">
      <items count="1">
        <item s="1" x="0"/>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3"/>
  </rowFields>
  <rowItems count="13">
    <i>
      <x/>
    </i>
    <i>
      <x v="1"/>
    </i>
    <i>
      <x v="2"/>
    </i>
    <i>
      <x v="3"/>
    </i>
    <i>
      <x v="4"/>
    </i>
    <i>
      <x v="5"/>
    </i>
    <i>
      <x v="6"/>
    </i>
    <i>
      <x v="7"/>
    </i>
    <i>
      <x v="8"/>
    </i>
    <i>
      <x v="9"/>
    </i>
    <i>
      <x v="10"/>
    </i>
    <i>
      <x v="11"/>
    </i>
    <i t="grand">
      <x/>
    </i>
  </rowItems>
  <colFields count="2">
    <field x="0"/>
    <field x="1"/>
  </colFields>
  <colItems count="1">
    <i>
      <x/>
      <x/>
    </i>
  </colItems>
  <dataFields count="1">
    <dataField name="Sum of Montant" fld="2" baseField="3"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2">
    <colHierarchyUsage hierarchyUsage="55"/>
    <colHierarchyUsage hierarchyUsage="5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C733DA-C252-4E62-AE18-65D488561165}" name="Cat3Pivot6" cacheId="14" applyNumberFormats="0" applyBorderFormats="0" applyFontFormats="0" applyPatternFormats="0" applyAlignmentFormats="0" applyWidthHeightFormats="1" dataCaption="Values" errorCaption="0" missingCaption="0" updatedVersion="8" minRefreshableVersion="3" showDrill="0" useAutoFormatting="1" colGrandTotals="0" itemPrintTitles="1" createdVersion="8" indent="0" showEmptyRow="1" outline="1" outlineData="1" multipleFieldFilters="0">
  <location ref="Q243:AA258" firstHeaderRow="1" firstDataRow="3" firstDataCol="1"/>
  <pivotFields count="4">
    <pivotField axis="axisCol" allDrilled="1" subtotalTop="0" showAll="0" sortType="descending" defaultSubtotal="0" defaultAttributeDrillState="1">
      <items count="1">
        <item x="0"/>
      </items>
    </pivotField>
    <pivotField axis="axisCol"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3"/>
  </rowFields>
  <rowItems count="13">
    <i>
      <x/>
    </i>
    <i>
      <x v="1"/>
    </i>
    <i>
      <x v="2"/>
    </i>
    <i>
      <x v="3"/>
    </i>
    <i>
      <x v="4"/>
    </i>
    <i>
      <x v="5"/>
    </i>
    <i>
      <x v="6"/>
    </i>
    <i>
      <x v="7"/>
    </i>
    <i>
      <x v="8"/>
    </i>
    <i>
      <x v="9"/>
    </i>
    <i>
      <x v="10"/>
    </i>
    <i>
      <x v="11"/>
    </i>
    <i t="grand">
      <x/>
    </i>
  </rowItems>
  <colFields count="2">
    <field x="0"/>
    <field x="1"/>
  </colFields>
  <colItems count="10">
    <i>
      <x/>
      <x/>
    </i>
    <i r="1">
      <x v="1"/>
    </i>
    <i r="1">
      <x v="2"/>
    </i>
    <i r="1">
      <x v="3"/>
    </i>
    <i r="1">
      <x v="4"/>
    </i>
    <i r="1">
      <x v="5"/>
    </i>
    <i r="1">
      <x v="6"/>
    </i>
    <i r="1">
      <x v="7"/>
    </i>
    <i r="1">
      <x v="8"/>
    </i>
    <i r="1">
      <x v="9"/>
    </i>
  </colItems>
  <dataFields count="1">
    <dataField name="Sum of Montant" fld="2" baseField="3"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2">
    <colHierarchyUsage hierarchyUsage="55"/>
    <colHierarchyUsage hierarchyUsage="5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71C7EA-16DB-464C-B701-90D012A710E5}" name="Cat3Pivot5" cacheId="17" applyNumberFormats="0" applyBorderFormats="0" applyFontFormats="0" applyPatternFormats="0" applyAlignmentFormats="0" applyWidthHeightFormats="1" dataCaption="Values" errorCaption="0" missingCaption="0" updatedVersion="8" minRefreshableVersion="3" showDrill="0" useAutoFormatting="1" colGrandTotals="0" itemPrintTitles="1" createdVersion="8" indent="0" showEmptyRow="1" outline="1" outlineData="1" multipleFieldFilters="0">
  <location ref="Q213:R228" firstHeaderRow="1" firstDataRow="3" firstDataCol="1"/>
  <pivotFields count="4">
    <pivotField axis="axisCol" allDrilled="1" subtotalTop="0" showAll="0" sortType="descending" defaultSubtotal="0" defaultAttributeDrillState="1">
      <items count="1">
        <item x="0"/>
      </items>
    </pivotField>
    <pivotField axis="axisCol" allDrilled="1" subtotalTop="0" showAll="0" dataSourceSort="1" defaultSubtotal="0" defaultAttributeDrillState="1">
      <items count="1">
        <item s="1" x="0"/>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3"/>
  </rowFields>
  <rowItems count="13">
    <i>
      <x/>
    </i>
    <i>
      <x v="1"/>
    </i>
    <i>
      <x v="2"/>
    </i>
    <i>
      <x v="3"/>
    </i>
    <i>
      <x v="4"/>
    </i>
    <i>
      <x v="5"/>
    </i>
    <i>
      <x v="6"/>
    </i>
    <i>
      <x v="7"/>
    </i>
    <i>
      <x v="8"/>
    </i>
    <i>
      <x v="9"/>
    </i>
    <i>
      <x v="10"/>
    </i>
    <i>
      <x v="11"/>
    </i>
    <i t="grand">
      <x/>
    </i>
  </rowItems>
  <colFields count="2">
    <field x="0"/>
    <field x="1"/>
  </colFields>
  <colItems count="1">
    <i>
      <x/>
      <x/>
    </i>
  </colItems>
  <dataFields count="1">
    <dataField name="Sum of Montant" fld="2" baseField="3"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2">
    <colHierarchyUsage hierarchyUsage="55"/>
    <colHierarchyUsage hierarchyUsage="5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D15D76-EF6B-4D9B-B1F1-DEB86379C83D}" name="Cat3Pivot3" cacheId="16" applyNumberFormats="0" applyBorderFormats="0" applyFontFormats="0" applyPatternFormats="0" applyAlignmentFormats="0" applyWidthHeightFormats="1" dataCaption="Values" errorCaption="0" missingCaption="0" updatedVersion="8" minRefreshableVersion="3" showDrill="0" useAutoFormatting="1" colGrandTotals="0" itemPrintTitles="1" createdVersion="8" indent="0" showEmptyRow="1" outline="1" outlineData="1" multipleFieldFilters="0">
  <location ref="Q162:R177" firstHeaderRow="1" firstDataRow="3" firstDataCol="1"/>
  <pivotFields count="4">
    <pivotField axis="axisCol" allDrilled="1" subtotalTop="0" showAll="0" sortType="descending" defaultSubtotal="0" defaultAttributeDrillState="1">
      <items count="1">
        <item x="0"/>
      </items>
    </pivotField>
    <pivotField axis="axisCol" allDrilled="1" subtotalTop="0" showAll="0" dataSourceSort="1" defaultSubtotal="0" defaultAttributeDrillState="1">
      <items count="1">
        <item s="1" x="0"/>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3"/>
  </rowFields>
  <rowItems count="13">
    <i>
      <x/>
    </i>
    <i>
      <x v="1"/>
    </i>
    <i>
      <x v="2"/>
    </i>
    <i>
      <x v="3"/>
    </i>
    <i>
      <x v="4"/>
    </i>
    <i>
      <x v="5"/>
    </i>
    <i>
      <x v="6"/>
    </i>
    <i>
      <x v="7"/>
    </i>
    <i>
      <x v="8"/>
    </i>
    <i>
      <x v="9"/>
    </i>
    <i>
      <x v="10"/>
    </i>
    <i>
      <x v="11"/>
    </i>
    <i t="grand">
      <x/>
    </i>
  </rowItems>
  <colFields count="2">
    <field x="0"/>
    <field x="1"/>
  </colFields>
  <colItems count="1">
    <i>
      <x/>
      <x/>
    </i>
  </colItems>
  <dataFields count="1">
    <dataField name="Sum of Montant" fld="2" baseField="3"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2">
    <colHierarchyUsage hierarchyUsage="55"/>
    <colHierarchyUsage hierarchyUsage="5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E6EA2C-B2B5-4AD8-AB19-36331321C81D}" name="Analyse_Dépenses" cacheId="19" applyNumberFormats="0" applyBorderFormats="0" applyFontFormats="0" applyPatternFormats="0" applyAlignmentFormats="0" applyWidthHeightFormats="1" dataCaption="Values" missingCaption="0" tag="f939e5a9-88eb-4cad-9fdc-5a80d244c802" updatedVersion="8" minRefreshableVersion="3" visualTotals="0" useAutoFormatting="1" subtotalHiddenItems="1" itemPrintTitles="1" createdVersion="8" indent="0" outline="1" outlineData="1">
  <location ref="A101:C106" firstHeaderRow="1" firstDataRow="2" firstDataCol="1" rowPageCount="1" colPageCount="1"/>
  <pivotFields count="8">
    <pivotField axis="axisRow" allDrilled="1" subtotalTop="0" showAll="0" dataSourceSort="1" defaultAttributeDrillState="1">
      <items count="2">
        <item s="1" x="0"/>
        <item t="default"/>
      </items>
    </pivotField>
    <pivotField axis="axisRow" allDrilled="1" subtotalTop="0" showAll="0" dataSourceSort="1" defaultSubtotal="0" defaultAttributeDrillState="1">
      <items count="1">
        <item x="0"/>
      </items>
    </pivotField>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2">
    <field x="0"/>
    <field x="1"/>
  </rowFields>
  <rowItems count="4">
    <i>
      <x/>
    </i>
    <i r="1">
      <x/>
    </i>
    <i t="default">
      <x/>
    </i>
    <i t="grand">
      <x/>
    </i>
  </rowItems>
  <colFields count="1">
    <field x="-2"/>
  </colFields>
  <colItems count="2">
    <i>
      <x/>
    </i>
    <i i="1">
      <x v="1"/>
    </i>
  </colItems>
  <pageFields count="1">
    <pageField fld="2" hier="57" name="[Master_1].[Cat_1].&amp;[Dépense]" cap="Dépense"/>
  </pageFields>
  <dataFields count="2">
    <dataField name="Analyse/Catégorie" fld="3" baseField="0" baseItem="0" numFmtId="10">
      <extLst>
        <ext xmlns:x14="http://schemas.microsoft.com/office/spreadsheetml/2009/9/main" uri="{E15A36E0-9728-4e99-A89B-3F7291B0FE68}">
          <x14:dataField pivotShowAs="percentOfParent"/>
        </ext>
      </extLst>
    </dataField>
    <dataField name="Analyse/Total dépense" fld="7" baseField="1" baseItem="0" numFmtId="2">
      <extLst>
        <ext xmlns:x14="http://schemas.microsoft.com/office/spreadsheetml/2009/9/main" uri="{E15A36E0-9728-4e99-A89B-3F7291B0FE68}">
          <x14:dataField sourceField="3" uniqueName="[__Xl2].[Measures].[Sum of Montant]"/>
        </ext>
      </extLst>
    </dataField>
  </dataField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Master_1].[Cat_1].&amp;[Dépense]"/>
      </members>
    </pivotHierarchy>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nalyse/Total dépense"/>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2">
    <rowHierarchyUsage hierarchyUsage="58"/>
    <rowHierarchyUsage hierarchyUsage="5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9AF8BD-6612-49C8-8016-D68F722834CA}" name="PivotTable1" cacheId="27" applyNumberFormats="0" applyBorderFormats="0" applyFontFormats="0" applyPatternFormats="0" applyAlignmentFormats="0" applyWidthHeightFormats="1" dataCaption="Values" showError="1" tag="e23afc71-a973-44a4-855b-a83f17bc8636" updatedVersion="8" minRefreshableVersion="3" showDrill="0" useAutoFormatting="1" colGrandTotals="0" itemPrintTitles="1" createdVersion="8" indent="0" showEmptyRow="1" outline="1" outlineData="1" multipleFieldFilters="0" chartFormat="4">
  <location ref="A10:B24" firstHeaderRow="1" firstDataRow="2"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xis="axisCol" allDrilled="1" subtotalTop="0" showAll="0" sortType="descending"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1">
    <i>
      <x/>
    </i>
  </colItems>
  <dataFields count="1">
    <dataField name="Sum of Montant" fld="1" baseField="0"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1">
    <colHierarchyUsage hierarchyUsage="5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001B5E8-F060-45FB-99F4-46E1F7F940A5}" name="F2024" cacheId="23" applyNumberFormats="0" applyBorderFormats="0" applyFontFormats="0" applyPatternFormats="0" applyAlignmentFormats="0" applyWidthHeightFormats="1" dataCaption="Values" missingCaption="0" tag="3c95dca9-8c04-4ae8-89cd-5d8de1f9af3e" updatedVersion="8" minRefreshableVersion="3" useAutoFormatting="1" subtotalHiddenItems="1" colGrandTotals="0" itemPrintTitles="1" createdVersion="8" indent="0" outline="1" outlineData="1" multipleFieldFilters="0">
  <location ref="A58:B72" firstHeaderRow="1" firstDataRow="2"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xis="axisCol" allDrilled="1" subtotalTop="0" showAll="0" sortType="descending"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1">
    <i>
      <x/>
    </i>
  </colItems>
  <dataFields count="1">
    <dataField name="Sum of Montant" fld="1" baseField="0"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1">
    <colHierarchyUsage hierarchyUsage="5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6B9DF4F-FD0A-4544-8A58-B083F12BB8CD}" name="Cat3Pivot" cacheId="15" applyNumberFormats="0" applyBorderFormats="0" applyFontFormats="0" applyPatternFormats="0" applyAlignmentFormats="0" applyWidthHeightFormats="1" dataCaption="Values" errorCaption="0" missingCaption="0" updatedVersion="8" minRefreshableVersion="3" showDrill="0" useAutoFormatting="1" colGrandTotals="0" itemPrintTitles="1" createdVersion="8" indent="0" showEmptyRow="1" outline="1" outlineData="1" multipleFieldFilters="0">
  <location ref="Q113:R128" firstHeaderRow="1" firstDataRow="3" firstDataCol="1"/>
  <pivotFields count="4">
    <pivotField axis="axisCol" allDrilled="1" subtotalTop="0" showAll="0" sortType="descending" defaultSubtotal="0" defaultAttributeDrillState="1">
      <items count="1">
        <item x="0"/>
      </items>
    </pivotField>
    <pivotField axis="axisCol" allDrilled="1" subtotalTop="0" showAll="0" dataSourceSort="1" defaultSubtotal="0" defaultAttributeDrillState="1">
      <items count="1">
        <item s="1" x="0"/>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3"/>
  </rowFields>
  <rowItems count="13">
    <i>
      <x/>
    </i>
    <i>
      <x v="1"/>
    </i>
    <i>
      <x v="2"/>
    </i>
    <i>
      <x v="3"/>
    </i>
    <i>
      <x v="4"/>
    </i>
    <i>
      <x v="5"/>
    </i>
    <i>
      <x v="6"/>
    </i>
    <i>
      <x v="7"/>
    </i>
    <i>
      <x v="8"/>
    </i>
    <i>
      <x v="9"/>
    </i>
    <i>
      <x v="10"/>
    </i>
    <i>
      <x v="11"/>
    </i>
    <i t="grand">
      <x/>
    </i>
  </rowItems>
  <colFields count="2">
    <field x="0"/>
    <field x="1"/>
  </colFields>
  <colItems count="1">
    <i>
      <x/>
      <x/>
    </i>
  </colItems>
  <dataFields count="1">
    <dataField name="Sum of Montant" fld="2" baseField="3"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2">
    <colHierarchyUsage hierarchyUsage="55"/>
    <colHierarchyUsage hierarchyUsage="5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D65951D-D267-4396-999A-36E034A5034E}" name="PivotOtalPapillon" cacheId="24" applyNumberFormats="0" applyBorderFormats="0" applyFontFormats="0" applyPatternFormats="0" applyAlignmentFormats="0" applyWidthHeightFormats="1" dataCaption="Values" missingCaption="0" tag="aacf9a1c-a17a-488c-a9b3-c47bdd7e63e2" updatedVersion="8" minRefreshableVersion="3" useAutoFormatting="1" itemPrintTitles="1" createdVersion="8" indent="0" showEmptyRow="1" outline="1" outlineData="1" multipleFieldFilters="0">
  <location ref="A82:B86" firstHeaderRow="1" firstDataRow="1" firstDataCol="1" rowPageCount="1" colPageCount="1"/>
  <pivotFields count="5">
    <pivotField axis="axisRow" allDrilled="1" subtotalTop="0" showAll="0" dataSourceSort="1" defaultSubtotal="0" defaultAttributeDrillState="1">
      <items count="3">
        <item x="0"/>
        <item x="1"/>
        <item x="2"/>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pageFields count="1">
    <pageField fld="2" hier="57" name="[Master_1].[Cat_1].&amp;[Income]" cap="Income"/>
  </pageFields>
  <dataFields count="1">
    <dataField name="Sum of Montant" fld="1" baseField="0" baseItem="0"/>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Master_1].[Cat_1].&amp;[Income]"/>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734ED0B-54AD-4B23-9399-CFD74DADCCCF}" name="PivotDépense" cacheId="26"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outline="1" outlineData="1" multipleFieldFilters="0">
  <location ref="A273:C281" firstHeaderRow="0" firstDataRow="1" firstDataCol="1" rowPageCount="1" colPageCount="1"/>
  <pivotFields count="7">
    <pivotField axis="axisPage" allDrilled="1" subtotalTop="0" showAll="0" dataSourceSort="1" defaultSubtotal="0" defaultAttributeDrillState="1"/>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8">
    <i>
      <x/>
    </i>
    <i>
      <x v="1"/>
    </i>
    <i>
      <x v="2"/>
    </i>
    <i>
      <x v="3"/>
    </i>
    <i>
      <x v="4"/>
    </i>
    <i>
      <x v="5"/>
    </i>
    <i>
      <x v="6"/>
    </i>
    <i t="grand">
      <x/>
    </i>
  </rowItems>
  <colFields count="1">
    <field x="-2"/>
  </colFields>
  <colItems count="2">
    <i>
      <x/>
    </i>
    <i i="1">
      <x v="1"/>
    </i>
  </colItems>
  <pageFields count="1">
    <pageField fld="0" hier="57" name="[Master_1].[Cat_1].&amp;[Dépense]" cap="Dépense"/>
  </pageFields>
  <dataFields count="2">
    <dataField name="Sum of Montant" fld="2" showDataAs="percentOfTotal" baseField="1" baseItem="0" numFmtId="10"/>
    <dataField name="Sum of Montant2" fld="6" baseField="1" baseItem="0" numFmtId="2">
      <extLst>
        <ext xmlns:x14="http://schemas.microsoft.com/office/spreadsheetml/2009/9/main" uri="{E15A36E0-9728-4e99-A89B-3F7291B0FE68}">
          <x14:dataField sourceField="2" uniqueName="[__Xl2].[Measures].[Sum of Montant]"/>
        </ext>
      </extLst>
    </dataField>
  </dataField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Master_1].[Cat_1].&amp;[Dépense]"/>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6B6D115-E26B-4AB9-BB8E-B5E677E6CB1A}" name="F2023" cacheId="25" applyNumberFormats="0" applyBorderFormats="0" applyFontFormats="0" applyPatternFormats="0" applyAlignmentFormats="0" applyWidthHeightFormats="1" dataCaption="Values" missingCaption="0" tag="78e68a7f-dbca-4a97-ae37-820e7d176632" updatedVersion="8" minRefreshableVersion="3" showDrill="0" useAutoFormatting="1" subtotalHiddenItems="1" colGrandTotals="0" itemPrintTitles="1" createdVersion="8" indent="0" showEmptyRow="1" outline="1" outlineData="1" multipleFieldFilters="0">
  <location ref="A36:B50" firstHeaderRow="1" firstDataRow="2"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sortType="descending" defaultSubtotal="0" defaultAttributeDrillState="1">
      <items count="1">
        <item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1"/>
  </colFields>
  <colItems count="1">
    <i>
      <x/>
    </i>
  </colItems>
  <dataFields count="1">
    <dataField name="Sum of Montant" fld="2" baseField="0"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1">
    <colHierarchyUsage hierarchyUsage="5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B916355-D161-459D-B0AC-A61C5F307DD9}" name="TbRegletteIncome" cacheId="22" applyNumberFormats="0" applyBorderFormats="0" applyFontFormats="0" applyPatternFormats="0" applyAlignmentFormats="0" applyWidthHeightFormats="1" dataCaption="Values" missingCaption="0" updatedVersion="8" minRefreshableVersion="3" showDrill="0" useAutoFormatting="1" subtotalHiddenItems="1" itemPrintTitles="1" createdVersion="8" indent="0" showEmptyRow="1" outline="1" outlineData="1">
  <location ref="A333:B346"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Montant" fld="1" baseField="0"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53C32DE-FFB5-43E3-BAED-C7690A6ADB5A}" name="Cat3Pivot2" cacheId="13" applyNumberFormats="0" applyBorderFormats="0" applyFontFormats="0" applyPatternFormats="0" applyAlignmentFormats="0" applyWidthHeightFormats="1" dataCaption="Values" errorCaption="0" missingCaption="0" updatedVersion="8" minRefreshableVersion="3" showDrill="0" useAutoFormatting="1" colGrandTotals="0" itemPrintTitles="1" createdVersion="8" indent="0" showEmptyRow="1" outline="1" outlineData="1" multipleFieldFilters="0">
  <location ref="Q137:R152" firstHeaderRow="1" firstDataRow="3" firstDataCol="1"/>
  <pivotFields count="4">
    <pivotField axis="axisCol" allDrilled="1" subtotalTop="0" showAll="0" sortType="descending" defaultSubtotal="0" defaultAttributeDrillState="1">
      <items count="1">
        <item x="0"/>
      </items>
    </pivotField>
    <pivotField axis="axisCol" allDrilled="1" subtotalTop="0" showAll="0" dataSourceSort="1" defaultSubtotal="0" defaultAttributeDrillState="1">
      <items count="1">
        <item s="1" x="0"/>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3"/>
  </rowFields>
  <rowItems count="13">
    <i>
      <x/>
    </i>
    <i>
      <x v="1"/>
    </i>
    <i>
      <x v="2"/>
    </i>
    <i>
      <x v="3"/>
    </i>
    <i>
      <x v="4"/>
    </i>
    <i>
      <x v="5"/>
    </i>
    <i>
      <x v="6"/>
    </i>
    <i>
      <x v="7"/>
    </i>
    <i>
      <x v="8"/>
    </i>
    <i>
      <x v="9"/>
    </i>
    <i>
      <x v="10"/>
    </i>
    <i>
      <x v="11"/>
    </i>
    <i t="grand">
      <x/>
    </i>
  </rowItems>
  <colFields count="2">
    <field x="0"/>
    <field x="1"/>
  </colFields>
  <colItems count="1">
    <i>
      <x/>
      <x/>
    </i>
  </colItems>
  <dataFields count="1">
    <dataField name="Sum of Montant" fld="2" baseField="3"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2"/>
  </rowHierarchiesUsage>
  <colHierarchiesUsage count="2">
    <colHierarchyUsage hierarchyUsage="55"/>
    <colHierarchyUsage hierarchyUsage="5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F817D02-84A2-4217-A3BD-A5027F69B556}" name="PivotIncome" cacheId="20"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outline="1" outlineData="1" multipleFieldFilters="0">
  <location ref="A295:B299" firstHeaderRow="1" firstDataRow="1" firstDataCol="1" rowPageCount="1" colPageCount="1"/>
  <pivotFields count="6">
    <pivotField axis="axisPage" allDrilled="1" subtotalTop="0" showAll="0" dataSourceSort="1" defaultSubtotal="0" defaultAttributeDrillState="1"/>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pageFields count="1">
    <pageField fld="0" hier="57" name="[Master_1].[Cat_1].&amp;[Income]" cap="Income"/>
  </pageFields>
  <dataFields count="1">
    <dataField name="Sum of Montant" fld="2" baseField="1" baseItem="0" numFmtId="2"/>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Master_1].[Cat_1].&amp;[Income]"/>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ealthFinPilot_Retest14.xlsm!Master_1">
        <x15:activeTabTopLevelEntity name="[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C832A00-B291-43D5-A187-BFAC28D1CEEB}" name="Budget1_Cat3_Total" cacheId="4" applyNumberFormats="0" applyBorderFormats="0" applyFontFormats="0" applyPatternFormats="0" applyAlignmentFormats="0" applyWidthHeightFormats="1" dataCaption="Values" missingCaption="0" tag="d4d58a32-4fad-4abf-81a9-bac7a4b6dc25" updatedVersion="8" minRefreshableVersion="3" useAutoFormatting="1" subtotalHiddenItems="1" itemPrintTitles="1" createdVersion="8" indent="0" showEmptyRow="1" showEmptyCol="1" outline="1" outlineData="1" multipleFieldFilters="0">
  <location ref="AJ7:AL11" firstHeaderRow="0" firstDataRow="1" firstDataCol="1" rowPageCount="1" colPageCount="1"/>
  <pivotFields count="7">
    <pivotField axis="axisRow" allDrilled="1" subtotalTop="0" showAll="0" dataSourceSort="1" defaultAttributeDrillState="1">
      <items count="2">
        <item s="1" x="0"/>
        <item t="default"/>
      </items>
    </pivotField>
    <pivotField axis="axisRow" allDrilled="1" subtotalTop="0" showAll="0" defaultSubtotal="0" defaultAttributeDrillState="1">
      <items count="1">
        <item x="0"/>
      </items>
    </pivotField>
    <pivotField axis="axisPage"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4">
    <i>
      <x/>
    </i>
    <i r="1">
      <x/>
    </i>
    <i t="default">
      <x/>
    </i>
    <i t="grand">
      <x/>
    </i>
  </rowItems>
  <colFields count="1">
    <field x="-2"/>
  </colFields>
  <colItems count="2">
    <i>
      <x/>
    </i>
    <i i="1">
      <x v="1"/>
    </i>
  </colItems>
  <pageFields count="1">
    <pageField fld="2" hier="2" name="[Budget1Data].[Cat_1].&amp;[Dépense]" cap="Dépense"/>
  </pageFields>
  <dataFields count="2">
    <dataField fld="3" subtotal="count" baseField="1" baseItem="0" numFmtId="2"/>
    <dataField fld="4" subtotal="count" baseField="1" baseItem="0" numFmtId="2"/>
  </dataFields>
  <pivotHierarchies count="119">
    <pivotHierarchy multipleItemSelectionAllowed="1" dragToData="1"/>
    <pivotHierarchy dragToData="1"/>
    <pivotHierarchy multipleItemSelectionAllowed="1" dragToData="1">
      <members count="1" level="1">
        <member name="[Budget1Data].[Cat_1].&amp;[Dépense]"/>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3"/>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8.xlsm!Budget1Data">
        <x15:activeTabTopLevelEntity name="[Budget1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C73BA39-8BD8-4135-B064-0B77CE5E665C}" name="Budget1_Income" cacheId="5" applyNumberFormats="0" applyBorderFormats="0" applyFontFormats="0" applyPatternFormats="0" applyAlignmentFormats="0" applyWidthHeightFormats="1" dataCaption="Values" missingCaption="0" tag="61529eaa-2bd3-4dfb-88e1-d4f6a646838e" updatedVersion="8" minRefreshableVersion="3" useAutoFormatting="1" subtotalHiddenItems="1" itemPrintTitles="1" createdVersion="8" indent="0" showEmptyRow="1" showEmptyCol="1" outline="1" outlineData="1" multipleFieldFilters="0">
  <location ref="AF7:AH11" firstHeaderRow="0" firstDataRow="1" firstDataCol="1" rowPageCount="1" colPageCount="1"/>
  <pivotFields count="6">
    <pivotField dataField="1" subtotalTop="0" showAll="0" defaultSubtotal="0"/>
    <pivotField dataField="1" subtotalTop="0" showAll="0" defaultSubtotal="0"/>
    <pivotField axis="axisPage" allDrilled="1" subtotalTop="0" showAll="0" dataSourceSort="1" defaultSubtotal="0" defaultAttributeDrillState="1">
      <items count="1">
        <item s="1" x="0"/>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4">
    <i>
      <x/>
    </i>
    <i>
      <x v="1"/>
    </i>
    <i>
      <x v="2"/>
    </i>
    <i t="grand">
      <x/>
    </i>
  </rowItems>
  <colFields count="1">
    <field x="-2"/>
  </colFields>
  <colItems count="2">
    <i>
      <x/>
    </i>
    <i i="1">
      <x v="1"/>
    </i>
  </colItems>
  <pageFields count="1">
    <pageField fld="2" hier="2" name="[Budget1Data].[Cat_1].&amp;[Income]" cap="Income"/>
  </pageFields>
  <dataFields count="2">
    <dataField name="Sum of Montant_Extrap" fld="1" baseField="0" baseItem="0"/>
    <dataField name="Sum of Last_Montant" fld="0" baseField="0" baseItem="0"/>
  </dataFields>
  <pivotHierarchies count="119">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8.xlsm!Budget1Data">
        <x15:activeTabTopLevelEntity name="[Budget1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F7AB723-27E2-4929-A328-B4FE3BB2A9AD}" name="Budget1_Cat2" cacheId="3" applyNumberFormats="0" applyBorderFormats="0" applyFontFormats="0" applyPatternFormats="0" applyAlignmentFormats="0" applyWidthHeightFormats="1" dataCaption="Values" missingCaption="0" tag="e4491144-c9d3-4507-aad6-beff14ab00d4" updatedVersion="8" minRefreshableVersion="3" useAutoFormatting="1" subtotalHiddenItems="1" itemPrintTitles="1" createdVersion="8" indent="0" showEmptyRow="1" showEmptyCol="1" outline="1" outlineData="1" multipleFieldFilters="0">
  <location ref="AF32:AH40" firstHeaderRow="0" firstDataRow="1" firstDataCol="1" rowPageCount="1" colPageCount="1"/>
  <pivotFields count="6">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pageFields count="1">
    <pageField fld="1" hier="2" name="[Budget1Data].[Cat_1].&amp;[Dépense]" cap="Dépense"/>
  </pageFields>
  <dataFields count="2">
    <dataField fld="2" subtotal="count" baseField="0" baseItem="0"/>
    <dataField fld="3" subtotal="count" baseField="0" baseItem="0"/>
  </dataFields>
  <pivotHierarchies count="119">
    <pivotHierarchy multipleItemSelectionAllowed="1" dragToData="1"/>
    <pivotHierarchy dragToData="1"/>
    <pivotHierarchy multipleItemSelectionAllowed="1" dragToData="1">
      <members count="1" level="1">
        <member name="[Budget1Data].[Cat_1].&amp;[Dépens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8.xlsm!Budget1Data">
        <x15:activeTabTopLevelEntity name="[Budget1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12816D2-9E6D-4208-84BC-AAEFC9DCD02F}" name="Budget1_Cat3-1" cacheId="2" applyNumberFormats="0" applyBorderFormats="0" applyFontFormats="0" applyPatternFormats="0" applyAlignmentFormats="0" applyWidthHeightFormats="1" dataCaption="Values" missingCaption="0" tag="0389be0a-d1b1-467b-9b4c-ee6ed248f0b8" updatedVersion="8" minRefreshableVersion="3" useAutoFormatting="1" subtotalHiddenItems="1" rowGrandTotals="0" itemPrintTitles="1" createdVersion="8" indent="0" showEmptyRow="1" showEmptyCol="1" outline="1" outlineData="1" multipleFieldFilters="0">
  <location ref="AQ7:AU10" firstHeaderRow="0" firstDataRow="1" firstDataCol="2"/>
  <pivotFields count="8">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axis="axisRow" allDrilled="1" subtotalTop="0" showAll="0" defaultSubtotal="0" defaultAttributeDrillState="1">
      <items count="2">
        <item n="janv" x="0"/>
        <item n="févr" x="1"/>
      </items>
    </pivotField>
    <pivotField axis="axisRow" allDrilled="1" outline="0"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3">
    <field x="0"/>
    <field x="4"/>
    <field x="3"/>
  </rowFields>
  <rowItems count="3">
    <i>
      <x/>
    </i>
    <i r="1">
      <x/>
      <x/>
    </i>
    <i r="2">
      <x v="1"/>
    </i>
  </rowItems>
  <colFields count="1">
    <field x="-2"/>
  </colFields>
  <colItems count="3">
    <i>
      <x/>
    </i>
    <i i="1">
      <x v="1"/>
    </i>
    <i i="2">
      <x v="2"/>
    </i>
  </colItems>
  <dataFields count="3">
    <dataField fld="1" subtotal="count" baseField="0" baseItem="0"/>
    <dataField fld="2" subtotal="count" baseField="0" baseItem="0"/>
    <dataField fld="5" subtotal="count" baseField="0" baseItem="0"/>
  </dataFields>
  <pivotHierarchies count="119">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4"/>
    <rowHierarchyUsage hierarchyUsage="8"/>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dget1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B4C211C4-9A1F-4543-9114-A8D5B692A707}" name="Budget1_QA1" cacheId="28" applyNumberFormats="0" applyBorderFormats="0" applyFontFormats="0" applyPatternFormats="0" applyAlignmentFormats="0" applyWidthHeightFormats="1" dataCaption="Values" missingCaption="0" tag="bb106c15-5745-4377-8f47-e1c0c4d30a60" updatedVersion="8" minRefreshableVersion="3" useAutoFormatting="1" subtotalHiddenItems="1" itemPrintTitles="1" createdVersion="8" indent="127" showEmptyRow="1" showEmptyCol="1" outline="1" outlineData="1" multipleFieldFilters="0">
  <location ref="A50:Q57" firstHeaderRow="1" firstDataRow="3" firstDataCol="1"/>
  <pivotFields count="5">
    <pivotField axis="axisRow" allDrilled="1" subtotalTop="0" showAll="0" dataSourceSort="1" defaultAttributeDrillState="1">
      <items count="2">
        <item x="0"/>
        <item t="default"/>
      </items>
    </pivotField>
    <pivotField axis="axisCol" allDrilled="1" subtotalTop="0" showAll="0" dataSourceSort="1" defaultSubtotal="0" defaultAttributeDrillState="1">
      <items count="7">
        <item s="1" x="0"/>
        <item s="1" x="1"/>
        <item s="1" x="2"/>
        <item s="1" x="3"/>
        <item s="1" x="4"/>
        <item s="1" x="5"/>
        <item s="1" x="6"/>
      </items>
    </pivotField>
    <pivotField dataField="1" subtotalTop="0" showAll="0" defaultSubtotal="0"/>
    <pivotField axis="axisRow" allDrilled="1" subtotalTop="0" showAll="0" dataSourceSort="1" defaultSubtotal="0" defaultAttributeDrillState="1">
      <items count="2">
        <item x="0"/>
        <item x="1"/>
      </items>
    </pivotField>
    <pivotField dataField="1" subtotalTop="0" showAll="0" defaultSubtotal="0"/>
  </pivotFields>
  <rowFields count="2">
    <field x="3"/>
    <field x="0"/>
  </rowFields>
  <rowItems count="5">
    <i>
      <x/>
    </i>
    <i r="1">
      <x/>
    </i>
    <i>
      <x v="1"/>
    </i>
    <i r="1">
      <x/>
    </i>
    <i t="grand">
      <x/>
    </i>
  </rowItems>
  <colFields count="2">
    <field x="1"/>
    <field x="-2"/>
  </colFields>
  <colItems count="16">
    <i>
      <x/>
      <x/>
    </i>
    <i r="1" i="1">
      <x v="1"/>
    </i>
    <i>
      <x v="1"/>
      <x/>
    </i>
    <i r="1" i="1">
      <x v="1"/>
    </i>
    <i>
      <x v="2"/>
      <x/>
    </i>
    <i r="1" i="1">
      <x v="1"/>
    </i>
    <i>
      <x v="3"/>
      <x/>
    </i>
    <i r="1" i="1">
      <x v="1"/>
    </i>
    <i>
      <x v="4"/>
      <x/>
    </i>
    <i r="1" i="1">
      <x v="1"/>
    </i>
    <i>
      <x v="5"/>
      <x/>
    </i>
    <i r="1" i="1">
      <x v="1"/>
    </i>
    <i>
      <x v="6"/>
      <x/>
    </i>
    <i r="1" i="1">
      <x v="1"/>
    </i>
    <i t="grand">
      <x/>
    </i>
    <i t="grand" i="1">
      <x/>
    </i>
  </colItems>
  <dataFields count="2">
    <dataField fld="2" subtotal="count" baseField="0" baseItem="0"/>
    <dataField fld="4" subtotal="count" baseField="0" baseItem="0"/>
  </dataFields>
  <pivotHierarchies count="119">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9"/>
  </rowHierarchiesUsage>
  <colHierarchiesUsage count="2">
    <colHierarchyUsage hierarchyUsage="3"/>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dget1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C67F23B5-FD17-41C9-B8DE-F500A0B717CE}" name="Budget1_Cat2_Ratio" cacheId="6"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outline="1" outlineData="1" multipleFieldFilters="0">
  <location ref="T8:U16" firstHeaderRow="1" firstDataRow="1" firstDataCol="1" rowPageCount="1" colPageCount="1"/>
  <pivotFields count="3">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s>
  <rowFields count="1">
    <field x="0"/>
  </rowFields>
  <rowItems count="8">
    <i>
      <x/>
    </i>
    <i>
      <x v="1"/>
    </i>
    <i>
      <x v="2"/>
    </i>
    <i>
      <x v="3"/>
    </i>
    <i>
      <x v="4"/>
    </i>
    <i>
      <x v="5"/>
    </i>
    <i>
      <x v="6"/>
    </i>
    <i t="grand">
      <x/>
    </i>
  </rowItems>
  <colItems count="1">
    <i/>
  </colItems>
  <pageFields count="1">
    <pageField fld="1" hier="2" name="[Budget1Data].[Cat_1].&amp;[Dépense]" cap="Dépense"/>
  </pageFields>
  <dataFields count="1">
    <dataField fld="2" subtotal="count" showDataAs="percentOfTotal" baseField="0" baseItem="0" numFmtId="10"/>
  </dataFields>
  <pivotHierarchies count="119">
    <pivotHierarchy multipleItemSelectionAllowed="1" dragToData="1"/>
    <pivotHierarchy dragToData="1"/>
    <pivotHierarchy multipleItemSelectionAllowed="1" dragToData="1">
      <members count="1" level="1">
        <member name="[Budget1Data].[Cat_1].&amp;[Dépens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8.xlsm!Budget1Data">
        <x15:activeTabTopLevelEntity name="[Budget1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7847AEB-D968-46FE-B4B5-30135AA138ED}" name="Budget1_CashFlow" cacheId="1" applyNumberFormats="0" applyBorderFormats="0" applyFontFormats="0" applyPatternFormats="0" applyAlignmentFormats="0" applyWidthHeightFormats="1" dataCaption="Values" missingCaption="0" tag="b49d7331-44d1-4175-b1ce-b67b18bd7cbd" updatedVersion="8" minRefreshableVersion="3" useAutoFormatting="1" subtotalHiddenItems="1" rowGrandTotals="0" itemPrintTitles="1" createdVersion="8" indent="0" showEmptyRow="1" showEmptyCol="1" outline="1" outlineData="1" multipleFieldFilters="0" chartFormat="24">
  <location ref="Z8:AD12" firstHeaderRow="0" firstDataRow="1" firstDataCol="2"/>
  <pivotFields count="6">
    <pivotField axis="axisRow" allDrilled="1" outline="0" subtotalTop="0" showAll="0" dataSourceSort="1" defaultSubtotal="0" defaultAttributeDrillState="1">
      <items count="2">
        <item x="0"/>
        <item x="1"/>
      </items>
    </pivotField>
    <pivotField axis="axisRow" allDrilled="1" subtotalTop="0" showAll="0" defaultSubtotal="0" defaultAttributeDrillState="1">
      <items count="2">
        <item n="janv" x="0"/>
        <item n="févr"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4">
    <i>
      <x/>
      <x/>
    </i>
    <i r="1">
      <x v="1"/>
    </i>
    <i>
      <x v="1"/>
      <x/>
    </i>
    <i r="1">
      <x v="1"/>
    </i>
  </rowItems>
  <colFields count="1">
    <field x="-2"/>
  </colFields>
  <colItems count="3">
    <i>
      <x/>
    </i>
    <i i="1">
      <x v="1"/>
    </i>
    <i i="2">
      <x v="2"/>
    </i>
  </colItems>
  <dataFields count="3">
    <dataField name="Sum of Last_Montant" fld="2" baseField="1" baseItem="0" numFmtId="1"/>
    <dataField name="Sum of Montant_Extrap" fld="3" baseField="1" baseItem="0" numFmtId="1"/>
    <dataField name="Sum of Montant" fld="4" baseField="1" baseItem="0" numFmtId="1"/>
  </dataFields>
  <chartFormats count="5">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20" format="12" series="1">
      <pivotArea type="data" outline="0" fieldPosition="0">
        <references count="1">
          <reference field="4294967294" count="1" selected="0">
            <x v="0"/>
          </reference>
        </references>
      </pivotArea>
    </chartFormat>
    <chartFormat chart="20" format="13" series="1">
      <pivotArea type="data" outline="0" fieldPosition="0">
        <references count="1">
          <reference field="4294967294" count="1" selected="0">
            <x v="1"/>
          </reference>
        </references>
      </pivotArea>
    </chartFormat>
    <chartFormat chart="16" format="9" series="1">
      <pivotArea type="data" outline="0" fieldPosition="0">
        <references count="1">
          <reference field="4294967294" count="1" selected="0">
            <x v="2"/>
          </reference>
        </references>
      </pivotArea>
    </chartFormat>
  </chartFormats>
  <pivotHierarchies count="119">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8.xlsm!Budget1Data">
        <x15:activeTabTopLevelEntity name="[Budget1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A4CAF97C-AACF-44D6-8615-7DE6670C38FA}" name="Budget1_Cat3-2" cacheId="30" applyNumberFormats="0" applyBorderFormats="0" applyFontFormats="0" applyPatternFormats="0" applyAlignmentFormats="0" applyWidthHeightFormats="1" dataCaption="Values" missingCaption="0" tag="24f83a00-5b6f-4ee3-8cca-db3c61da3fa0" updatedVersion="8" minRefreshableVersion="3" useAutoFormatting="1" subtotalHiddenItems="1" itemPrintTitles="1" createdVersion="8" indent="0" showEmptyRow="1" showEmptyCol="1" outline="1" outlineData="1" multipleFieldFilters="0">
  <location ref="BA7:BE11" firstHeaderRow="0" firstDataRow="1" firstDataCol="2"/>
  <pivotFields count="6">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axis="axisRow" allDrilled="1" outline="0" subtotalTop="0" showAll="0" dataSourceSort="1" defaultSubtotal="0" defaultAttributeDrillState="1">
      <items count="1">
        <item x="0"/>
      </items>
    </pivotField>
    <pivotField axis="axisRow" allDrilled="1" subtotalTop="0" showAll="0" defaultSubtotal="0" defaultAttributeDrillState="1">
      <items count="2">
        <item n="janv" x="0"/>
        <item n="févr" x="1"/>
      </items>
    </pivotField>
    <pivotField dataField="1" subtotalTop="0" showAll="0" defaultSubtotal="0"/>
  </pivotFields>
  <rowFields count="3">
    <field x="0"/>
    <field x="3"/>
    <field x="4"/>
  </rowFields>
  <rowItems count="4">
    <i>
      <x/>
    </i>
    <i r="1">
      <x/>
      <x/>
    </i>
    <i r="2">
      <x v="1"/>
    </i>
    <i t="grand">
      <x/>
    </i>
  </rowItems>
  <colFields count="1">
    <field x="-2"/>
  </colFields>
  <colItems count="3">
    <i>
      <x/>
    </i>
    <i i="1">
      <x v="1"/>
    </i>
    <i i="2">
      <x v="2"/>
    </i>
  </colItems>
  <dataFields count="3">
    <dataField fld="1" subtotal="count" baseField="0" baseItem="0"/>
    <dataField fld="2" subtotal="count" baseField="0" baseItem="0"/>
    <dataField fld="5" subtotal="count" baseField="0" baseItem="0"/>
  </dataFields>
  <pivotHierarchies count="119">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4"/>
    <rowHierarchyUsage hierarchyUsage="8"/>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dget1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9340B8B-6D6C-4F37-B406-3890ACE1A9B4}" name="Budget2_Income" cacheId="10"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showEmptyCol="1" outline="1" outlineData="1" multipleFieldFilters="0">
  <location ref="AF7:AH11" firstHeaderRow="0" firstDataRow="1" firstDataCol="1" rowPageCount="1" colPageCount="1"/>
  <pivotFields count="6">
    <pivotField axis="axisRow" allDrilled="1" subtotalTop="0" showAll="0" dataSourceSort="1" defaultSubtotal="0" defaultAttributeDrillState="1">
      <items count="3">
        <item x="0"/>
        <item x="1"/>
        <item x="2"/>
      </items>
    </pivotField>
    <pivotField axis="axisPage"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Fields count="1">
    <field x="-2"/>
  </colFields>
  <colItems count="2">
    <i>
      <x/>
    </i>
    <i i="1">
      <x v="1"/>
    </i>
  </colItems>
  <pageFields count="1">
    <pageField fld="1" hier="14" name="[DataBudget2].[Cat_1].&amp;[Income]" cap="Income"/>
  </pageFields>
  <dataFields count="2">
    <dataField name="Sum of Montant_Extrap" fld="2" baseField="0" baseItem="0"/>
    <dataField name="Sum of Last_Montant" fld="3" baseField="0" baseItem="0"/>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ataBudget2].[Cat_1].&amp;[Incom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11.xlsm!DataBudget2">
        <x15:activeTabTopLevelEntity name="[DataBudget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276F1D15-76E4-4EA6-882D-598A62D71A48}" name="Budget2_CashFlow" cacheId="0" applyNumberFormats="0" applyBorderFormats="0" applyFontFormats="0" applyPatternFormats="0" applyAlignmentFormats="0" applyWidthHeightFormats="1" dataCaption="Values" missingCaption="0" tag="b2b81998-16f9-4e4b-b688-0699c06dad16" updatedVersion="8" minRefreshableVersion="3" useAutoFormatting="1" subtotalHiddenItems="1" rowGrandTotals="0" itemPrintTitles="1" createdVersion="8" indent="0" showEmptyRow="1" showEmptyCol="1" outline="1" outlineData="1" multipleFieldFilters="0" chartFormat="7">
  <location ref="Z8:AD12" firstHeaderRow="0" firstDataRow="1" firstDataCol="2"/>
  <pivotFields count="6">
    <pivotField axis="axisRow" allDrilled="1" outline="0" subtotalTop="0" showAll="0" dataSourceSort="1" defaultSubtotal="0" defaultAttributeDrillState="1">
      <items count="2">
        <item x="0"/>
        <item x="1"/>
      </items>
    </pivotField>
    <pivotField axis="axisRow" allDrilled="1" subtotalTop="0" showAll="0" defaultSubtotal="0" defaultAttributeDrillState="1">
      <items count="2">
        <item n="Jan" x="0"/>
        <item n="Feb"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4">
    <i>
      <x/>
      <x/>
    </i>
    <i r="1">
      <x v="1"/>
    </i>
    <i>
      <x v="1"/>
      <x/>
    </i>
    <i r="1">
      <x v="1"/>
    </i>
  </rowItems>
  <colFields count="1">
    <field x="-2"/>
  </colFields>
  <colItems count="3">
    <i>
      <x/>
    </i>
    <i i="1">
      <x v="1"/>
    </i>
    <i i="2">
      <x v="2"/>
    </i>
  </colItems>
  <dataFields count="3">
    <dataField name="Sum of Last_Montant" fld="2" baseField="1" baseItem="0" numFmtId="3"/>
    <dataField name="Sum of Montant_Extrap" fld="3" baseField="1" baseItem="0" numFmtId="3"/>
    <dataField name="Sum of Montant" fld="4" baseField="1" baseItem="0" numFmtId="3"/>
  </dataFields>
  <chartFormats count="9">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11.xlsm!DataBudget2">
        <x15:activeTabTopLevelEntity name="[DataBudget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46D657B3-A91E-4E69-8847-31B3A37C7F3E}" name="Budget2_QA2" cacheId="29"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showEmptyCol="1" outline="1" outlineData="1" multipleFieldFilters="0">
  <location ref="A50:Q57" firstHeaderRow="1" firstDataRow="3" firstDataCol="1"/>
  <pivotFields count="5">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
        <item x="0"/>
      </items>
    </pivotField>
    <pivotField dataField="1" subtotalTop="0" showAll="0" defaultSubtotal="0"/>
    <pivotField axis="axisCol" allDrilled="1" subtotalTop="0" showAll="0" dataSourceSort="1" defaultSubtotal="0" defaultAttributeDrillState="1">
      <items count="7">
        <item s="1" x="0"/>
        <item s="1" x="1"/>
        <item s="1" x="2"/>
        <item s="1" x="3"/>
        <item s="1" x="4"/>
        <item s="1" x="5"/>
        <item s="1" x="6"/>
      </items>
    </pivotField>
    <pivotField dataField="1" subtotalTop="0" showAll="0" defaultSubtotal="0"/>
  </pivotFields>
  <rowFields count="2">
    <field x="0"/>
    <field x="1"/>
  </rowFields>
  <rowItems count="5">
    <i>
      <x/>
    </i>
    <i r="1">
      <x/>
    </i>
    <i>
      <x v="1"/>
    </i>
    <i r="1">
      <x/>
    </i>
    <i t="grand">
      <x/>
    </i>
  </rowItems>
  <colFields count="2">
    <field x="3"/>
    <field x="-2"/>
  </colFields>
  <colItems count="16">
    <i>
      <x/>
      <x/>
    </i>
    <i r="1" i="1">
      <x v="1"/>
    </i>
    <i>
      <x v="1"/>
      <x/>
    </i>
    <i r="1" i="1">
      <x v="1"/>
    </i>
    <i>
      <x v="2"/>
      <x/>
    </i>
    <i r="1" i="1">
      <x v="1"/>
    </i>
    <i>
      <x v="3"/>
      <x/>
    </i>
    <i r="1" i="1">
      <x v="1"/>
    </i>
    <i>
      <x v="4"/>
      <x/>
    </i>
    <i r="1" i="1">
      <x v="1"/>
    </i>
    <i>
      <x v="5"/>
      <x/>
    </i>
    <i r="1" i="1">
      <x v="1"/>
    </i>
    <i>
      <x v="6"/>
      <x/>
    </i>
    <i r="1" i="1">
      <x v="1"/>
    </i>
    <i t="grand">
      <x/>
    </i>
    <i t="grand" i="1">
      <x/>
    </i>
  </colItems>
  <dataFields count="2">
    <dataField fld="4" subtotal="count" baseField="0" baseItem="0"/>
    <dataField fld="2" subtotal="count" baseField="0" baseItem="0"/>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ontant_ExtrapB2"/>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22"/>
  </rowHierarchiesUsage>
  <colHierarchiesUsage count="2">
    <colHierarchyUsage hierarchyUsage="15"/>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Budget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623D5974-B8E5-40C2-8E4A-466F866F309C}" name="Budget2_Cat3_Total" cacheId="11"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showEmptyCol="1" outline="1" outlineData="1" multipleFieldFilters="0">
  <location ref="AJ7:AL11" firstHeaderRow="0" firstDataRow="1" firstDataCol="1" rowPageCount="1" colPageCount="1"/>
  <pivotFields count="7">
    <pivotField axis="axisRow" allDrilled="1" subtotalTop="0" showAll="0" dataSourceSort="1" defaultAttributeDrillState="1">
      <items count="2">
        <item s="1" x="0"/>
        <item t="default"/>
      </items>
    </pivotField>
    <pivotField axis="axisRow" allDrilled="1" subtotalTop="0" showAll="0" dataSourceSort="1" defaultSubtotal="0" defaultAttributeDrillState="1">
      <items count="1">
        <item x="0"/>
      </items>
    </pivotField>
    <pivotField axis="axisPage"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4">
    <i>
      <x/>
    </i>
    <i r="1">
      <x/>
    </i>
    <i t="default">
      <x/>
    </i>
    <i t="grand">
      <x/>
    </i>
  </rowItems>
  <colFields count="1">
    <field x="-2"/>
  </colFields>
  <colItems count="2">
    <i>
      <x/>
    </i>
    <i i="1">
      <x v="1"/>
    </i>
  </colItems>
  <pageFields count="1">
    <pageField fld="2" hier="14" name="[DataBudget2].[Cat_1].&amp;[Dépense]" cap="Dépense"/>
  </pageFields>
  <dataFields count="2">
    <dataField fld="3" subtotal="count" baseField="0" baseItem="0"/>
    <dataField fld="4" subtotal="count" baseField="0" baseItem="0"/>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ataBudget2].[Cat_1].&amp;[Dépense]"/>
      </members>
    </pivotHierarchy>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5"/>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11.xlsm!DataBudget2">
        <x15:activeTabTopLevelEntity name="[DataBudget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85125B2C-469F-4821-A624-F9481EB570DE}" name="Budget2_Cat3-1" cacheId="7"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showEmptyCol="1" outline="1" outlineData="1" multipleFieldFilters="0">
  <location ref="AQ7:AU11" firstHeaderRow="0" firstDataRow="1" firstDataCol="2"/>
  <pivotFields count="8">
    <pivotField axis="axisRow" allDrilled="1" subtotalTop="0" showAll="0" dataSourceSort="1" defaultSubtotal="0" defaultAttributeDrillState="1">
      <items count="1">
        <item s="1" x="0"/>
      </items>
    </pivotField>
    <pivotField axis="axisRow" allDrilled="1" subtotalTop="0" showAll="0" defaultSubtotal="0" defaultAttributeDrillState="1">
      <items count="2">
        <item n="Jan" x="0"/>
        <item n="Feb" x="1"/>
      </items>
    </pivotField>
    <pivotField dataField="1" subtotalTop="0" showAll="0" defaultSubtotal="0"/>
    <pivotField dataField="1" subtotalTop="0" showAll="0" defaultSubtotal="0"/>
    <pivotField dataField="1" subtotalTop="0" showAll="0" defaultSubtotal="0"/>
    <pivotField axis="axisRow" allDrilled="1" outline="0"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s>
  <rowFields count="3">
    <field x="0"/>
    <field x="5"/>
    <field x="1"/>
  </rowFields>
  <rowItems count="4">
    <i>
      <x/>
    </i>
    <i r="1">
      <x/>
      <x/>
    </i>
    <i r="2">
      <x v="1"/>
    </i>
    <i t="grand">
      <x/>
    </i>
  </rowItems>
  <colFields count="1">
    <field x="-2"/>
  </colFields>
  <colItems count="3">
    <i>
      <x/>
    </i>
    <i i="1">
      <x v="1"/>
    </i>
    <i i="2">
      <x v="2"/>
    </i>
  </colItems>
  <dataFields count="3">
    <dataField fld="2" subtotal="count" baseField="0" baseItem="0"/>
    <dataField fld="3" subtotal="count" baseField="0" baseItem="0"/>
    <dataField fld="4" subtotal="count" baseField="0" baseItem="0"/>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6"/>
    <rowHierarchyUsage hierarchyUsage="2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11.xlsm!DataBudget2">
        <x15:activeTabTopLevelEntity name="[DataBudget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4A8FBDC7-27B9-4440-A55F-600BD2ACC8F7}" name="Budget2_Cat3-2" cacheId="9"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showEmptyCol="1" outline="1" outlineData="1" multipleFieldFilters="0">
  <location ref="BA7:BE11" firstHeaderRow="0" firstDataRow="1" firstDataCol="2"/>
  <pivotFields count="8">
    <pivotField axis="axisRow" allDrilled="1" subtotalTop="0" showAll="0" dataSourceSort="1" defaultSubtotal="0" defaultAttributeDrillState="1">
      <items count="1">
        <item s="1" x="0"/>
      </items>
    </pivotField>
    <pivotField axis="axisRow" allDrilled="1" outline="0" subtotalTop="0" showAll="0" dataSourceSort="1" defaultSubtotal="0" defaultAttributeDrillState="1">
      <items count="1">
        <item x="0"/>
      </items>
    </pivotField>
    <pivotField axis="axisRow" allDrilled="1" subtotalTop="0" showAll="0" defaultSubtotal="0" defaultAttributeDrillState="1">
      <items count="2">
        <item n="Jan" x="0"/>
        <item n="Feb"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3">
    <field x="0"/>
    <field x="1"/>
    <field x="2"/>
  </rowFields>
  <rowItems count="4">
    <i>
      <x/>
    </i>
    <i r="1">
      <x/>
      <x/>
    </i>
    <i r="2">
      <x v="1"/>
    </i>
    <i t="grand">
      <x/>
    </i>
  </rowItems>
  <colFields count="1">
    <field x="-2"/>
  </colFields>
  <colItems count="3">
    <i>
      <x/>
    </i>
    <i i="1">
      <x v="1"/>
    </i>
    <i i="2">
      <x v="2"/>
    </i>
  </colItems>
  <dataFields count="3">
    <dataField fld="3" subtotal="count" baseField="0" baseItem="0"/>
    <dataField fld="4" subtotal="count" baseField="0" baseItem="0"/>
    <dataField fld="5" subtotal="count" baseField="0" baseItem="0"/>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6"/>
    <rowHierarchyUsage hierarchyUsage="2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11.xlsm!DataBudget2">
        <x15:activeTabTopLevelEntity name="[DataBudget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DD2A19BC-62AA-4D97-AF99-DF9DE708E3CF}" name="Budget2_Cat2_Ratio" cacheId="12"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outline="1" outlineData="1" multipleFieldFilters="0">
  <location ref="T8:U16" firstHeaderRow="1" firstDataRow="1" firstDataCol="1" rowPageCount="1" colPageCount="1"/>
  <pivotFields count="3">
    <pivotField axis="axisPage" allDrilled="1" subtotalTop="0" showAll="0" dataSourceSort="1" defaultSubtotal="0" defaultAttributeDrillState="1"/>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1"/>
  </rowFields>
  <rowItems count="8">
    <i>
      <x/>
    </i>
    <i>
      <x v="1"/>
    </i>
    <i>
      <x v="2"/>
    </i>
    <i>
      <x v="3"/>
    </i>
    <i>
      <x v="4"/>
    </i>
    <i>
      <x v="5"/>
    </i>
    <i>
      <x v="6"/>
    </i>
    <i t="grand">
      <x/>
    </i>
  </rowItems>
  <colItems count="1">
    <i/>
  </colItems>
  <pageFields count="1">
    <pageField fld="0" hier="14" name="[DataBudget2].[Cat_1].&amp;[Dépense]" cap="Dépense"/>
  </pageFields>
  <dataFields count="1">
    <dataField fld="2" subtotal="count" showDataAs="percentOfTotal" baseField="1" baseItem="0" numFmtId="10"/>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Budget2].[Cat_1].&amp;[Dépens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v2.11.xlsm!DataBudget2">
        <x15:activeTabTopLevelEntity name="[DataBudget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21FCE0A4-0430-4503-A318-F723D812B0D9}" name="Budget2_Cat2" cacheId="8" applyNumberFormats="0" applyBorderFormats="0" applyFontFormats="0" applyPatternFormats="0" applyAlignmentFormats="0" applyWidthHeightFormats="1" dataCaption="Values" missingCaption="0" updatedVersion="8" minRefreshableVersion="3" useAutoFormatting="1" subtotalHiddenItems="1" itemPrintTitles="1" createdVersion="8" indent="0" showEmptyRow="1" showEmptyCol="1" outline="1" outlineData="1" multipleFieldFilters="0">
  <location ref="AF32:AH40" firstHeaderRow="0" firstDataRow="1" firstDataCol="1" rowPageCount="1" colPageCount="1"/>
  <pivotFields count="6">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pageFields count="1">
    <pageField fld="1" hier="14" name="[DataBudget2].[Cat_1].&amp;[Dépense]" cap="Dépense"/>
  </pageFields>
  <dataFields count="2">
    <dataField fld="2" subtotal="count" baseField="0" baseItem="0"/>
    <dataField fld="3" subtotal="count" baseField="0" baseItem="0"/>
  </dataFields>
  <pivotHierarchies count="1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ataBudget2].[Cat_1].&amp;[Dépens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Budget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7A05246-3B43-4987-95D2-663A3BAD3D81}" autoFormatId="16" applyNumberFormats="0" applyBorderFormats="0" applyFontFormats="0" applyPatternFormats="0" applyAlignmentFormats="0" applyWidthHeightFormats="0">
  <queryTableRefresh nextId="10">
    <queryTableFields count="9">
      <queryTableField id="1" name="Année" tableColumnId="1"/>
      <queryTableField id="2" name="Mois" tableColumnId="2"/>
      <queryTableField id="3" name="Cat_1" tableColumnId="3"/>
      <queryTableField id="4" name="Cat_2" tableColumnId="4"/>
      <queryTableField id="5" name="Cat_3" tableColumnId="5"/>
      <queryTableField id="6" name="Log" tableColumnId="6"/>
      <queryTableField id="7" name="Montant" tableColumnId="7"/>
      <queryTableField id="8" name="Mois (Name)" tableColumnId="8"/>
      <queryTableField id="9" name="Month (Number)"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35" xr10:uid="{4F4FC53F-3F55-4B18-AD1F-0437B32A68DB}" sourceName="[Budget1Data].[Cat_3]">
  <pivotTables>
    <pivotTable tabId="35" name="Budget1_Cat3-1"/>
  </pivotTables>
  <data>
    <olap pivotCacheId="1207842879">
      <levels count="2">
        <level uniqueName="[Budget1Data].[Cat_3].[(All)]" sourceCaption="(All)" count="0"/>
        <level uniqueName="[Budget1Data].[Cat_3].[Cat_3]" sourceCaption="Cat_3" count="10">
          <ranges>
            <range startItem="0">
              <i n="[Budget1Data].[Cat_3].&amp;[Savings]" c="Savings"/>
              <i n="[Budget1Data].[Cat_3].&amp;[Sub-Category1]" c="Sub-Category1"/>
              <i n="[Budget1Data].[Cat_3].&amp;[Sub-Category2]" c="Sub-Category2"/>
              <i n="[Budget1Data].[Cat_3].&amp;[Sub-Category3]" c="Sub-Category3"/>
              <i n="[Budget1Data].[Cat_3].&amp;[Sub-Category4]" c="Sub-Category4"/>
              <i n="[Budget1Data].[Cat_3].&amp;[Sub-Category5]" c="Sub-Category5"/>
              <i n="[Budget1Data].[Cat_3].&amp;[Sub-Category6]" c="Sub-Category6"/>
              <i n="[Budget1Data].[Cat_3].&amp;[Sub-Category7]" c="Sub-Category7"/>
              <i n="[Budget1Data].[Cat_3].&amp;[Sub-Income1]" c="Sub-Income1"/>
              <i n="[Budget1Data].[Cat_3].&amp;[Sub-Income3]" c="Sub-Income3"/>
            </range>
          </ranges>
        </level>
      </levels>
      <selections count="1">
        <selection n="[Budget1Data].[Cat_3].&amp;[Sub-Category5]"/>
      </selections>
    </olap>
  </data>
  <extLst>
    <x:ext xmlns:x15="http://schemas.microsoft.com/office/spreadsheetml/2010/11/main" uri="{470722E0-AACD-4C17-9CDC-17EF765DBC7E}">
      <x15:slicerCacheHideItemsWithNoData count="1">
        <x15:slicerCacheOlapLevelName uniqueName="[Budget1Data].[Cat_3].[Cat_3]"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36" xr10:uid="{CA8CA331-4E15-4154-9F7F-6236115FA279}" sourceName="[Budget1Data].[Cat_3]">
  <pivotTables>
    <pivotTable tabId="35" name="Budget1_Cat3-2"/>
  </pivotTables>
  <data>
    <olap pivotCacheId="1207842879">
      <levels count="2">
        <level uniqueName="[Budget1Data].[Cat_3].[(All)]" sourceCaption="(All)" count="0"/>
        <level uniqueName="[Budget1Data].[Cat_3].[Cat_3]" sourceCaption="Cat_3" count="10">
          <ranges>
            <range startItem="0">
              <i n="[Budget1Data].[Cat_3].&amp;[Savings]" c="Savings"/>
              <i n="[Budget1Data].[Cat_3].&amp;[Sub-Category1]" c="Sub-Category1"/>
              <i n="[Budget1Data].[Cat_3].&amp;[Sub-Category2]" c="Sub-Category2"/>
              <i n="[Budget1Data].[Cat_3].&amp;[Sub-Category3]" c="Sub-Category3"/>
              <i n="[Budget1Data].[Cat_3].&amp;[Sub-Category4]" c="Sub-Category4"/>
              <i n="[Budget1Data].[Cat_3].&amp;[Sub-Category5]" c="Sub-Category5"/>
              <i n="[Budget1Data].[Cat_3].&amp;[Sub-Category6]" c="Sub-Category6"/>
              <i n="[Budget1Data].[Cat_3].&amp;[Sub-Category7]" c="Sub-Category7"/>
              <i n="[Budget1Data].[Cat_3].&amp;[Sub-Income1]" c="Sub-Income1"/>
              <i n="[Budget1Data].[Cat_3].&amp;[Sub-Income3]" c="Sub-Income3"/>
            </range>
          </ranges>
        </level>
      </levels>
      <selections count="1">
        <selection n="[Budget1Data].[Cat_3].&amp;[Sub-Category3]"/>
      </selections>
    </olap>
  </data>
  <extLst>
    <x:ext xmlns:x15="http://schemas.microsoft.com/office/spreadsheetml/2010/11/main" uri="{470722E0-AACD-4C17-9CDC-17EF765DBC7E}">
      <x15:slicerCacheHideItemsWithNoData count="1">
        <x15:slicerCacheOlapLevelName uniqueName="[Budget1Data].[Cat_3].[Cat_3]"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2" xr10:uid="{1F3D5245-2C67-4835-ABCD-B81D234C1567}" sourceName="[Budget1Data].[Cat_2]">
  <pivotTables>
    <pivotTable tabId="35" name="Budget1_Cat3_Total"/>
  </pivotTables>
  <data>
    <olap pivotCacheId="1207842879">
      <levels count="2">
        <level uniqueName="[Budget1Data].[Cat_2].[(All)]" sourceCaption="(All)" count="0"/>
        <level uniqueName="[Budget1Data].[Cat_2].[Cat_2]" sourceCaption="Cat_2" count="10">
          <ranges>
            <range startItem="0">
              <i n="[Budget1Data].[Cat_2].&amp;[Category1]" c="Category1"/>
              <i n="[Budget1Data].[Cat_2].&amp;[Category2]" c="Category2"/>
              <i n="[Budget1Data].[Cat_2].&amp;[Category3]" c="Category3"/>
              <i n="[Budget1Data].[Cat_2].&amp;[Category4]" c="Category4"/>
              <i n="[Budget1Data].[Cat_2].&amp;[Category5]" c="Category5"/>
              <i n="[Budget1Data].[Cat_2].&amp;[Category6]" c="Category6"/>
              <i n="[Budget1Data].[Cat_2].&amp;[Category7]" c="Category7"/>
              <i n="[Budget1Data].[Cat_2].&amp;[i1_Income1]" c="i1_Income1" nd="1"/>
              <i n="[Budget1Data].[Cat_2].&amp;[i2_Savings]" c="i2_Savings" nd="1"/>
              <i n="[Budget1Data].[Cat_2].&amp;[i3_Income3]" c="i3_Income3" nd="1"/>
            </range>
          </ranges>
        </level>
      </levels>
      <selections count="1">
        <selection n="[Budget1Data].[Cat_2].&amp;[Category3]"/>
      </selections>
    </olap>
  </data>
  <extLst>
    <x:ext xmlns:x15="http://schemas.microsoft.com/office/spreadsheetml/2010/11/main" uri="{470722E0-AACD-4C17-9CDC-17EF765DBC7E}">
      <x15:slicerCacheHideItemsWithNoData count="1">
        <x15:slicerCacheOlapLevelName uniqueName="[Budget1Data].[Cat_2].[Cat_2]" count="3"/>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3" xr10:uid="{E05BB744-A791-4C56-93A4-A6179778AD49}" sourceName="[Budget1Data].[Année]">
  <pivotTables>
    <pivotTable tabId="35" name="Budget1_Income"/>
    <pivotTable tabId="35" name="Budget1_Cat3-1"/>
    <pivotTable tabId="35" name="Budget1_Cat3-2"/>
    <pivotTable tabId="35" name="Budget1_Cat2"/>
    <pivotTable tabId="35" name="Budget1_Cat3_Total"/>
  </pivotTables>
  <data>
    <olap pivotCacheId="1207842879">
      <levels count="2">
        <level uniqueName="[Budget1Data].[Année].[(All)]" sourceCaption="(All)" count="0"/>
        <level uniqueName="[Budget1Data].[Année].[Année]" sourceCaption="Année" count="2" sortOrder="descending">
          <ranges>
            <range startItem="0">
              <i n="[Budget1Data].[Année].&amp;[2026]" c="2026"/>
              <i n="[Budget1Data].[Année].&amp;[2025]" c="2025"/>
            </range>
          </ranges>
        </level>
      </levels>
      <selections count="1">
        <selection n="[Budget1Data].[Anné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__Quarter2" xr10:uid="{680154C6-1365-4710-8068-6E80F11276FD}" sourceName="[Budget1Data].[Mois (Quarter)]">
  <pivotTables>
    <pivotTable tabId="35" name="Budget1_Income"/>
    <pivotTable tabId="35" name="Budget1_Cat3-1"/>
    <pivotTable tabId="35" name="Budget1_Cat3-2"/>
    <pivotTable tabId="35" name="Budget1_Cat2"/>
    <pivotTable tabId="35" name="Budget1_Cat3_Total"/>
  </pivotTables>
  <data>
    <olap pivotCacheId="1207842879">
      <levels count="2">
        <level uniqueName="[Budget1Data].[Mois (Quarter)].[(All)]" sourceCaption="(All)" count="0"/>
        <level uniqueName="[Budget1Data].[Mois (Quarter)].[Mois (Quarter)]" sourceCaption="Mois (Quarter)" count="1">
          <ranges>
            <range startItem="0">
              <i n="[Budget1Data].[Mois (Quarter)].&amp;[Qtr1]" c="Qtr1"/>
            </range>
          </ranges>
        </level>
      </levels>
      <selections count="1">
        <selection n="[Budget1Data].[Mois (Quarter)].[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26" xr10:uid="{1B005FAD-11CF-4A63-B690-BB79BD1E3CBF}" sourceName="[DataBudget2].[Cat_2]">
  <pivotTables>
    <pivotTable tabId="38" name="Budget2_Cat3_Total"/>
  </pivotTables>
  <data>
    <olap pivotCacheId="997070430">
      <levels count="2">
        <level uniqueName="[DataBudget2].[Cat_2].[(All)]" sourceCaption="(All)" count="0"/>
        <level uniqueName="[DataBudget2].[Cat_2].[Cat_2]" sourceCaption="Cat_2" count="10">
          <ranges>
            <range startItem="0">
              <i n="[DataBudget2].[Cat_2].&amp;[Category1]" c="Category1"/>
              <i n="[DataBudget2].[Cat_2].&amp;[Category2]" c="Category2"/>
              <i n="[DataBudget2].[Cat_2].&amp;[Category3]" c="Category3"/>
              <i n="[DataBudget2].[Cat_2].&amp;[Category4]" c="Category4"/>
              <i n="[DataBudget2].[Cat_2].&amp;[Category5]" c="Category5"/>
              <i n="[DataBudget2].[Cat_2].&amp;[Category6]" c="Category6"/>
              <i n="[DataBudget2].[Cat_2].&amp;[Category7]" c="Category7"/>
              <i n="[DataBudget2].[Cat_2].&amp;[i1_Income1]" c="i1_Income1" nd="1"/>
              <i n="[DataBudget2].[Cat_2].&amp;[i2_Savings]" c="i2_Savings" nd="1"/>
              <i n="[DataBudget2].[Cat_2].&amp;[i3_Income3]" c="i3_Income3" nd="1"/>
            </range>
          </ranges>
        </level>
      </levels>
      <selections count="1">
        <selection n="[DataBudget2].[Cat_2].&amp;[Category1]"/>
      </selections>
    </olap>
  </data>
  <extLst>
    <x:ext xmlns:x15="http://schemas.microsoft.com/office/spreadsheetml/2010/11/main" uri="{470722E0-AACD-4C17-9CDC-17EF765DBC7E}">
      <x15:slicerCacheHideItemsWithNoData count="1">
        <x15:slicerCacheOlapLevelName uniqueName="[DataBudget2].[Cat_2].[Cat_2]" count="3"/>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37" xr10:uid="{015D78FB-F616-4B56-B7D3-15AA86CFAB88}" sourceName="[DataBudget2].[Cat_3]">
  <pivotTables>
    <pivotTable tabId="38" name="Budget2_Cat3-1"/>
  </pivotTables>
  <data>
    <olap pivotCacheId="997070430">
      <levels count="2">
        <level uniqueName="[DataBudget2].[Cat_3].[(All)]" sourceCaption="(All)" count="0"/>
        <level uniqueName="[DataBudget2].[Cat_3].[Cat_3]" sourceCaption="Cat_3" count="10">
          <ranges>
            <range startItem="0">
              <i n="[DataBudget2].[Cat_3].&amp;[Savings]" c="Savings"/>
              <i n="[DataBudget2].[Cat_3].&amp;[Sub-Category1]" c="Sub-Category1"/>
              <i n="[DataBudget2].[Cat_3].&amp;[Sub-Category2]" c="Sub-Category2"/>
              <i n="[DataBudget2].[Cat_3].&amp;[Sub-Category3]" c="Sub-Category3"/>
              <i n="[DataBudget2].[Cat_3].&amp;[Sub-Category4]" c="Sub-Category4"/>
              <i n="[DataBudget2].[Cat_3].&amp;[Sub-Category5]" c="Sub-Category5"/>
              <i n="[DataBudget2].[Cat_3].&amp;[Sub-Category6]" c="Sub-Category6"/>
              <i n="[DataBudget2].[Cat_3].&amp;[Sub-Category7]" c="Sub-Category7"/>
              <i n="[DataBudget2].[Cat_3].&amp;[Sub-Income1]" c="Sub-Income1"/>
              <i n="[DataBudget2].[Cat_3].&amp;[Sub-Income3]" c="Sub-Income3"/>
            </range>
          </ranges>
        </level>
      </levels>
      <selections count="1">
        <selection n="[DataBudget2].[Cat_3].&amp;[Sub-Category4]"/>
      </selections>
    </olap>
  </data>
  <extLst>
    <x:ext xmlns:x15="http://schemas.microsoft.com/office/spreadsheetml/2010/11/main" uri="{470722E0-AACD-4C17-9CDC-17EF765DBC7E}">
      <x15:slicerCacheHideItemsWithNoData count="1">
        <x15:slicerCacheOlapLevelName uniqueName="[DataBudget2].[Cat_3].[Cat_3]" count="0"/>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38" xr10:uid="{D656955D-69CD-434E-B6BC-C12F417DC86F}" sourceName="[DataBudget2].[Cat_3]">
  <pivotTables>
    <pivotTable tabId="38" name="Budget2_Cat3-2"/>
  </pivotTables>
  <data>
    <olap pivotCacheId="997070430">
      <levels count="2">
        <level uniqueName="[DataBudget2].[Cat_3].[(All)]" sourceCaption="(All)" count="0"/>
        <level uniqueName="[DataBudget2].[Cat_3].[Cat_3]" sourceCaption="Cat_3" count="10">
          <ranges>
            <range startItem="0">
              <i n="[DataBudget2].[Cat_3].&amp;[Savings]" c="Savings"/>
              <i n="[DataBudget2].[Cat_3].&amp;[Sub-Category1]" c="Sub-Category1"/>
              <i n="[DataBudget2].[Cat_3].&amp;[Sub-Category2]" c="Sub-Category2"/>
              <i n="[DataBudget2].[Cat_3].&amp;[Sub-Category3]" c="Sub-Category3"/>
              <i n="[DataBudget2].[Cat_3].&amp;[Sub-Category4]" c="Sub-Category4"/>
              <i n="[DataBudget2].[Cat_3].&amp;[Sub-Category5]" c="Sub-Category5"/>
              <i n="[DataBudget2].[Cat_3].&amp;[Sub-Category6]" c="Sub-Category6"/>
              <i n="[DataBudget2].[Cat_3].&amp;[Sub-Category7]" c="Sub-Category7"/>
              <i n="[DataBudget2].[Cat_3].&amp;[Sub-Income1]" c="Sub-Income1"/>
              <i n="[DataBudget2].[Cat_3].&amp;[Sub-Income3]" c="Sub-Income3"/>
            </range>
          </ranges>
        </level>
      </levels>
      <selections count="1">
        <selection n="[DataBudget2].[Cat_3].&amp;[Sub-Category4]"/>
      </selections>
    </olap>
  </data>
  <extLst>
    <x:ext xmlns:x15="http://schemas.microsoft.com/office/spreadsheetml/2010/11/main" uri="{470722E0-AACD-4C17-9CDC-17EF765DBC7E}">
      <x15:slicerCacheHideItemsWithNoData count="1">
        <x15:slicerCacheOlapLevelName uniqueName="[DataBudget2].[Cat_3].[Cat_3]" count="0"/>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1" xr10:uid="{010F45B3-4039-4E65-BFD3-8754A0BDE801}" sourceName="[DataBudget2].[Année]">
  <pivotTables>
    <pivotTable tabId="38" name="Budget2_Cat3-1"/>
    <pivotTable tabId="38" name="Budget2_Cat2"/>
    <pivotTable tabId="38" name="Budget2_Cat3_Total"/>
    <pivotTable tabId="38" name="Budget2_Cat3-2"/>
    <pivotTable tabId="38" name="Budget2_Income"/>
  </pivotTables>
  <data>
    <olap pivotCacheId="997070430">
      <levels count="2">
        <level uniqueName="[DataBudget2].[Année].[(All)]" sourceCaption="(All)" count="0"/>
        <level uniqueName="[DataBudget2].[Année].[Année]" sourceCaption="Année" count="2" sortOrder="descending">
          <ranges>
            <range startItem="0">
              <i n="[DataBudget2].[Année].&amp;[2026]" c="2026"/>
              <i n="[DataBudget2].[Année].&amp;[2025]" c="2025"/>
            </range>
          </ranges>
        </level>
      </levels>
      <selections count="1">
        <selection n="[DataBudget2].[Année].[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__Quarter1" xr10:uid="{12B42A78-390E-4C6F-9C71-1672F8B970CA}" sourceName="[DataBudget2].[Mois (Quarter)]">
  <pivotTables>
    <pivotTable tabId="38" name="Budget2_Cat3-1"/>
    <pivotTable tabId="38" name="Budget2_Cat2"/>
    <pivotTable tabId="38" name="Budget2_Cat3_Total"/>
    <pivotTable tabId="38" name="Budget2_Cat3-2"/>
    <pivotTable tabId="38" name="Budget2_Income"/>
  </pivotTables>
  <data>
    <olap pivotCacheId="997070430">
      <levels count="2">
        <level uniqueName="[DataBudget2].[Mois (Quarter)].[(All)]" sourceCaption="(All)" count="0"/>
        <level uniqueName="[DataBudget2].[Mois (Quarter)].[Mois (Quarter)]" sourceCaption="Mois (Quarter)" count="1">
          <ranges>
            <range startItem="0">
              <i n="[DataBudget2].[Mois (Quarter)].&amp;[Qtr1]" c="Qtr1"/>
            </range>
          </ranges>
        </level>
      </levels>
      <selections count="1">
        <selection n="[DataBudget2].[Mois (Quarter)].[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__Name1" xr10:uid="{8B9D55F6-605A-4EEA-B32C-FE59683E4A6B}" sourceName="[Master_1].[Mois (Name)]">
  <pivotTables>
    <pivotTable tabId="48" name="PivotTable1"/>
  </pivotTables>
  <data>
    <olap pivotCacheId="1065046107">
      <levels count="2">
        <level uniqueName="[Master_1].[Mois (Name)].[(All)]" sourceCaption="(All)" count="0"/>
        <level uniqueName="[Master_1].[Mois (Name)].[Mois (Name)]" sourceCaption="Mois (Name)" count="12" crossFilter="showItemsWithNoData">
          <ranges>
            <range startItem="0">
              <i n="[Master_1].[Mois (Name)].&amp;[Jan]" c="Jan"/>
              <i n="[Master_1].[Mois (Name)].&amp;[Feb]" c="Feb"/>
              <i n="[Master_1].[Mois (Name)].&amp;[Mar]" c="Mar"/>
              <i n="[Master_1].[Mois (Name)].&amp;[Apr]" c="Apr"/>
              <i n="[Master_1].[Mois (Name)].&amp;[May]" c="May"/>
              <i n="[Master_1].[Mois (Name)].&amp;[Jun]" c="Jun"/>
              <i n="[Master_1].[Mois (Name)].&amp;[Jul]" c="Jul"/>
              <i n="[Master_1].[Mois (Name)].&amp;[Aug]" c="Aug"/>
              <i n="[Master_1].[Mois (Name)].&amp;[Sep]" c="Sep"/>
              <i n="[Master_1].[Mois (Name)].&amp;[Oct]" c="Oct"/>
              <i n="[Master_1].[Mois (Name)].&amp;[Nov]" c="Nov"/>
              <i n="[Master_1].[Mois (Name)].&amp;[Dec]" c="Dec"/>
            </range>
          </ranges>
        </level>
      </levels>
      <selections count="1">
        <selection n="[Master_1].[Mois (Name)].[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__Quarter" xr10:uid="{A3134A0B-1142-45F0-9D2B-352DEB18FA79}" sourceName="[Master_1].[Mois (Quarter)]">
  <pivotTables>
    <pivotTable tabId="48" name="PivotTable1"/>
  </pivotTables>
  <data>
    <olap pivotCacheId="1065046107">
      <levels count="2">
        <level uniqueName="[Master_1].[Mois (Quarter)].[(All)]" sourceCaption="(All)" count="0"/>
        <level uniqueName="[Master_1].[Mois (Quarter)].[Mois (Quarter)]" sourceCaption="Mois (Quarter)" count="4" crossFilter="showItemsWithNoData">
          <ranges>
            <range startItem="0">
              <i n="[Master_1].[Mois (Quarter)].&amp;[Qtr1]" c="Qtr1"/>
              <i n="[Master_1].[Mois (Quarter)].&amp;[Qtr2]" c="Qtr2"/>
              <i n="[Master_1].[Mois (Quarter)].&amp;[Qtr3]" c="Qtr3"/>
              <i n="[Master_1].[Mois (Quarter)].&amp;[Qtr4]" c="Qtr4"/>
            </range>
          </ranges>
        </level>
      </levels>
      <selections count="1">
        <selection n="[Master_1].[Mois (Quarter)].[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4" xr10:uid="{797E1680-DF47-4F73-9625-E58CEF1E5872}" sourceName="[Master_1].[Année]">
  <pivotTables>
    <pivotTable tabId="48" name="PivotTable1"/>
  </pivotTables>
  <data>
    <olap pivotCacheId="1065046107">
      <levels count="2">
        <level uniqueName="[Master_1].[Année].[(All)]" sourceCaption="(All)" count="0"/>
        <level uniqueName="[Master_1].[Année].[Année]" sourceCaption="Année" count="1" sortOrder="descending">
          <ranges>
            <range startItem="0">
              <i n="[Master_1].[Année].&amp;[2025]" c="2025"/>
            </range>
          </ranges>
        </level>
      </levels>
      <selections count="1">
        <selection n="[Master_1].[Année].[All]"/>
      </selections>
    </olap>
  </data>
  <extLst>
    <x:ext xmlns:x15="http://schemas.microsoft.com/office/spreadsheetml/2010/11/main" uri="{470722E0-AACD-4C17-9CDC-17EF765DBC7E}">
      <x15:slicerCacheHideItemsWithNoData count="1">
        <x15:slicerCacheOlapLevelName uniqueName="[Master_1].[Année].[Année]" count="0"/>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21" xr10:uid="{F9D67B9B-2282-493E-B199-4BF0DF285102}" sourceName="[Master_1].[Cat_2]">
  <pivotTables>
    <pivotTable tabId="48" name="PivotTable1"/>
  </pivotTables>
  <data>
    <olap pivotCacheId="1065046107">
      <levels count="2">
        <level uniqueName="[Master_1].[Cat_2].[(All)]" sourceCaption="(All)" count="0"/>
        <level uniqueName="[Master_1].[Cat_2].[Cat_2]" sourceCaption="Cat_2" count="10">
          <ranges>
            <range startItem="0">
              <i n="[Master_1].[Cat_2].&amp;[Category1]" c="Category1"/>
              <i n="[Master_1].[Cat_2].&amp;[Category2]" c="Category2"/>
              <i n="[Master_1].[Cat_2].&amp;[Category3]" c="Category3"/>
              <i n="[Master_1].[Cat_2].&amp;[Category4]" c="Category4"/>
              <i n="[Master_1].[Cat_2].&amp;[Category5]" c="Category5"/>
              <i n="[Master_1].[Cat_2].&amp;[Category6]" c="Category6"/>
              <i n="[Master_1].[Cat_2].&amp;[Category7]" c="Category7"/>
              <i n="[Master_1].[Cat_2].&amp;[i1_Income1]" c="i1_Income1"/>
              <i n="[Master_1].[Cat_2].&amp;[i2_Savings]" c="i2_Savings"/>
              <i n="[Master_1].[Cat_2].&amp;[i3_Income3]" c="i3_Income3"/>
            </range>
          </ranges>
        </level>
      </levels>
      <selections count="1">
        <selection n="[Master_1].[Cat_2].[All]"/>
      </selections>
    </olap>
  </data>
  <extLst>
    <x:ext xmlns:x15="http://schemas.microsoft.com/office/spreadsheetml/2010/11/main" uri="{470722E0-AACD-4C17-9CDC-17EF765DBC7E}">
      <x15:slicerCacheHideItemsWithNoData count="1">
        <x15:slicerCacheOlapLevelName uniqueName="[Master_1].[Cat_2].[Cat_2]" count="0"/>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__Name" xr10:uid="{4EC1CC45-6C41-4096-AFAD-C99F4DF23AB9}" sourceName="[Master_1].[Mois (Name)]">
  <pivotTables>
    <pivotTable tabId="48" name="Analyse_Dépenses"/>
    <pivotTable tabId="48" name="PivotDépense"/>
    <pivotTable tabId="48" name="PivotIncome"/>
    <pivotTable tabId="48" name="PivotTotal"/>
    <pivotTable tabId="48" name="TbRegletteIncome"/>
    <pivotTable tabId="48" name="F2024"/>
    <pivotTable tabId="48" name="PivotOtalPapillon"/>
  </pivotTables>
  <data>
    <olap pivotCacheId="2050416239">
      <levels count="2">
        <level uniqueName="[Master_1].[Mois (Name)].[(All)]" sourceCaption="(All)" count="0"/>
        <level uniqueName="[Master_1].[Mois (Name)].[Mois (Name)]" sourceCaption="Mois (Name)" count="12" crossFilter="showItemsWithNoData">
          <ranges>
            <range startItem="0">
              <i n="[Master_1].[Mois (Name)].&amp;[Jan]" c="Jan"/>
              <i n="[Master_1].[Mois (Name)].&amp;[Feb]" c="Feb"/>
              <i n="[Master_1].[Mois (Name)].&amp;[Mar]" c="Mar"/>
              <i n="[Master_1].[Mois (Name)].&amp;[Apr]" c="Apr"/>
              <i n="[Master_1].[Mois (Name)].&amp;[May]" c="May"/>
              <i n="[Master_1].[Mois (Name)].&amp;[Jun]" c="Jun"/>
              <i n="[Master_1].[Mois (Name)].&amp;[Jul]" c="Jul"/>
              <i n="[Master_1].[Mois (Name)].&amp;[Aug]" c="Aug"/>
              <i n="[Master_1].[Mois (Name)].&amp;[Sep]" c="Sep"/>
              <i n="[Master_1].[Mois (Name)].&amp;[Oct]" c="Oct"/>
              <i n="[Master_1].[Mois (Name)].&amp;[Nov]" c="Nov"/>
              <i n="[Master_1].[Mois (Name)].&amp;[Dec]" c="Dec"/>
            </range>
          </ranges>
        </level>
      </levels>
      <selections count="1">
        <selection n="[Master_1].[Mois (Name)].[All]"/>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__Quarter3" xr10:uid="{A7EC7426-D2BB-457C-B8D9-537546BDCA44}" sourceName="[Master_1].[Mois (Quarter)]">
  <pivotTables>
    <pivotTable tabId="48" name="F2023"/>
    <pivotTable tabId="48" name="Analyse_Dépenses"/>
    <pivotTable tabId="48" name="F2024"/>
    <pivotTable tabId="48" name="PivotDépense"/>
    <pivotTable tabId="48" name="PivotIncome"/>
    <pivotTable tabId="48" name="PivotTotal"/>
    <pivotTable tabId="48" name="TbRegletteIncome"/>
  </pivotTables>
  <data>
    <olap pivotCacheId="2050416239">
      <levels count="2">
        <level uniqueName="[Master_1].[Mois (Quarter)].[(All)]" sourceCaption="(All)" count="0"/>
        <level uniqueName="[Master_1].[Mois (Quarter)].[Mois (Quarter)]" sourceCaption="Mois (Quarter)" count="4">
          <ranges>
            <range startItem="0">
              <i n="[Master_1].[Mois (Quarter)].&amp;[Qtr1]" c="Qtr1"/>
              <i n="[Master_1].[Mois (Quarter)].&amp;[Qtr2]" c="Qtr2"/>
              <i n="[Master_1].[Mois (Quarter)].&amp;[Qtr3]" c="Qtr3"/>
              <i n="[Master_1].[Mois (Quarter)].&amp;[Qtr4]" c="Qtr4"/>
            </range>
          </ranges>
        </level>
      </levels>
      <selections count="1">
        <selection n="[Master_1].[Mois (Quarter)].[All]"/>
      </selections>
    </olap>
  </data>
  <extLst>
    <x:ext xmlns:x15="http://schemas.microsoft.com/office/spreadsheetml/2010/11/main" uri="{470722E0-AACD-4C17-9CDC-17EF765DBC7E}">
      <x15:slicerCacheHideItemsWithNoData count="1">
        <x15:slicerCacheOlapLevelName uniqueName="[Master_1].[Mois (Quarter)].[Mois (Quarter)]" count="0"/>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 xr10:uid="{D2CEC15B-65C0-4B8B-9048-5312D0924D09}" sourceName="[Master_1].[Année]">
  <pivotTables>
    <pivotTable tabId="48" name="F2023"/>
    <pivotTable tabId="48" name="Analyse_Dépenses"/>
    <pivotTable tabId="48" name="F2024"/>
    <pivotTable tabId="48" name="PivotDépense"/>
    <pivotTable tabId="48" name="PivotIncome"/>
    <pivotTable tabId="48" name="PivotTotal"/>
    <pivotTable tabId="48" name="TbRegletteIncome"/>
    <pivotTable tabId="48" name="PivotOtalPapillon"/>
  </pivotTables>
  <data>
    <olap pivotCacheId="2050416239">
      <levels count="2">
        <level uniqueName="[Master_1].[Année].[(All)]" sourceCaption="(All)" count="0"/>
        <level uniqueName="[Master_1].[Année].[Année]" sourceCaption="Année" count="1" sortOrder="descending">
          <ranges>
            <range startItem="0">
              <i n="[Master_1].[Année].&amp;[2025]" c="2025"/>
            </range>
          </ranges>
        </level>
      </levels>
      <selections count="1">
        <selection n="[Master_1].[Année].[All]"/>
      </selections>
    </olap>
  </data>
  <extLst>
    <x:ext xmlns:x15="http://schemas.microsoft.com/office/spreadsheetml/2010/11/main" uri="{470722E0-AACD-4C17-9CDC-17EF765DBC7E}">
      <x15:slicerCacheHideItemsWithNoData count="1">
        <x15:slicerCacheOlapLevelName uniqueName="[Master_1].[Année].[Année]" count="0"/>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22" xr10:uid="{28655AE8-EB9E-4944-8770-C71520070190}" sourceName="[Master_1].[Cat_2]">
  <pivotTables>
    <pivotTable tabId="48" name="F2023"/>
    <pivotTable tabId="48" name="F2024"/>
    <pivotTable tabId="48" name="TbRegletteIncome"/>
  </pivotTables>
  <data>
    <olap pivotCacheId="2050416239">
      <levels count="2">
        <level uniqueName="[Master_1].[Cat_2].[(All)]" sourceCaption="(All)" count="0"/>
        <level uniqueName="[Master_1].[Cat_2].[Cat_2]" sourceCaption="Cat_2" count="10" crossFilter="showItemsWithNoData">
          <ranges>
            <range startItem="0">
              <i n="[Master_1].[Cat_2].&amp;[Category1]" c="Category1"/>
              <i n="[Master_1].[Cat_2].&amp;[Category2]" c="Category2"/>
              <i n="[Master_1].[Cat_2].&amp;[Category3]" c="Category3"/>
              <i n="[Master_1].[Cat_2].&amp;[Category4]" c="Category4"/>
              <i n="[Master_1].[Cat_2].&amp;[Category5]" c="Category5"/>
              <i n="[Master_1].[Cat_2].&amp;[Category6]" c="Category6"/>
              <i n="[Master_1].[Cat_2].&amp;[Category7]" c="Category7"/>
              <i n="[Master_1].[Cat_2].&amp;[i1_Income1]" c="i1_Income1"/>
              <i n="[Master_1].[Cat_2].&amp;[i2_Savings]" c="i2_Savings"/>
              <i n="[Master_1].[Cat_2].&amp;[i3_Income3]" c="i3_Income3"/>
            </range>
          </ranges>
        </level>
      </levels>
      <selections count="1">
        <selection n="[Master_1].[Cat_2].[All]"/>
      </selections>
    </olap>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__Name2" xr10:uid="{E230658A-33BC-42DF-9461-6285EA180E1D}" sourceName="[Master_1].[Mois (Name)]">
  <pivotTables>
    <pivotTable tabId="48" name="Cat3Pivot2"/>
    <pivotTable tabId="48" name="Cat3Pivot4"/>
    <pivotTable tabId="48" name="Cat3Pivot6"/>
  </pivotTables>
  <data>
    <olap pivotCacheId="239915750">
      <levels count="2">
        <level uniqueName="[Master_1].[Mois (Name)].[(All)]" sourceCaption="(All)" count="0"/>
        <level uniqueName="[Master_1].[Mois (Name)].[Mois (Name)]" sourceCaption="Mois (Name)" count="12" crossFilter="showItemsWithNoData">
          <ranges>
            <range startItem="0">
              <i n="[Master_1].[Mois (Name)].&amp;[Jan]" c="Jan"/>
              <i n="[Master_1].[Mois (Name)].&amp;[Feb]" c="Feb"/>
              <i n="[Master_1].[Mois (Name)].&amp;[Mar]" c="Mar"/>
              <i n="[Master_1].[Mois (Name)].&amp;[Apr]" c="Apr"/>
              <i n="[Master_1].[Mois (Name)].&amp;[May]" c="May"/>
              <i n="[Master_1].[Mois (Name)].&amp;[Jun]" c="Jun"/>
              <i n="[Master_1].[Mois (Name)].&amp;[Jul]" c="Jul"/>
              <i n="[Master_1].[Mois (Name)].&amp;[Aug]" c="Aug"/>
              <i n="[Master_1].[Mois (Name)].&amp;[Sep]" c="Sep"/>
              <i n="[Master_1].[Mois (Name)].&amp;[Oct]" c="Oct"/>
              <i n="[Master_1].[Mois (Name)].&amp;[Nov]" c="Nov"/>
              <i n="[Master_1].[Mois (Name)].&amp;[Dec]" c="Dec"/>
            </range>
          </ranges>
        </level>
      </levels>
      <selections count="1">
        <selection n="[Master_1].[Mois (Name)].[All]"/>
      </selections>
    </olap>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2" xr10:uid="{E53AA2EE-D1FD-425C-9D04-4CC589741298}" sourceName="[Master_1].[Année]">
  <pivotTables>
    <pivotTable tabId="48" name="Cat3Pivot"/>
    <pivotTable tabId="48" name="Cat3Pivot2"/>
    <pivotTable tabId="48" name="Cat3Pivot3"/>
    <pivotTable tabId="48" name="Cat3Pivot4"/>
    <pivotTable tabId="48" name="Cat3Pivot5"/>
    <pivotTable tabId="48" name="Cat3Pivot6"/>
  </pivotTables>
  <data>
    <olap pivotCacheId="239915750">
      <levels count="2">
        <level uniqueName="[Master_1].[Année].[(All)]" sourceCaption="(All)" count="0"/>
        <level uniqueName="[Master_1].[Année].[Année]" sourceCaption="Année" count="1" sortOrder="descending">
          <ranges>
            <range startItem="0">
              <i n="[Master_1].[Année].&amp;[2025]" c="2025"/>
            </range>
          </ranges>
        </level>
      </levels>
      <selections count="1">
        <selection n="[Master_1].[Année].[All]"/>
      </selections>
    </olap>
  </data>
  <extLst>
    <x:ext xmlns:x15="http://schemas.microsoft.com/office/spreadsheetml/2010/11/main" uri="{470722E0-AACD-4C17-9CDC-17EF765DBC7E}">
      <x15:slicerCacheHideItemsWithNoData count="1">
        <x15:slicerCacheOlapLevelName uniqueName="[Master_1].[Année].[Année]" count="0"/>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34" xr10:uid="{7A3149F8-4F48-495F-895B-1572DC86F0C4}" sourceName="[Master_1].[Cat_3]">
  <pivotTables>
    <pivotTable tabId="48" name="Cat3Pivot3"/>
    <pivotTable tabId="48" name="Cat3Pivot4"/>
  </pivotTables>
  <data>
    <olap pivotCacheId="239915750">
      <levels count="2">
        <level uniqueName="[Master_1].[Cat_3].[(All)]" sourceCaption="(All)" count="0"/>
        <level uniqueName="[Master_1].[Cat_3].[Cat_3]" sourceCaption="Cat_3" count="10" crossFilter="showItemsWithNoData">
          <ranges>
            <range startItem="0">
              <i n="[Master_1].[Cat_3].&amp;[Savings]" c="Savings"/>
              <i n="[Master_1].[Cat_3].&amp;[Sub-Category1]" c="Sub-Category1"/>
              <i n="[Master_1].[Cat_3].&amp;[Sub-Category2]" c="Sub-Category2"/>
              <i n="[Master_1].[Cat_3].&amp;[Sub-Category3]" c="Sub-Category3"/>
              <i n="[Master_1].[Cat_3].&amp;[Sub-Category4]" c="Sub-Category4"/>
              <i n="[Master_1].[Cat_3].&amp;[Sub-Category5]" c="Sub-Category5"/>
              <i n="[Master_1].[Cat_3].&amp;[Sub-Category6]" c="Sub-Category6"/>
              <i n="[Master_1].[Cat_3].&amp;[Sub-Category7]" c="Sub-Category7"/>
              <i n="[Master_1].[Cat_3].&amp;[Sub-Income1]" c="Sub-Income1"/>
              <i n="[Master_1].[Cat_3].&amp;[Sub-Income3]" c="Sub-Income3"/>
            </range>
          </ranges>
        </level>
      </levels>
      <selections count="1">
        <selection n="[Master_1].[Cat_3].&amp;[Sub-Category3]"/>
      </selections>
    </olap>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31" xr10:uid="{235BD6C6-65A1-43E3-B101-D1CFF2A726A5}" sourceName="[Master_1].[Cat_3]">
  <pivotTables>
    <pivotTable tabId="48" name="Cat3Pivot"/>
    <pivotTable tabId="48" name="Cat3Pivot2"/>
  </pivotTables>
  <data>
    <olap pivotCacheId="239915750">
      <levels count="2">
        <level uniqueName="[Master_1].[Cat_3].[(All)]" sourceCaption="(All)" count="0"/>
        <level uniqueName="[Master_1].[Cat_3].[Cat_3]" sourceCaption="Cat_3" count="10" crossFilter="showItemsWithNoData">
          <ranges>
            <range startItem="0">
              <i n="[Master_1].[Cat_3].&amp;[Savings]" c="Savings"/>
              <i n="[Master_1].[Cat_3].&amp;[Sub-Category1]" c="Sub-Category1"/>
              <i n="[Master_1].[Cat_3].&amp;[Sub-Category2]" c="Sub-Category2"/>
              <i n="[Master_1].[Cat_3].&amp;[Sub-Category3]" c="Sub-Category3"/>
              <i n="[Master_1].[Cat_3].&amp;[Sub-Category4]" c="Sub-Category4"/>
              <i n="[Master_1].[Cat_3].&amp;[Sub-Category5]" c="Sub-Category5"/>
              <i n="[Master_1].[Cat_3].&amp;[Sub-Category6]" c="Sub-Category6"/>
              <i n="[Master_1].[Cat_3].&amp;[Sub-Category7]" c="Sub-Category7"/>
              <i n="[Master_1].[Cat_3].&amp;[Sub-Income1]" c="Sub-Income1"/>
              <i n="[Master_1].[Cat_3].&amp;[Sub-Income3]" c="Sub-Income3"/>
            </range>
          </ranges>
        </level>
      </levels>
      <selections count="1">
        <selection n="[Master_1].[Cat_3].&amp;[Sub-Category3]"/>
      </selections>
    </olap>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3" xr10:uid="{D97C035C-914F-4D51-B6CB-B55841C836E8}" sourceName="[Master_1].[Cat_3]">
  <pivotTables>
    <pivotTable tabId="48" name="Cat3Pivot5"/>
  </pivotTables>
  <data>
    <olap pivotCacheId="239915750">
      <levels count="2">
        <level uniqueName="[Master_1].[Cat_3].[(All)]" sourceCaption="(All)" count="0"/>
        <level uniqueName="[Master_1].[Cat_3].[Cat_3]" sourceCaption="Cat_3" count="10" crossFilter="showItemsWithNoData">
          <ranges>
            <range startItem="0">
              <i n="[Master_1].[Cat_3].&amp;[Savings]" c="Savings"/>
              <i n="[Master_1].[Cat_3].&amp;[Sub-Category1]" c="Sub-Category1"/>
              <i n="[Master_1].[Cat_3].&amp;[Sub-Category2]" c="Sub-Category2"/>
              <i n="[Master_1].[Cat_3].&amp;[Sub-Category3]" c="Sub-Category3"/>
              <i n="[Master_1].[Cat_3].&amp;[Sub-Category4]" c="Sub-Category4"/>
              <i n="[Master_1].[Cat_3].&amp;[Sub-Category5]" c="Sub-Category5"/>
              <i n="[Master_1].[Cat_3].&amp;[Sub-Category6]" c="Sub-Category6"/>
              <i n="[Master_1].[Cat_3].&amp;[Sub-Category7]" c="Sub-Category7"/>
              <i n="[Master_1].[Cat_3].&amp;[Sub-Income1]" c="Sub-Income1"/>
              <i n="[Master_1].[Cat_3].&amp;[Sub-Income3]" c="Sub-Income3"/>
            </range>
          </ranges>
        </level>
      </levels>
      <selections count="1">
        <selection n="[Master_1].[Cat_3].&amp;[Sub-Category3]"/>
      </selections>
    </olap>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23" xr10:uid="{B81CD215-E207-4946-893E-E53A4807950D}" sourceName="[Master_1].[Cat_2]">
  <pivotTables>
    <pivotTable tabId="48" name="Analyse_Dépenses"/>
  </pivotTables>
  <data>
    <olap pivotCacheId="2050416239">
      <levels count="2">
        <level uniqueName="[Master_1].[Cat_2].[(All)]" sourceCaption="(All)" count="0"/>
        <level uniqueName="[Master_1].[Cat_2].[Cat_2]" sourceCaption="Cat_2" count="10">
          <ranges>
            <range startItem="0">
              <i n="[Master_1].[Cat_2].&amp;[Category1]" c="Category1"/>
              <i n="[Master_1].[Cat_2].&amp;[Category2]" c="Category2"/>
              <i n="[Master_1].[Cat_2].&amp;[Category3]" c="Category3"/>
              <i n="[Master_1].[Cat_2].&amp;[Category4]" c="Category4"/>
              <i n="[Master_1].[Cat_2].&amp;[Category5]" c="Category5"/>
              <i n="[Master_1].[Cat_2].&amp;[Category6]" c="Category6"/>
              <i n="[Master_1].[Cat_2].&amp;[Category7]" c="Category7"/>
              <i n="[Master_1].[Cat_2].&amp;[i1_Income1]" c="i1_Income1" nd="1"/>
              <i n="[Master_1].[Cat_2].&amp;[i2_Savings]" c="i2_Savings" nd="1"/>
              <i n="[Master_1].[Cat_2].&amp;[i3_Income3]" c="i3_Income3" nd="1"/>
            </range>
          </ranges>
        </level>
      </levels>
      <selections count="1">
        <selection n="[Master_1].[Cat_2].&amp;[Category3]"/>
      </selections>
    </olap>
  </data>
  <extLst>
    <x:ext xmlns:x15="http://schemas.microsoft.com/office/spreadsheetml/2010/11/main" uri="{470722E0-AACD-4C17-9CDC-17EF765DBC7E}">
      <x15:slicerCacheHideItemsWithNoData count="1">
        <x15:slicerCacheOlapLevelName uniqueName="[Master_1].[Cat_2].[Cat_2]" count="3"/>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24" xr10:uid="{9AFC000A-BDCC-49F1-8172-73B6D0F44025}" sourceName="[Budget1Data].[Cat_2]">
  <pivotTables>
    <pivotTable tabId="35" name="Budget1_CashFlow"/>
  </pivotTables>
  <data>
    <olap pivotCacheId="1111197869">
      <levels count="2">
        <level uniqueName="[Budget1Data].[Cat_2].[(All)]" sourceCaption="(All)" count="0"/>
        <level uniqueName="[Budget1Data].[Cat_2].[Cat_2]" sourceCaption="Cat_2" count="10" crossFilter="showItemsWithNoData">
          <ranges>
            <range startItem="0">
              <i n="[Budget1Data].[Cat_2].&amp;[Category1]" c="Category1"/>
              <i n="[Budget1Data].[Cat_2].&amp;[Category2]" c="Category2"/>
              <i n="[Budget1Data].[Cat_2].&amp;[Category3]" c="Category3"/>
              <i n="[Budget1Data].[Cat_2].&amp;[Category4]" c="Category4"/>
              <i n="[Budget1Data].[Cat_2].&amp;[Category5]" c="Category5"/>
              <i n="[Budget1Data].[Cat_2].&amp;[Category6]" c="Category6"/>
              <i n="[Budget1Data].[Cat_2].&amp;[Category7]" c="Category7"/>
              <i n="[Budget1Data].[Cat_2].&amp;[i1_Income1]" c="i1_Income1"/>
              <i n="[Budget1Data].[Cat_2].&amp;[i2_Savings]" c="i2_Savings"/>
              <i n="[Budget1Data].[Cat_2].&amp;[i3_Income3]" c="i3_Income3"/>
            </range>
          </ranges>
        </level>
      </levels>
      <selections count="1">
        <selection n="[Budget1Data].[Cat_2].[All]"/>
      </selections>
    </olap>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_25" xr10:uid="{52EDA3E1-D2D5-408C-8A9D-C6A7D3D6288A}" sourceName="[DataBudget2].[Cat_2]">
  <pivotTables>
    <pivotTable tabId="38" name="Budget2_CashFlow"/>
  </pivotTables>
  <data>
    <olap pivotCacheId="616163013">
      <levels count="2">
        <level uniqueName="[DataBudget2].[Cat_2].[(All)]" sourceCaption="(All)" count="0"/>
        <level uniqueName="[DataBudget2].[Cat_2].[Cat_2]" sourceCaption="Cat_2" count="10" crossFilter="showItemsWithNoData">
          <ranges>
            <range startItem="0">
              <i n="[DataBudget2].[Cat_2].&amp;[Category1]" c="Category1"/>
              <i n="[DataBudget2].[Cat_2].&amp;[Category2]" c="Category2"/>
              <i n="[DataBudget2].[Cat_2].&amp;[Category3]" c="Category3"/>
              <i n="[DataBudget2].[Cat_2].&amp;[Category4]" c="Category4"/>
              <i n="[DataBudget2].[Cat_2].&amp;[Category5]" c="Category5"/>
              <i n="[DataBudget2].[Cat_2].&amp;[Category6]" c="Category6"/>
              <i n="[DataBudget2].[Cat_2].&amp;[Category7]" c="Category7"/>
              <i n="[DataBudget2].[Cat_2].&amp;[i1_Income1]" c="i1_Income1"/>
              <i n="[DataBudget2].[Cat_2].&amp;[i2_Savings]" c="i2_Savings"/>
              <i n="[DataBudget2].[Cat_2].&amp;[i3_Income3]" c="i3_Income3"/>
            </range>
          </ranges>
        </level>
      </levels>
      <selections count="1">
        <selection n="[DataBudget2].[Cat_2].[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_3 5" xr10:uid="{8F367EB3-625C-4EA7-A03F-F0B4B10A9528}" cache="Slicer_Cat_35" caption="Cat_3" startItem="2" showCaption="0" level="1" style="SlicerStyleLight1 2 2 2 2" rowHeight="198966"/>
  <slicer name="Cat_3 6" xr10:uid="{338AD73D-20E4-4CCC-803F-6401F280D1EB}" cache="Slicer_Cat_36" caption="Cat_3" showCaption="0" level="1" style="SlicerStyleLight1 2 2 2 2" rowHeight="198966"/>
  <slicer name="Cat_2" xr10:uid="{59343403-26C5-4C5B-95DF-25AFBB5936CC}" cache="Slicer_Cat_2" caption="Cat_2" showCaption="0" level="1" style="SlicerStyleLight1 2 2 2 2" rowHeight="198966"/>
  <slicer name="Année 13" xr10:uid="{3865CDCF-08FD-4803-A92B-08C61ECFD8A9}" cache="Slicer_Année3" caption="Année" showCaption="0" level="1" style="SlicerStyleLight1 2 2 2 2" rowHeight="144000"/>
  <slicer name="Année 12" xr10:uid="{19113878-DF53-48FC-BAEA-2D27FACA7629}" cache="Slicer_Année3" caption="Année" columnCount="2" showCaption="0" level="1" style="SlicerStyleLight1 2 2 2 2" rowHeight="144000"/>
  <slicer name="Année 11" xr10:uid="{1379350D-5E97-4EC9-A8CC-F862B3DD4353}" cache="Slicer_Année3" caption="Année" columnCount="2" showCaption="0" level="1" style="SlicerStyleLight1 2 2 2 2" rowHeight="144000"/>
  <slicer name="Année 9" xr10:uid="{3E0FF1E6-1864-4988-95FA-22AF25D72233}" cache="Slicer_Année3" caption="Année" columnCount="2" showCaption="0" level="1" style="SlicerStyleLight1 2 2 2 2" rowHeight="144000"/>
  <slicer name="Année 16" xr10:uid="{7924A5B7-99AD-48F9-AEDA-98B5D2586A4A}" cache="Slicer_Année3" caption="Année" columnCount="2" showCaption="0" level="1" style="SlicerStyleLight1 2 2 2 2" rowHeight="144000"/>
  <slicer name="Mois (Quarter) 6" xr10:uid="{16BEA9A4-90E6-457F-82AA-91B277108E3E}" cache="Slicer_Mois__Quarter2" caption="Mois (Quarter)" showCaption="0" level="1" style="SlicerStyleLight1 2 2 2 2" rowHeight="144000"/>
  <slicer name="Mois (Quarter) 5" xr10:uid="{1CC10038-336B-4131-BDC5-456A1D9A11E4}" cache="Slicer_Mois__Quarter2" caption="Mois (Quarter)" columnCount="5" showCaption="0" level="1" style="SlicerStyleLight1 2 2 2 2" rowHeight="144000"/>
  <slicer name="Mois (Quarter) 4" xr10:uid="{32EE91D7-32C1-4AF3-8081-C6542C448A63}" cache="Slicer_Mois__Quarter2" caption="Mois (Quarter)" columnCount="5" showCaption="0" level="1" style="SlicerStyleLight1 2 2 2 2" rowHeight="144000"/>
  <slicer name="Mois (Quarter) 2" xr10:uid="{8F2099EB-3355-4948-9557-B19FB00FFC40}" cache="Slicer_Mois__Quarter2" caption="Mois (Quarter)" columnCount="5" showCaption="0" level="1" style="SlicerStyleLight1 2 2 2 2" rowHeight="144000"/>
  <slicer name="Mois (Quarter) 9" xr10:uid="{C66F808A-EE47-4352-89E3-28CE588020FE}" cache="Slicer_Mois__Quarter2" caption="Mois (Quarter)" columnCount="5" showCaption="0" level="1" style="SlicerStyleLight1 2 2 2 2" rowHeight="144000"/>
  <slicer name="Cat_2 1" xr10:uid="{62405EE8-D87E-4FAE-82D5-4AE7A5806D56}" cache="Slicer_Cat_26" caption="Cat_2" showCaption="0" level="1" style="SlicerStyleLight1 2 2 2 2" rowHeight="198966"/>
  <slicer name="Cat_3 9" xr10:uid="{A3893157-2991-4969-AFC0-5DC05749881E}" cache="Slicer_Cat_37" caption="Cat_3" startItem="2" showCaption="0" level="1" style="SlicerStyleLight1 2 2 2 2" rowHeight="198966"/>
  <slicer name="Cat_3 8" xr10:uid="{32B9128B-63A9-4A70-9608-1D690007D4EB}" cache="Slicer_Cat_38" caption="Cat_3" startItem="2" showCaption="0" level="1" style="SlicerStyleLight1 2 2 2 2" rowHeight="198966"/>
  <slicer name="Année 18" xr10:uid="{68B85F83-EB2E-48CE-8209-1A56885D2B65}" cache="Slicer_Année1" caption="Année" showCaption="0" level="1" style="SlicerStyleLight1 2 2 2 2" rowHeight="144000"/>
  <slicer name="Année 17" xr10:uid="{7CCD0954-527C-4573-8B2E-A0F2D46272B8}" cache="Slicer_Année1" caption="Année" columnCount="2" showCaption="0" level="1" style="SlicerStyleLight1 2 2 2 2" rowHeight="144000"/>
  <slicer name="Année 19" xr10:uid="{D6893467-38C5-4263-B540-2E177CFECB9B}" cache="Slicer_Année1" caption="Année" columnCount="2" showCaption="0" level="1" style="SlicerStyleLight1 2 2 2 2" rowHeight="144000"/>
  <slicer name="Année 20" xr10:uid="{15308F1F-5740-4C49-A02F-7A39206FC86E}" cache="Slicer_Année1" caption="Année" columnCount="2" showCaption="0" level="1" style="SlicerStyleLight1 2 2 2 2" rowHeight="144000"/>
  <slicer name="Année 21" xr10:uid="{D2E87EB1-5398-4AFD-9358-EDEA1C2DC734}" cache="Slicer_Année1" caption="Année" columnCount="2" showCaption="0" level="1" style="SlicerStyleLight1 2 2 2 2" rowHeight="144000"/>
  <slicer name="Mois (Quarter) 11" xr10:uid="{85851720-6529-4876-A639-0742334EC851}" cache="Slicer_Mois__Quarter1" caption="Mois (Quarter)" showCaption="0" level="1" style="SlicerStyleLight1 2 2 2 2" rowHeight="144000"/>
  <slicer name="Mois (Quarter) 10" xr10:uid="{5D7BE80E-CC82-4C6B-B713-1406422459D9}" cache="Slicer_Mois__Quarter1" caption="Mois (Quarter)" columnCount="5" showCaption="0" level="1" style="SlicerStyleLight1 2 2 2 2" rowHeight="144000"/>
  <slicer name="Mois (Quarter) 12" xr10:uid="{6B7CADCD-D841-4080-AED9-325E8A02EF1B}" cache="Slicer_Mois__Quarter1" caption="Mois (Quarter)" columnCount="5" showCaption="0" level="1" style="SlicerStyleLight1 2 2 2 2" rowHeight="144000"/>
  <slicer name="Mois (Quarter) 13" xr10:uid="{84B512E5-6D7B-4440-B178-49E315C1AF98}" cache="Slicer_Mois__Quarter1" caption="Mois (Quarter)" columnCount="5" showCaption="0" level="1" style="SlicerStyleLight1 2 2 2 2" rowHeight="144000"/>
  <slicer name="Mois (Quarter) 14" xr10:uid="{661C5557-3B57-44A7-AFE9-D85673BCA125}" cache="Slicer_Mois__Quarter1" caption="Mois (Quarter)" columnCount="5" showCaption="0" level="1" style="SlicerStyleLight1 2 2 2 2" rowHeight="144000"/>
  <slicer name="Mois (Name) 1" xr10:uid="{30A876F7-E97B-49EF-9919-C3EFE1202C89}" cache="Slicer_Mois__Name1" caption="Mois (Name)" columnCount="12" showCaption="0" level="1" style="SlicerStyleLight1 2 2 2 2" rowHeight="146304"/>
  <slicer name="Mois (Quarter)" xr10:uid="{0A1F8F60-9DFE-4592-A4BC-613DD9916292}" cache="Slicer_Mois__Quarter" caption="Mois (Quarter)" columnCount="4" showCaption="0" level="1" style="SlicerStyleLight1 2 2 2 2" rowHeight="146304"/>
  <slicer name="Slicer_Année2" xr10:uid="{0E2FE31B-1BE0-4F68-8922-DF60DCDA2296}" cache="Slicer_Année4" caption="Année" columnCount="2" showCaption="0" level="1" style="SlicerStyleLight1 2 2 2 2" rowHeight="146304"/>
  <slicer name="Cat_2 5" xr10:uid="{0936DA63-D6B0-461C-B980-854061A40A5E}" cache="Slicer_Cat_21" caption="Cat_2" columnCount="2" showCaption="0" level="1" style="SlicerStyleLight1 2 2 2 2" rowHeight="146304"/>
  <slicer name="Mois (Name)" xr10:uid="{E42F2B20-7C77-4631-A28D-28D58965238F}" cache="Slicer_Mois__Name" caption="Mois (Name)" columnCount="12" showCaption="0" level="1" style="SlicerStyleLight1 2 2 2 2" rowHeight="146304"/>
  <slicer name="Mois (Name) 2" xr10:uid="{446773BC-F910-4C43-84B0-C3BC9BDD3F54}" cache="Slicer_Mois__Name" caption="Mois (Name)" columnCount="12" showCaption="0" level="1" style="SlicerStyleLight1 2 2 2 2" rowHeight="201168"/>
  <slicer name="Mois (Name) 6" xr10:uid="{8734DDD8-7BEF-49FD-9782-C63D38D4E58D}" cache="Slicer_Mois__Name" caption="Mois (Name)" columnCount="12" showCaption="0" level="1" style="SlicerStyleLight1 2 2 2 2" rowHeight="146304"/>
  <slicer name="Mois (Quarter) 1" xr10:uid="{A4B1D5CD-C7E5-4C8D-998D-2B9346427AAF}" cache="Slicer_Mois__Quarter3" caption="Mois (Quarter)" columnCount="4" showCaption="0" level="1" style="SlicerStyleLight1 2 2 2 2" rowHeight="146304"/>
  <slicer name="Mois (Quarter) 3" xr10:uid="{39C52FF4-2FFD-4153-B959-70FA6F0F898C}" cache="Slicer_Mois__Quarter3" caption="Mois (Quarter)" columnCount="4" showCaption="0" level="1" style="SlicerStyleLight1 2 2 2 2" rowHeight="201168"/>
  <slicer name="Année 1" xr10:uid="{4D2F8959-5792-4954-B21C-1FFE74C896EA}" cache="Slicer_Année" caption="Année" columnCount="2" showCaption="0" level="1" style="SlicerStyleLight1 2 2 2 2" rowHeight="146304"/>
  <slicer name="Slicer_Année4" xr10:uid="{A16E73FF-E871-49A3-AE80-87A7D905DD76}" cache="Slicer_Année" caption="Année" columnCount="12" showCaption="0" level="1" style="SlicerStyleLight1 2 2 2 2" rowHeight="201168"/>
  <slicer name="Année 2" xr10:uid="{4DD3B7EF-0B8F-40D2-AF6B-25DBDF73C234}" cache="Slicer_Année" caption="Année" columnCount="2" showCaption="0" level="1" style="SlicerStyleLight1 2 2 2 2" rowHeight="146304"/>
  <slicer name="Année 7" xr10:uid="{A7F3344E-0F4C-4A6A-A139-268232BCE904}" cache="Slicer_Année" caption="Année" columnCount="2" showCaption="0" level="1" style="SlicerStyleLight1 2 2 2 2" rowHeight="146304"/>
  <slicer name="Cat_2 2" xr10:uid="{2EDE137C-0C71-4596-A0DC-950838B35335}" cache="Slicer_Cat_22" caption="Cat_2" startItem="8" columnCount="2" showCaption="0" level="1" style="SlicerStyleLight1 2 2 2 2" rowHeight="146304"/>
  <slicer name="Mois (Name) 3" xr10:uid="{DF2491E3-7B94-4D7A-ADB0-1CFEEFBA7854}" cache="Slicer_Mois__Name2" caption="Mois (Name)" columnCount="12" showCaption="0" level="1" style="SlicerStyleLight1 2 2 2 2" rowHeight="146304"/>
  <slicer name="Mois (Name) 4" xr10:uid="{8BAE4FDD-A91B-43CA-89DA-01A966F07369}" cache="Slicer_Mois__Name2" caption="Mois (Name)" columnCount="12" showCaption="0" level="1" style="SlicerStyleLight1 2 2 2 2" rowHeight="146304"/>
  <slicer name="Mois (Name) 5" xr10:uid="{E9059570-64BC-49E1-AEAC-213C4B2E8FFF}" cache="Slicer_Mois__Name2" caption="Mois (Name)" columnCount="12" showCaption="0" level="1" style="SlicerStyleLight1 2 2 2 2" rowHeight="146304"/>
  <slicer name="Slicer_Année5" xr10:uid="{60E321BE-2369-42BB-81EF-8C15A8CD4198}" cache="Slicer_Année2" caption="Année" columnCount="2" showCaption="0" level="1" style="SlicerStyleLight1 2 2 2 2" rowHeight="146304"/>
  <slicer name="Année 4" xr10:uid="{F78C837F-1A1E-4E6C-96A3-E3435A85FFA5}" cache="Slicer_Année2" caption="Année" columnCount="2" showCaption="0" level="1" style="SlicerStyleLight1 2 2 2 2" rowHeight="146304"/>
  <slicer name="Année 6" xr10:uid="{CB552CE9-BF7E-4484-93D9-7FC3C3CA02B8}" cache="Slicer_Année2" caption="Année" columnCount="2" showCaption="0" level="1" style="SlicerStyleLight1 2 2 2 2" rowHeight="146304"/>
  <slicer name="Cat_3 3" xr10:uid="{5EB6B8FF-A2E3-47D8-AE09-C1518C9CAF83}" cache="Slicer_Cat_34" caption="Cat_3" startItem="1" showCaption="0" level="1" style="SlicerStyleLight1 2 2 2 2" rowHeight="198966"/>
  <slicer name="Cat_3 1" xr10:uid="{5506278B-0A94-4754-A905-234FD808DEBD}" cache="Slicer_Cat_31" caption="Cat_3" showCaption="0" level="1" style="SlicerStyleLight1 2 2 2 2" rowHeight="198966"/>
  <slicer name="Cat_3" xr10:uid="{32E59131-2137-4A02-ADEB-39A3B9145FC5}" cache="Slicer_Cat_3" caption="Cat_3" showCaption="0" level="1" style="SlicerStyleLight1 2 2 2 2" rowHeight="198966"/>
  <slicer name="Cat_2 3" xr10:uid="{BBA929EB-A5D1-4AEA-9A1C-87E330B4E774}" cache="Slicer_Cat_23" caption="Cat_2" showCaption="0" level="1" style="SlicerStyleLight1 2 2 2 2" rowHeight="198966"/>
  <slicer name="Cat_2 4" xr10:uid="{A57229D1-44D4-4814-B1D8-18F6FBDA19B5}" cache="Slicer_Cat_24" caption="Cat_2" columnCount="2" showCaption="0" level="1" style="SlicerStyleLight1 2 2 2 2" rowHeight="146304"/>
  <slicer name="Cat_2 6" xr10:uid="{6C2492AF-023C-4BB1-9750-4AB1B522BF2B}" cache="Slicer_Cat_25" caption="Cat_2" startItem="2" columnCount="2" showCaption="0" level="1" style="SlicerStyleLight1 2 2 2 2" rowHeight="198966"/>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4DE856C-AA47-4D5D-B568-7C26F5AE5ED4}" name="tbSalaire" displayName="tbSalaire" ref="A25:B29" totalsRowShown="0" tableBorderDxfId="216">
  <autoFilter ref="A25:B29" xr:uid="{94DE856C-AA47-4D5D-B568-7C26F5AE5ED4}"/>
  <tableColumns count="2">
    <tableColumn id="1" xr3:uid="{139ED926-A535-4031-8C2E-1C1A1E789BF3}" name="2024" dataDxfId="215"/>
    <tableColumn id="2" xr3:uid="{B7D668B3-BADE-4E4C-A56F-6265F4F5FD26}" name="Salaire annuel actuel" dataDxfId="214"/>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439043F-EB6D-4C9D-917A-06C07FA7B185}" name="tbRTaxe33" displayName="tbRTaxe33" ref="A32:G42" totalsRowShown="0">
  <autoFilter ref="A32:G42" xr:uid="{7439043F-EB6D-4C9D-917A-06C07FA7B185}"/>
  <tableColumns count="7">
    <tableColumn id="1" xr3:uid="{2134DD04-C557-4C25-A75F-19A0716D8CCF}" name="2024" dataDxfId="213"/>
    <tableColumn id="2" xr3:uid="{FB6E630A-632C-403B-92E7-A40E457E9DD4}" name="Ratio" dataDxfId="212"/>
    <tableColumn id="3" xr3:uid="{4A321F79-2D57-4E6B-BA29-A5E653D1E7CA}" name="Rates" dataDxfId="211"/>
    <tableColumn id="7" xr3:uid="{7374A8A4-DF1F-4CC4-9510-8B69F8BBF320}" name="GV" dataDxfId="210"/>
    <tableColumn id="8" xr3:uid="{AE96F34E-4C7C-4F87-99F5-C7F8923541CF}" name="Code" dataDxfId="209"/>
    <tableColumn id="9" xr3:uid="{63AD476A-268E-46BB-985C-C45117C30973}" name="Step" dataDxfId="208"/>
    <tableColumn id="6" xr3:uid="{CE3F9E24-818B-4E26-BCFF-D8583418138F}" name="Taxes" dataDxfId="207">
      <calculatedColumnFormula>#REF!-tbRTaxe33[[#This Row],[Rates]]</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934C29C-1E67-4CAB-A9DC-1F433CC7EFD3}" name="CELI" displayName="CELI" ref="J32:L124" totalsRowShown="0" headerRowDxfId="206">
  <autoFilter ref="J32:L124" xr:uid="{5934C29C-1E67-4CAB-A9DC-1F433CC7EFD3}"/>
  <tableColumns count="3">
    <tableColumn id="1" xr3:uid="{F17EFEED-E1C3-4B7D-A6F0-28BF62204AEB}" name="Année" dataDxfId="205"/>
    <tableColumn id="3" xr3:uid="{8466D93F-DE4B-4CE5-A292-E82399F5642B}" name="Plafond" dataDxfId="204"/>
    <tableColumn id="4" xr3:uid="{21B3C022-FC47-434C-98C7-FBE811218388}" name="First Year"/>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E9EAF8-8007-4479-807E-813BAE5AE010}" name="DataTable" displayName="DataTable" ref="A1:G2" totalsRowShown="0" headerRowDxfId="203">
  <autoFilter ref="A1:G2" xr:uid="{C9E9EAF8-8007-4479-807E-813BAE5AE010}"/>
  <sortState xmlns:xlrd2="http://schemas.microsoft.com/office/spreadsheetml/2017/richdata2" ref="A2:G943">
    <sortCondition descending="1" ref="C1:C943"/>
  </sortState>
  <tableColumns count="7">
    <tableColumn id="7" xr3:uid="{AA1250E0-B7CC-4233-8782-B90BBC21E78B}" name="Check"/>
    <tableColumn id="1" xr3:uid="{F5DFCABA-1718-4FAB-900C-6C35EF5F4535}" name="Année"/>
    <tableColumn id="2" xr3:uid="{1D8BDA47-D5E9-4A4D-97D4-67D89599FAA1}" name="Mois"/>
    <tableColumn id="3" xr3:uid="{958873A4-41E3-4DC3-A524-9C7BAE1EE827}" name="Cat_1"/>
    <tableColumn id="4" xr3:uid="{A09FD426-5519-4A8F-8245-214A10D4F8C9}" name="Cat_2"/>
    <tableColumn id="5" xr3:uid="{627F7238-9DD1-4DBE-9015-D12401BDAB79}" name="Cat_3"/>
    <tableColumn id="6" xr3:uid="{64814A46-4A1C-4CA4-9CE9-CD6EB112DA81}" name="Montan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537AFC0-417B-48B4-9A41-52477B06C4A0}" name="Master_1" displayName="Master_1" ref="A1:I113" tableType="queryTable" totalsRowShown="0">
  <autoFilter ref="A1:I113" xr:uid="{E537AFC0-417B-48B4-9A41-52477B06C4A0}"/>
  <tableColumns count="9">
    <tableColumn id="1" xr3:uid="{EA920065-8944-45B9-8219-0F1818F2B5F5}" uniqueName="1" name="Année" queryTableFieldId="1"/>
    <tableColumn id="2" xr3:uid="{D9FAF4D7-D539-4636-B837-DD228CE1FCDB}" uniqueName="2" name="Mois" queryTableFieldId="2" dataDxfId="202"/>
    <tableColumn id="3" xr3:uid="{67DE0886-AE2F-4B46-8726-9EFD5177392A}" uniqueName="3" name="Cat_1" queryTableFieldId="3" dataDxfId="201"/>
    <tableColumn id="4" xr3:uid="{56311622-6A4E-422B-894A-D07BBD8C070C}" uniqueName="4" name="Cat_2" queryTableFieldId="4" dataDxfId="200"/>
    <tableColumn id="5" xr3:uid="{555B7D31-F1AC-47E6-BD17-6CF8249CC61F}" uniqueName="5" name="Cat_3" queryTableFieldId="5" dataDxfId="199"/>
    <tableColumn id="6" xr3:uid="{5B15F22D-F983-43B2-8603-3972E1128000}" uniqueName="6" name="Log" queryTableFieldId="6"/>
    <tableColumn id="7" xr3:uid="{8BFF7D61-E48B-437A-9F13-12750F2EB179}" uniqueName="7" name="Montant" queryTableFieldId="7"/>
    <tableColumn id="8" xr3:uid="{C1C22533-44D0-40F3-9255-7A9767D40F86}" uniqueName="8" name="Mois (Name)" queryTableFieldId="8" dataDxfId="198"/>
    <tableColumn id="9" xr3:uid="{4D0F7AAF-6F35-452B-9559-3C09F9783643}" uniqueName="9" name="Month (Number)" queryTableFieldId="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96BBF14-DA6B-403B-A558-F55F95F73599}" name="Master" displayName="Master" ref="A1:H113" totalsRowShown="0" headerRowDxfId="197" dataDxfId="196" tableBorderDxfId="195">
  <autoFilter ref="A1:H113" xr:uid="{996BBF14-DA6B-403B-A558-F55F95F73599}"/>
  <tableColumns count="8">
    <tableColumn id="2" xr3:uid="{126A49CB-4DD0-4036-BF3F-1840979DDA31}" name="Année" dataDxfId="194"/>
    <tableColumn id="1" xr3:uid="{87582A12-A905-4B40-A58F-47A25EAB4616}" name="Mois" dataDxfId="193"/>
    <tableColumn id="3" xr3:uid="{3C3C5545-0605-4447-84D1-9749C1F8CB66}" name="Cat_1" dataDxfId="192"/>
    <tableColumn id="4" xr3:uid="{C09CB84C-05F1-483E-A25F-D1D7BE585252}" name="Cat_2" dataDxfId="191"/>
    <tableColumn id="5" xr3:uid="{32015595-F418-48DB-AF96-62B3A9180109}" name="Cat_3" dataDxfId="190"/>
    <tableColumn id="6" xr3:uid="{7D034747-15DB-42A3-AF7C-04F6A10E1090}" name="Log" dataDxfId="189"/>
    <tableColumn id="7" xr3:uid="{BA0E7303-0196-41B8-AFF7-19BA6DCD5920}" name="Montant" dataDxfId="188"/>
    <tableColumn id="8" xr3:uid="{81043F5C-4273-4FC7-A9EB-7B310CFB7357}" name="Mois (Name)" dataDxfId="18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DD4A36-8872-4510-8A1D-A4847871029B}" name="i3_Income3" displayName="i3_Income3" ref="AW1:AX2" totalsRowShown="0" headerRowDxfId="186" dataDxfId="185">
  <autoFilter ref="AW1:AX2" xr:uid="{53DD4A36-8872-4510-8A1D-A4847871029B}"/>
  <tableColumns count="2">
    <tableColumn id="1" xr3:uid="{477489A1-C058-478E-859D-42B0147BC6D5}" name="C223" dataDxfId="184"/>
    <tableColumn id="2" xr3:uid="{65860BE4-7A9B-4D56-B3DB-FB705F66F7A0}" name="Row" dataDxfId="183">
      <calculatedColumnFormula>VLOOKUP(i3_Income3[[#This Row],[C223]],Refund[C224]:Refund[Row],2,FALSE)</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160B3CE-3310-4BCB-A0BC-860BE905F173}" name="i2_Savings" displayName="i2_Savings" ref="AS1:AT2" totalsRowShown="0" headerRowDxfId="182" dataDxfId="181">
  <autoFilter ref="AS1:AT2" xr:uid="{D160B3CE-3310-4BCB-A0BC-860BE905F173}"/>
  <tableColumns count="2">
    <tableColumn id="1" xr3:uid="{D0238AD1-2351-45FA-9C30-DB615328C85B}" name="C222" dataDxfId="180"/>
    <tableColumn id="2" xr3:uid="{B305C61B-1647-4643-9330-A650239A8539}" name="Row" dataDxfId="179">
      <calculatedColumnFormula>VLOOKUP(i2_Savings[[#This Row],[C222]],Refund[C224]:Refund[Row],2,FALSE)</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79B54AE-8469-4A5E-A47A-66891E27891B}" name="i1_Income1" displayName="i1_Income1" ref="AO1:AP2" totalsRowShown="0" headerRowDxfId="178" dataDxfId="177">
  <autoFilter ref="AO1:AP2" xr:uid="{F79B54AE-8469-4A5E-A47A-66891E27891B}"/>
  <tableColumns count="2">
    <tableColumn id="1" xr3:uid="{6ED1F47F-400D-4FF7-83D4-2FF4557D829A}" name="C221" dataDxfId="176"/>
    <tableColumn id="2" xr3:uid="{23D05668-3015-42D7-BAF0-D54DD7DBEE86}" name="Row" dataDxfId="175">
      <calculatedColumnFormula>VLOOKUP(i1_Income1[[#This Row],[C221]],Refund[C224]:Refund[Row],2,FALSE)</calculatedColumnFormula>
    </tableColumn>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C829E0-A7CC-4784-999D-4CC5A65A8AFB}" name="Category7" displayName="Category7" ref="AK1:AL2" totalsRowShown="0" headerRowDxfId="174" dataDxfId="173">
  <autoFilter ref="AK1:AL2" xr:uid="{E8C829E0-A7CC-4784-999D-4CC5A65A8AFB}"/>
  <tableColumns count="2">
    <tableColumn id="1" xr3:uid="{586FA254-B4CC-4191-97EB-385E38C0582F}" name="C217" dataDxfId="172"/>
    <tableColumn id="2" xr3:uid="{CF3E260E-0F0F-4A88-AE38-35B3CE8F7981}" name="Row" dataDxfId="171">
      <calculatedColumnFormula>VLOOKUP(Category7[[#This Row],[C217]],Refund[C224]:Refund[Row],2,FALSE)</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D07A918-2630-4BE5-8D56-2791437DD89B}" name="Category6" displayName="Category6" ref="AG1:AH2" totalsRowShown="0" headerRowDxfId="170" dataDxfId="169">
  <autoFilter ref="AG1:AH2" xr:uid="{FD07A918-2630-4BE5-8D56-2791437DD89B}"/>
  <tableColumns count="2">
    <tableColumn id="1" xr3:uid="{8B101EF3-661B-43DE-8FD0-C02F2E623371}" name="C216" dataDxfId="168"/>
    <tableColumn id="2" xr3:uid="{E0521A1D-D192-4524-B925-BE3C9414CE7C}" name="Row" dataDxfId="167">
      <calculatedColumnFormula>VLOOKUP(Category6[[#This Row],[C216]],Refund[C224]:Refund[Row],2,FALSE)</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884A21F-E680-46F1-8475-C446F88D7952}" name="Category5" displayName="Category5" ref="AC1:AD2" totalsRowShown="0" headerRowDxfId="166" dataDxfId="165">
  <autoFilter ref="AC1:AD2" xr:uid="{8884A21F-E680-46F1-8475-C446F88D7952}"/>
  <tableColumns count="2">
    <tableColumn id="1" xr3:uid="{67865316-1B95-416B-9FBC-55361D77194B}" name="C215" dataDxfId="164"/>
    <tableColumn id="2" xr3:uid="{278CBB9D-DB4C-4377-937B-3A6906820F50}" name="Row" dataDxfId="163">
      <calculatedColumnFormula>VLOOKUP(Category5[[#This Row],[C215]],Refund[C224]:Refund[Row],2,FALSE)</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205F8E1-1941-44A2-9A3F-1E777C659530}" name="Category4" displayName="Category4" ref="Y1:Z2" totalsRowShown="0" headerRowDxfId="162" dataDxfId="161">
  <autoFilter ref="Y1:Z2" xr:uid="{D205F8E1-1941-44A2-9A3F-1E777C659530}"/>
  <tableColumns count="2">
    <tableColumn id="1" xr3:uid="{D11B00A4-6FD6-4252-AB16-F57F000487F3}" name="C214" dataDxfId="160"/>
    <tableColumn id="2" xr3:uid="{60EB1706-AB08-47F3-9244-33434C0E4520}" name="Row" dataDxfId="159">
      <calculatedColumnFormula>VLOOKUP(Category4[[#This Row],[C214]],Refund[C224]:Refund[Row],2,FALSE)</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9ACB3F-F13C-4716-9EC2-F9FC4C0E741F}" name="Category3" displayName="Category3" ref="U1:V2" totalsRowShown="0" headerRowDxfId="158" dataDxfId="157">
  <autoFilter ref="U1:V2" xr:uid="{3B9ACB3F-F13C-4716-9EC2-F9FC4C0E741F}"/>
  <tableColumns count="2">
    <tableColumn id="1" xr3:uid="{5FD6D038-E719-4E75-97BB-2756EEDBE336}" name="C213" dataDxfId="156"/>
    <tableColumn id="2" xr3:uid="{46236672-9F8C-4CC5-980E-7886C5B60528}" name="Row" dataDxfId="155">
      <calculatedColumnFormula>VLOOKUP(Category3[[#This Row],[C213]],Refund[C224]:Refund[Row],2,FALSE)</calculatedColumnFormula>
    </tableColumn>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380E14A-86D2-47AC-BB66-DCE6C3CD64BA}" name="Category2" displayName="Category2" ref="Q1:R2" totalsRowShown="0" headerRowDxfId="154" dataDxfId="153">
  <autoFilter ref="Q1:R2" xr:uid="{8380E14A-86D2-47AC-BB66-DCE6C3CD64BA}"/>
  <tableColumns count="2">
    <tableColumn id="1" xr3:uid="{48B497D4-D363-4D96-9FCA-C586B2FC71F5}" name="C212" dataDxfId="152"/>
    <tableColumn id="2" xr3:uid="{F0D4C78E-B06B-4B34-ADFC-B5E21B096DC0}" name="Row" dataDxfId="151"/>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D5917D9-D3FF-4EB4-B9C2-3E4F2473304B}" name="Category1" displayName="Category1" ref="M1:N2" totalsRowShown="0" headerRowDxfId="150" dataDxfId="149">
  <autoFilter ref="M1:N2" xr:uid="{AD5917D9-D3FF-4EB4-B9C2-3E4F2473304B}"/>
  <tableColumns count="2">
    <tableColumn id="1" xr3:uid="{3A881443-5A47-4BB8-8546-3719A3C9FE0F}" name="C211" dataDxfId="148"/>
    <tableColumn id="2" xr3:uid="{423E8D9E-2DB6-4614-8605-DC53D8A40705}" name="Row" dataDxfId="147">
      <calculatedColumnFormula>VLOOKUP(Category1[[#This Row],[C211]],Refund[C224]:Refund[Row],2,FALSE)</calculatedColumnFormula>
    </tableColumn>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2236489-5204-4ED8-B171-005A5A5D86A4}" name="Income" displayName="Income" ref="J1:J4" totalsRowShown="0" headerRowDxfId="146" dataDxfId="145">
  <autoFilter ref="J1:J4" xr:uid="{A2236489-5204-4ED8-B171-005A5A5D86A4}"/>
  <tableColumns count="1">
    <tableColumn id="1" xr3:uid="{88456A46-87FE-4DA5-8286-0ABBC4171252}" name="C22" dataDxfId="144"/>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6B448AD-EAB0-4DF3-8C7B-E23969EE77C5}" name="Dépense" displayName="Dépense" ref="H1:H8" totalsRowShown="0" headerRowDxfId="143" dataDxfId="142">
  <autoFilter ref="H1:H8" xr:uid="{16B448AD-EAB0-4DF3-8C7B-E23969EE77C5}"/>
  <tableColumns count="1">
    <tableColumn id="1" xr3:uid="{4536CA4D-3108-44D3-8D3A-19A396A38DA8}" name="C21" dataDxfId="141"/>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D33F42A-828F-4880-B846-C337947D85EE}" name="Cat" displayName="Cat" ref="F1:F3" totalsRowShown="0" headerRowDxfId="140" dataDxfId="139">
  <autoFilter ref="F1:F3" xr:uid="{9D33F42A-828F-4880-B846-C337947D85EE}"/>
  <tableColumns count="1">
    <tableColumn id="1" xr3:uid="{FD7E4BEA-DA73-40EC-A2E7-82BFBB4FC00C}" name="C1" dataDxfId="138"/>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28BC00D-7763-4262-AA90-33C8B511B609}" name="Month" displayName="Month" ref="D1:D13" totalsRowShown="0" headerRowDxfId="137" dataDxfId="136">
  <autoFilter ref="D1:D13" xr:uid="{C28BC00D-7763-4262-AA90-33C8B511B609}"/>
  <tableColumns count="1">
    <tableColumn id="1" xr3:uid="{60E410C7-F80A-4934-8309-28F523029977}" name="Mois" dataDxfId="135">
      <calculatedColumnFormula>Library!R2</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A8C2897-1A3C-47AA-AFDD-41C4C5B26B5D}" name="Year" displayName="Year" ref="B1:B2" totalsRowShown="0" headerRowDxfId="134" dataDxfId="133">
  <autoFilter ref="B1:B2" xr:uid="{4A8C2897-1A3C-47AA-AFDD-41C4C5B26B5D}"/>
  <sortState xmlns:xlrd2="http://schemas.microsoft.com/office/spreadsheetml/2017/richdata2" ref="B2">
    <sortCondition descending="1" ref="B1:B2"/>
  </sortState>
  <tableColumns count="1">
    <tableColumn id="1" xr3:uid="{4C17B04A-5349-4D82-AD0F-E78AB55993F6}" name="Année" dataDxfId="132"/>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C7BFC38-523F-4D69-9FD5-9A1483E0FC7E}" name="Data_Line" displayName="Data_Line" ref="BE1:BU2" totalsRowShown="0">
  <autoFilter ref="BE1:BU2" xr:uid="{DC7BFC38-523F-4D69-9FD5-9A1483E0FC7E}"/>
  <tableColumns count="17">
    <tableColumn id="1" xr3:uid="{B0E803CB-9CEF-499A-83FF-811B6E578296}" name="Année"/>
    <tableColumn id="2" xr3:uid="{EDE7ABEB-566A-4F8A-B7F6-E417B96BB366}" name="janvier"/>
    <tableColumn id="3" xr3:uid="{1EADA3FB-F9B8-4C23-9B4D-C2C718989CAC}" name="février"/>
    <tableColumn id="4" xr3:uid="{95521C0B-8FC8-44FB-B04D-346159A2A2F1}" name="mars"/>
    <tableColumn id="5" xr3:uid="{F2DCD809-8521-4692-992F-E7AEDA841988}" name="avril"/>
    <tableColumn id="6" xr3:uid="{D47AB8A9-145A-41DE-853E-B09E4F78B303}" name="mai"/>
    <tableColumn id="7" xr3:uid="{A6E264D4-6E37-4833-BA39-13D2EB337941}" name="juin"/>
    <tableColumn id="8" xr3:uid="{636DC531-5D1D-4D26-8EBC-22AEF930D09D}" name="juillet"/>
    <tableColumn id="9" xr3:uid="{21E992B9-07E2-4FF9-8C66-0E774B6B0D3F}" name="août"/>
    <tableColumn id="10" xr3:uid="{02F88EFD-D756-4625-B904-DC2BC9A25546}" name="septembre"/>
    <tableColumn id="11" xr3:uid="{E79108D1-3E28-4105-A16C-0A3414DF697D}" name="octobre"/>
    <tableColumn id="12" xr3:uid="{7D03A9F0-F6BA-4CE0-88D0-83E6132A86F7}" name="novembre"/>
    <tableColumn id="13" xr3:uid="{E9AB107B-9052-47AF-8DF5-05C44C7AD310}" name="décembre"/>
    <tableColumn id="14" xr3:uid="{D601C2E5-7467-40A1-BE16-FA26BE81F23E}" name="Row"/>
    <tableColumn id="15" xr3:uid="{C83E88A3-A46A-41A3-98D9-B587C98BC453}" name="Max"/>
    <tableColumn id="16" xr3:uid="{75592953-FD1C-48EF-ABFC-A8CC7480812A}" name="Solde"/>
    <tableColumn id="17" xr3:uid="{C7B33326-7427-42ED-92F3-66B730119B24}" name="Cible"/>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D21CA00-7233-486E-BDA0-DCD0EE6D1E44}" name="TbHead" displayName="TbHead" ref="BW1:CK2" totalsRowShown="0" dataDxfId="131">
  <autoFilter ref="BW1:CK2" xr:uid="{7D21CA00-7233-486E-BDA0-DCD0EE6D1E44}"/>
  <tableColumns count="15">
    <tableColumn id="1" xr3:uid="{9A2555E3-EBF7-4C3F-B313-C1EB139A15CD}" name="Header1" dataDxfId="130"/>
    <tableColumn id="2" xr3:uid="{D71C9E61-F49D-4243-9C77-C06A597589B3}" name="Header2" dataDxfId="129"/>
    <tableColumn id="3" xr3:uid="{27E1D601-43AC-4F35-99F3-9E04B9CD4DED}" name="Header3" dataDxfId="128"/>
    <tableColumn id="4" xr3:uid="{C2183FCA-645F-48BF-9E1B-B4FD3192BDF4}" name="Header4" dataDxfId="127"/>
    <tableColumn id="5" xr3:uid="{9EB43153-7946-4EF5-9DA9-2D2C177F37EA}" name="Header5" dataDxfId="126"/>
    <tableColumn id="9" xr3:uid="{2F4D39FE-7374-42E1-B9C4-FB19EBDD91EC}" name="Header6" dataDxfId="125"/>
    <tableColumn id="6" xr3:uid="{AB7F213F-A7D8-4CAB-942E-60A6116206B2}" name="Header7" dataDxfId="124"/>
    <tableColumn id="11" xr3:uid="{D3A84805-8893-434E-87A1-9B0A2F9D2146}" name="Header8" dataDxfId="123"/>
    <tableColumn id="12" xr3:uid="{334FEBE9-6110-4172-85C2-4993E837EC91}" name="Header9" dataDxfId="122"/>
    <tableColumn id="7" xr3:uid="{113DD5AB-ABAE-4B66-A19A-E8978491D6AE}" name="Max2" dataDxfId="121">
      <calculatedColumnFormula>ROWS(Master[])</calculatedColumnFormula>
    </tableColumn>
    <tableColumn id="8" xr3:uid="{093E5A6E-CA02-4F47-8C84-F09916E72B86}" name="Max1" dataDxfId="120">
      <calculatedColumnFormula>ROWS(DataTable[])</calculatedColumnFormula>
    </tableColumn>
    <tableColumn id="10" xr3:uid="{F143C1D1-7650-4572-AFA7-BDFA69FFC789}" name="NbMonth" dataDxfId="119">
      <calculatedColumnFormula>COUNTA(Data_Line[[janvier]:[décembre]])</calculatedColumnFormula>
    </tableColumn>
    <tableColumn id="14" xr3:uid="{39EC570B-8D61-4D2E-B5AD-9EB17B7C40D8}" name="Mp" dataDxfId="118"/>
    <tableColumn id="13" xr3:uid="{62D8FD44-C9E8-4667-AD38-47AC5A37454C}" name="GrandT" dataDxfId="117"/>
    <tableColumn id="15" xr3:uid="{C9FEB0E6-2021-44CC-A9CD-8B7C3A6FC44F}" name="SmallT" dataDxfId="116"/>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E10C8BE-6842-4B11-8B60-BCA22DA9AB27}" name="Budget" displayName="Budget" ref="CM1:CO3" totalsRowShown="0">
  <autoFilter ref="CM1:CO3" xr:uid="{4E10C8BE-6842-4B11-8B60-BCA22DA9AB27}"/>
  <tableColumns count="3">
    <tableColumn id="1" xr3:uid="{68DE57A8-99A6-4887-AE9E-DF80DC69AD20}" name="Budget"/>
    <tableColumn id="2" xr3:uid="{AB5295C2-4DA5-45BD-9C9C-82718B3D536A}" name="Activate" dataDxfId="115"/>
    <tableColumn id="3" xr3:uid="{FC4FC1D6-81F5-4633-B1AE-30B335A58D69}" name="Input" dataDxfId="114"/>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9BA7091-9EE7-4FFA-BA17-4CD11BE3A104}" name="Data_Ep" displayName="Data_Ep" ref="CT1:DE2" totalsRowShown="0" headerRowDxfId="113" dataDxfId="112">
  <autoFilter ref="CT1:DE2" xr:uid="{D9BA7091-9EE7-4FFA-BA17-4CD11BE3A104}"/>
  <tableColumns count="12">
    <tableColumn id="1" xr3:uid="{FA5A37C1-DC93-4CEA-8624-A3F30A32D52C}" name="Birth" dataDxfId="111"/>
    <tableColumn id="2" xr3:uid="{C157FA43-1C08-4CBD-B4B3-823059242D78}" name="MR" dataDxfId="110"/>
    <tableColumn id="3" xr3:uid="{A784492B-E03C-42CD-8817-02B15BAB11CD}" name="AgeR" dataDxfId="109"/>
    <tableColumn id="4" xr3:uid="{07DAD7A2-B98A-4C11-85DE-A2373732E5F6}" name="AgeM" dataDxfId="108"/>
    <tableColumn id="5" xr3:uid="{9881B0FD-CEDF-4292-83AB-F14835697B20}" name="Inflation" dataDxfId="107"/>
    <tableColumn id="6" xr3:uid="{F6816C9D-88FD-4339-9E56-3EEAAAB33BC3}" name="R1" dataDxfId="106"/>
    <tableColumn id="7" xr3:uid="{C1C76C13-B86B-4CB8-A216-63EA7C954736}" name="R2" dataDxfId="105"/>
    <tableColumn id="8" xr3:uid="{692A2B39-5077-4390-B80A-6D279B8B36E8}" name="R3" dataDxfId="104"/>
    <tableColumn id="9" xr3:uid="{3C22CDF2-A23C-4624-811E-F728B3ECB721}" name="CHR" dataDxfId="103"/>
    <tableColumn id="10" xr3:uid="{E2C13672-8A4B-4AE8-BE7E-E3409955F0D9}" name="StartV" dataDxfId="102"/>
    <tableColumn id="11" xr3:uid="{143A57BA-B1E1-4637-8EE5-2E3DA2708A3A}" name="EndV" dataDxfId="101"/>
    <tableColumn id="12" xr3:uid="{465A2DE1-A384-4265-B0F0-BA7454790353}" name="EPCible" dataDxfId="100"/>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4DBD875-A154-48D4-BC04-1931C08D7076}" name="TbDataEP" displayName="TbDataEP" ref="DM1:EB4" totalsRowShown="0" headerRowDxfId="99" dataDxfId="98">
  <autoFilter ref="DM1:EB4" xr:uid="{F4DBD875-A154-48D4-BC04-1931C08D7076}"/>
  <tableColumns count="16">
    <tableColumn id="1" xr3:uid="{55010384-7D22-4D3C-B0DC-C13D3AF30D92}" name="FIRE" dataDxfId="97"/>
    <tableColumn id="2" xr3:uid="{55D91244-559E-4A7F-9461-2DE92F9B8E87}" name="r" dataDxfId="96"/>
    <tableColumn id="3" xr3:uid="{C23D597E-0B78-4DD7-9688-69D23D3D4747}" name="tc" dataDxfId="95"/>
    <tableColumn id="4" xr3:uid="{2C384DCF-2402-4C16-A126-010A4CA7773B}" name="tr" dataDxfId="94"/>
    <tableColumn id="6" xr3:uid="{E5EA9741-B351-4F8E-8665-F5584B817AE1}" name="tf" dataDxfId="93"/>
    <tableColumn id="5" xr3:uid="{729E1788-4853-4752-A6D9-AE838FBBEDCF}" name="M" dataDxfId="92"/>
    <tableColumn id="8" xr3:uid="{198AE964-DF3C-4457-AA5F-7928CB150815}" name="MEP" dataDxfId="91"/>
    <tableColumn id="7" xr3:uid="{493EE968-1EC6-408C-98A4-D207A2A7E099}" name="SB" dataDxfId="90"/>
    <tableColumn id="9" xr3:uid="{9E84E04B-8D2A-44CF-9490-0571F906CA22}" name="r4" dataDxfId="89"/>
    <tableColumn id="10" xr3:uid="{12E9E6A6-6A71-41A8-BBE0-5FD8682750C2}" name="YrY" dataDxfId="88"/>
    <tableColumn id="11" xr3:uid="{F0DDE4A9-BF1D-44CA-B535-5EBF40AA6641}" name="W" dataDxfId="87"/>
    <tableColumn id="12" xr3:uid="{4E52E410-3AC8-4EDB-89C7-DEC397E677CF}" name="AR" dataDxfId="86"/>
    <tableColumn id="13" xr3:uid="{59616505-8F00-44AF-906B-246524DE05CC}" name="Capital" dataDxfId="85"/>
    <tableColumn id="14" xr3:uid="{A41DB297-22D5-466B-8EBB-9F3E7315559B}" name="End Date" dataDxfId="84"/>
    <tableColumn id="15" xr3:uid="{AA6E7981-120B-4E3B-BC08-D340E6BA9C2F}" name="CHK" dataDxfId="83"/>
    <tableColumn id="16" xr3:uid="{5E7B4657-EB2E-4413-A1AF-A54AEC3EBC5A}" name="Curve" dataDxfId="8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45E2CEE-F7EE-41B0-981F-C71CDD8307D5}" name="TbREFIncome" displayName="TbREFIncome" ref="EF1:EG4" totalsRowShown="0">
  <autoFilter ref="EF1:EG4" xr:uid="{745E2CEE-F7EE-41B0-981F-C71CDD8307D5}"/>
  <tableColumns count="2">
    <tableColumn id="1" xr3:uid="{C2B5B790-270A-4D8E-B757-E1D5B14DD2D2}" name="Income"/>
    <tableColumn id="2" xr3:uid="{219D8949-7C0B-400E-B54F-C7BBBD789244}" name="SuperCat"/>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F4178CA8-3EE5-49A9-A9A1-463BC5888BE4}" name="tbCCY" displayName="tbCCY" ref="EI1:EP6" totalsRowShown="0">
  <autoFilter ref="EI1:EP6" xr:uid="{F4178CA8-3EE5-49A9-A9A1-463BC5888BE4}"/>
  <tableColumns count="8">
    <tableColumn id="1" xr3:uid="{C9B62A97-01E8-414C-A92A-9442446F0344}" name="Currency" dataDxfId="81"/>
    <tableColumn id="2" xr3:uid="{67C05C2F-DBDE-4EA6-823E-2A64D9609F62}" name="Current" dataDxfId="80"/>
    <tableColumn id="3" xr3:uid="{60B90F93-0344-4E13-A527-DF1029F13FCF}" name="Language" dataDxfId="79"/>
    <tableColumn id="4" xr3:uid="{A4DDC3D4-3035-4D11-AF55-3B250A2944B9}" name="ChoiceL" dataDxfId="78"/>
    <tableColumn id="5" xr3:uid="{C17B776B-9FFB-4014-B31D-CAE2DD338AFB}" name="Path" dataDxfId="77"/>
    <tableColumn id="6" xr3:uid="{842FA571-7609-4A16-B2E7-BCB7A5392651}" name="Module" dataDxfId="76"/>
    <tableColumn id="7" xr3:uid="{26E67D31-8211-4A11-915D-395ED9BCE9F5}" name="Bank" dataDxfId="75"/>
    <tableColumn id="8" xr3:uid="{34642F6F-9379-4643-AC99-5AA7E92B5BB0}" name="SelectBank" dataDxfId="74"/>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EA9D5F-578A-4FC1-ADFC-B83C10295A79}" name="Refund" displayName="Refund" ref="AZ1:BC11" headerRowDxfId="73" dataDxfId="72">
  <autoFilter ref="AZ1:BC11" xr:uid="{57EA9D5F-578A-4FC1-ADFC-B83C10295A79}"/>
  <tableColumns count="4">
    <tableColumn id="4" xr3:uid="{8136D40F-475F-4F71-A570-A3B3B98812A7}" name="Cat_1" totalsRowLabel="Total" dataDxfId="71" totalsRowDxfId="70"/>
    <tableColumn id="3" xr3:uid="{E8C3E9C0-E261-44BE-8F3F-0159E0178071}" name="Cat_2" dataDxfId="69" totalsRowDxfId="68"/>
    <tableColumn id="1" xr3:uid="{5BC7AB28-7033-418F-A9FD-81B1DEBA27F6}" name="C224" dataDxfId="67" totalsRowDxfId="66"/>
    <tableColumn id="2" xr3:uid="{E286CD6F-E59C-4E5B-A993-0FF7DB0BCA9B}" name="Row" totalsRowFunction="sum" dataDxfId="65" totalsRowDxfId="64"/>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B211328-9D4D-4B4C-81B9-B613EB87C9DB}" name="DTEP" displayName="DTEP" ref="EV1:FD127" totalsRowShown="0">
  <autoFilter ref="EV1:FD127" xr:uid="{FB211328-9D4D-4B4C-81B9-B613EB87C9DB}"/>
  <tableColumns count="9">
    <tableColumn id="1" xr3:uid="{287F93CD-413F-4B06-9272-02C3ABD4D133}" name="Année" dataDxfId="63"/>
    <tableColumn id="2" xr3:uid="{C5F0BC55-F1A1-4F8F-9B3F-CC9DB51EA05E}" name="Stratégie1" dataDxfId="62"/>
    <tableColumn id="3" xr3:uid="{1AD89E62-1EC0-4374-B609-584AB929A7B3}" name="Stratégie2" dataDxfId="61"/>
    <tableColumn id="4" xr3:uid="{E2794163-4EAC-48F8-96CE-9D695237BD8D}" name="Stratégie3" dataDxfId="60"/>
    <tableColumn id="9" xr3:uid="{2EBB3A88-02B4-41AB-8F50-7253CA0102B6}" name="TTEP" dataDxfId="59"/>
    <tableColumn id="5" xr3:uid="{9A20E6C3-DCC0-4CC8-B4D7-1CF4EDEF4171}" name="YRT" dataDxfId="58"/>
    <tableColumn id="6" xr3:uid="{2F9F2631-864C-4D4D-B24C-2A5F3ED9736F}" name="FI1" dataDxfId="57"/>
    <tableColumn id="7" xr3:uid="{C05124C1-A012-45BE-8BE6-DB493E115BC1}" name="FI2" dataDxfId="56"/>
    <tableColumn id="8" xr3:uid="{C3B68198-5088-4EF6-AD5E-3407D91A66C0}" name="FI3" dataDxfId="55"/>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BCE4CD8A-CE44-4703-BB61-60CE2468B230}" name="tbLibrarymm" displayName="tbLibrarymm" ref="S1:W13" totalsRowShown="0" headerRowDxfId="54" headerRowBorderDxfId="53" tableBorderDxfId="52" totalsRowBorderDxfId="51">
  <autoFilter ref="S1:W13" xr:uid="{BCE4CD8A-CE44-4703-BB61-60CE2468B230}"/>
  <tableColumns count="5">
    <tableColumn id="1" xr3:uid="{F91D4DB8-ED6A-48AB-AB04-D89ED418801E}" name="Français" dataDxfId="50"/>
    <tableColumn id="2" xr3:uid="{E38442A2-1564-4659-B54F-A2561C829B8C}" name="English" dataDxfId="49"/>
    <tableColumn id="3" xr3:uid="{EF56D084-FBF8-4BFF-8DE5-85585CB659BA}" name="Español" dataDxfId="48"/>
    <tableColumn id="4" xr3:uid="{4AB6D399-1D68-4658-BA49-741478D19A25}" name="中文" dataDxfId="47"/>
    <tableColumn id="5" xr3:uid="{92DB2F0F-7207-4D61-B71C-3B6A380C7BA2}" name="Deutsch" dataDxfId="46"/>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5AFE44A-744E-411B-B814-5248121EE3E7}" name="tbLibrarym" displayName="tbLibrarym" ref="S17:W29" totalsRowShown="0" headerRowDxfId="45" dataDxfId="43" headerRowBorderDxfId="44" tableBorderDxfId="42" totalsRowBorderDxfId="41">
  <autoFilter ref="S17:W29" xr:uid="{05AFE44A-744E-411B-B814-5248121EE3E7}"/>
  <tableColumns count="5">
    <tableColumn id="1" xr3:uid="{99E4E652-1039-4936-B215-BBAF8D3CB980}" name="Français" dataDxfId="40"/>
    <tableColumn id="2" xr3:uid="{21B448CD-D52F-4B92-8D9B-74850B2884CE}" name="English" dataDxfId="39"/>
    <tableColumn id="3" xr3:uid="{EA9D7838-A506-4D1F-8924-2A519D13756E}" name="Español" dataDxfId="38"/>
    <tableColumn id="4" xr3:uid="{806C2F73-7E38-4D82-A74B-6F0CC5BBFD62}" name="中文" dataDxfId="37"/>
    <tableColumn id="5" xr3:uid="{61CC2EF3-DA7E-4EC0-A13E-A162C227C7DE}" name="Deutsch" dataDxfId="36"/>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78416F-95E2-47C5-9545-33269E0E8871}" name="DataBudget1" displayName="DataBudget1" ref="A1:I41" totalsRowShown="0" headerRowDxfId="35" tableBorderDxfId="34">
  <autoFilter ref="A1:I41" xr:uid="{3278416F-95E2-47C5-9545-33269E0E8871}"/>
  <tableColumns count="9">
    <tableColumn id="1" xr3:uid="{E527EE22-27CE-4F63-AC98-5F5BBBC44CF9}" name="Année"/>
    <tableColumn id="2" xr3:uid="{E449804B-48F6-4C50-8DB3-5A35886BF2D8}" name="Mois" dataDxfId="33"/>
    <tableColumn id="3" xr3:uid="{89FAC42A-749B-464D-9CE6-76F873B252C8}" name="Cat_1"/>
    <tableColumn id="4" xr3:uid="{E326FA0D-9AD5-49D6-B4CF-4A4903F3CAB1}" name="Cat_2" dataDxfId="32"/>
    <tableColumn id="5" xr3:uid="{5F4E7256-DCC6-408F-8D2C-550B4EE5940E}" name="Cat_3"/>
    <tableColumn id="6" xr3:uid="{DF5C9513-9560-453E-9E29-33F4C8C8B93B}" name="Log" dataDxfId="31"/>
    <tableColumn id="7" xr3:uid="{0824DAD1-8788-4DD8-867C-BE2AD7A20BF9}" name="Montant"/>
    <tableColumn id="8" xr3:uid="{ECE70DA3-02D7-4BEA-8879-859B2AB42879}" name="Montant_Extrap" dataDxfId="30"/>
    <tableColumn id="9" xr3:uid="{139D06E9-80E8-4CA7-960F-8A49394B4C9F}" name="Last_Montant" dataDxfId="2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C729E6F-3061-4AF9-9F60-9D6C3E4646B1}" name="ExtrapBudget1" displayName="ExtrapBudget1" ref="A1:J114" totalsRowShown="0" headerRowDxfId="28" tableBorderDxfId="27">
  <autoFilter ref="A1:J114" xr:uid="{CC729E6F-3061-4AF9-9F60-9D6C3E4646B1}"/>
  <sortState xmlns:xlrd2="http://schemas.microsoft.com/office/spreadsheetml/2017/richdata2" ref="A2:G517">
    <sortCondition ref="B1:B517"/>
  </sortState>
  <tableColumns count="10">
    <tableColumn id="2" xr3:uid="{B18F584C-95A2-4FC4-B79E-A1F49D2D7E72}" name="Année"/>
    <tableColumn id="3" xr3:uid="{0ED0F91F-8E00-4130-BC4B-17580D30689B}" name="Mois" dataDxfId="26"/>
    <tableColumn id="4" xr3:uid="{EE58D74A-9118-42BF-B1B7-C590B4D23D30}" name="Cat_1"/>
    <tableColumn id="5" xr3:uid="{6F04D7D0-9DF8-45E4-8390-417C9A36409F}" name="Cat_2"/>
    <tableColumn id="6" xr3:uid="{9EB39B8A-7DDC-4A9A-AD59-7FDA9A620251}" name="Cat_3"/>
    <tableColumn id="1" xr3:uid="{BC44B321-D1F2-44A8-8844-40A920AB2F09}" name="Log"/>
    <tableColumn id="7" xr3:uid="{2D0BC375-24E5-44D0-91EF-5F42AC597F8C}" name="Montant" dataDxfId="25"/>
    <tableColumn id="8" xr3:uid="{70E105A4-DA07-4673-9103-EDCFE53AA7A8}" name="Ratio" dataDxfId="24">
      <calculatedColumnFormula>IFERROR(ExtrapBudget1[[#This Row],[Montant]]/VLOOKUP(ExtrapBudget1[[#This Row],[Cat_3]],TamponBudget1[],4,FALSE),"")</calculatedColumnFormula>
    </tableColumn>
    <tableColumn id="10" xr3:uid="{2904898C-D40B-4688-BABE-2D275F42A21B}" name="Montant_Extrap" dataDxfId="23"/>
    <tableColumn id="11" xr3:uid="{E5E7861B-2B12-44A9-BB6B-6B1CAEBA7501}" name="Check"/>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4647FE1-E27D-4878-8FF3-2D7A96779F01}" name="TamponBudget1" displayName="TamponBudget1" ref="M1:S11" totalsRowShown="0" headerRowDxfId="22">
  <autoFilter ref="M1:S11" xr:uid="{54647FE1-E27D-4878-8FF3-2D7A96779F01}"/>
  <tableColumns count="7">
    <tableColumn id="1" xr3:uid="{44D4E2E5-5694-4857-901B-100204D8A6DC}" name="Cat"/>
    <tableColumn id="2" xr3:uid="{9F2D14F0-01CC-46BD-8090-35514848BF80}" name="Row"/>
    <tableColumn id="3" xr3:uid="{77D5B912-929B-4B94-AE26-09EAA2C28AED}" name="Montant" dataDxfId="21"/>
    <tableColumn id="7" xr3:uid="{4A17908A-8120-4441-B37E-C341D0374782}" name="MoyenneNC">
      <calculatedColumnFormula>IFERROR(TamponBudget1[[#This Row],[Montant]]/$S$2,"")</calculatedColumnFormula>
    </tableColumn>
    <tableColumn id="4" xr3:uid="{4EAE251B-CDDC-4CA4-833B-A25C0501A5FA}" name="StartE"/>
    <tableColumn id="5" xr3:uid="{839C67A8-1EC3-422A-A398-7A31A7488360}" name="EndE"/>
    <tableColumn id="8" xr3:uid="{F451F2F2-1AB5-4DD9-923C-C339F2C7F159}" name="NbMonth"/>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6C00C9E-32AF-4086-B53B-FAF307F2B6B1}" name="EMoisBudget1" displayName="EMoisBudget1" ref="U1:V14" totalsRowShown="0" headerRowDxfId="20">
  <autoFilter ref="U1:V14" xr:uid="{F6C00C9E-32AF-4086-B53B-FAF307F2B6B1}"/>
  <tableColumns count="2">
    <tableColumn id="1" xr3:uid="{E30559CD-4EE3-470A-A437-65CBC8992A63}" name="Mois"/>
    <tableColumn id="2" xr3:uid="{B796EB16-4D02-48D9-94B8-0CEE21A60F03}" name="Année"/>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5D0C445-8BDC-4B04-979E-E114C0C42DDC}" name="tbTPCBudget1" displayName="tbTPCBudget1" ref="X1:AB11" totalsRowShown="0" headerRowDxfId="19">
  <autoFilter ref="X1:AB11" xr:uid="{85D0C445-8BDC-4B04-979E-E114C0C42DDC}"/>
  <tableColumns count="5">
    <tableColumn id="1" xr3:uid="{42EEB6C3-096D-4C89-B235-1246275650DB}" name="Cat"/>
    <tableColumn id="2" xr3:uid="{CFCBCDBA-7909-4904-A122-43DC7F2032BF}" name="Row"/>
    <tableColumn id="3" xr3:uid="{7DA9EA34-390F-46DC-849F-638E3D1781E5}" name="Montant" dataDxfId="18"/>
    <tableColumn id="4" xr3:uid="{07748512-4286-40F9-8EDD-8128B97B53D4}" name="MoyenneC">
      <calculatedColumnFormula>IFERROR(tbTPCBudget1[[#This Row],[Montant]]/$S$2,"")</calculatedColumnFormula>
    </tableColumn>
    <tableColumn id="8" xr3:uid="{967EBE5E-C88D-4AB6-AB9D-7352C531DBF1}" name="Diff"/>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B08E99FD-A1B9-4539-AFCB-F344162634A5}" name="DataBudget2" displayName="DataBudget2" ref="A1:I41" totalsRowShown="0" headerRowDxfId="17" tableBorderDxfId="16">
  <autoFilter ref="A1:I41" xr:uid="{B08E99FD-A1B9-4539-AFCB-F344162634A5}"/>
  <tableColumns count="9">
    <tableColumn id="1" xr3:uid="{ED9DCB4E-5B5A-4619-BFE8-FD53BB557B0D}" name="Année"/>
    <tableColumn id="2" xr3:uid="{452525BC-8A2E-4CD2-9900-F8B44C0C8E75}" name="Mois" dataDxfId="15"/>
    <tableColumn id="3" xr3:uid="{9CA9DD1F-4A24-41AE-974D-8A01180076C0}" name="Cat_1"/>
    <tableColumn id="4" xr3:uid="{556901EF-6BE1-406B-9E8B-32578F693B82}" name="Cat_2" dataDxfId="14"/>
    <tableColumn id="5" xr3:uid="{34CEDB92-4228-4752-B730-E9C86B1C920D}" name="Cat_3"/>
    <tableColumn id="6" xr3:uid="{20A8BD69-2BB1-43C6-9314-B5F0E4961DF1}" name="Log" dataDxfId="13"/>
    <tableColumn id="7" xr3:uid="{2FAAFF92-213A-4CF4-ADEC-5EC7DD75F8E6}" name="Montant"/>
    <tableColumn id="8" xr3:uid="{E37DFC8D-D0EA-4DA4-AD40-1ED0E08C4990}" name="Montant_Extrap" dataDxfId="12"/>
    <tableColumn id="9" xr3:uid="{641BBD11-ACE6-4F0F-BF9D-3DEE0DFC2BF1}" name="Last_Montant" dataDxfId="1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97D4CB4-EC42-49EA-A386-711BC5921B74}" name="ExtrapBudget2" displayName="ExtrapBudget2" ref="A1:J113" totalsRowShown="0" headerRowDxfId="10" tableBorderDxfId="9">
  <autoFilter ref="A1:J113" xr:uid="{E97D4CB4-EC42-49EA-A386-711BC5921B74}"/>
  <sortState xmlns:xlrd2="http://schemas.microsoft.com/office/spreadsheetml/2017/richdata2" ref="A2:G517">
    <sortCondition ref="B1:B517"/>
  </sortState>
  <tableColumns count="10">
    <tableColumn id="2" xr3:uid="{1CD5D0F9-C029-4BBE-863D-CF6A4E49A217}" name="Année"/>
    <tableColumn id="3" xr3:uid="{317BDABA-EACE-4AEB-A28A-ACF8CCEC7333}" name="Mois" dataDxfId="8"/>
    <tableColumn id="4" xr3:uid="{58A6CF06-3469-4E2D-AAE4-48A323F50050}" name="Cat_1"/>
    <tableColumn id="5" xr3:uid="{0D41BF0F-B4BC-4580-8EAF-71B57482801D}" name="Cat_2"/>
    <tableColumn id="6" xr3:uid="{323211B4-CF70-47AF-8334-52A04E1F2F9B}" name="Cat_3"/>
    <tableColumn id="1" xr3:uid="{E6BEA9E0-DE0F-4C4F-B0CF-A1B465E2507C}" name="Log"/>
    <tableColumn id="7" xr3:uid="{9DF3D84B-D3B9-417F-9F34-F3B34D084E87}" name="Montant" dataDxfId="7"/>
    <tableColumn id="8" xr3:uid="{7A61685B-DAF5-417C-A078-7262C905BA51}" name="Ratio" dataDxfId="6">
      <calculatedColumnFormula>IFERROR(ExtrapBudget2[[#This Row],[Montant]]/VLOOKUP(ExtrapBudget2[[#This Row],[Cat_3]],TamponBudget2[],4,FALSE),"")</calculatedColumnFormula>
    </tableColumn>
    <tableColumn id="10" xr3:uid="{DF44D487-F84E-4EB1-A5A1-3D8B75B5C6C1}" name="Montant_Extrap" dataDxfId="5"/>
    <tableColumn id="11" xr3:uid="{23BA8683-FC4D-46B1-A441-C4A6465C5408}" name="Check"/>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449CCDE-C950-4327-A307-858F588AD82B}" name="TamponBudget2" displayName="TamponBudget2" ref="M1:S11" totalsRowShown="0" headerRowDxfId="4">
  <autoFilter ref="M1:S11" xr:uid="{3449CCDE-C950-4327-A307-858F588AD82B}"/>
  <tableColumns count="7">
    <tableColumn id="1" xr3:uid="{B9625087-B8AB-4436-A815-014230110BD7}" name="Cat"/>
    <tableColumn id="2" xr3:uid="{DB08B736-86A2-4E6D-8A6B-8B325676D9F6}" name="Row"/>
    <tableColumn id="3" xr3:uid="{0886FFB6-7C05-419B-8966-14D60C5C75A4}" name="Montant" dataDxfId="3"/>
    <tableColumn id="7" xr3:uid="{8856D0A5-0456-4282-A964-066CA947DFC5}" name="MoyenneNC">
      <calculatedColumnFormula>IFERROR(TamponBudget2[[#This Row],[Montant]]/$S$2,"")</calculatedColumnFormula>
    </tableColumn>
    <tableColumn id="4" xr3:uid="{4C296581-0209-46A0-8E59-46F89164958C}" name="StartE"/>
    <tableColumn id="5" xr3:uid="{06566396-1381-407B-99A3-1D038A2D314B}" name="EndE"/>
    <tableColumn id="8" xr3:uid="{EC72AB5D-4207-4712-B68D-13A3BC82CC54}" name="NbMonth"/>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C7E2C56-C63C-476E-ACCD-C0C7DA555386}" name="EMoisBudget2" displayName="EMoisBudget2" ref="U1:V14" totalsRowShown="0" headerRowDxfId="2">
  <autoFilter ref="U1:V14" xr:uid="{BC7E2C56-C63C-476E-ACCD-C0C7DA555386}"/>
  <tableColumns count="2">
    <tableColumn id="1" xr3:uid="{22D948FB-7160-444C-BDBD-D41BA18221A1}" name="Mois"/>
    <tableColumn id="2" xr3:uid="{A8DFF23F-16E6-4E65-8CE9-792C520F17C5}" name="Année"/>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AE2A548-2D8A-4E70-B5CF-A711DDAED8CE}" name="tbTPCBudget2" displayName="tbTPCBudget2" ref="X1:AB11" totalsRowShown="0" headerRowDxfId="1">
  <autoFilter ref="X1:AB11" xr:uid="{9AE2A548-2D8A-4E70-B5CF-A711DDAED8CE}"/>
  <tableColumns count="5">
    <tableColumn id="1" xr3:uid="{06AA6F77-F750-4B74-A076-67F444224F0C}" name="Cat"/>
    <tableColumn id="2" xr3:uid="{CDC83D61-6743-40C2-A436-64EC374B795B}" name="Row"/>
    <tableColumn id="3" xr3:uid="{83D17B18-9E6F-41D5-8B29-34133E010BA0}" name="Montant" dataDxfId="0"/>
    <tableColumn id="4" xr3:uid="{A7AFE356-CA7D-4FF6-8922-FEEBE456D8E9}" name="MoyenneC">
      <calculatedColumnFormula>IFERROR(tbTPCBudget2[[#This Row],[Montant]]/$S$2,"")</calculatedColumnFormula>
    </tableColumn>
    <tableColumn id="8" xr3:uid="{5DDCA123-DCA6-45D4-A2C0-363CEE5B6CE4}" name="Diff"/>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3-02-21T01:45:01.54" personId="{C042D04B-CE2F-429F-95C0-7E6B865BF305}" id="{62FE3AD8-A6D6-41D6-9AB2-73561C960565}">
    <text>Insérer son salaire annuel brut</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statistique.quebec.ca/fr/document/indice-prix-consommation-ipc/tableau/indice-des-prix-a-la-consommation-ipc-indice-ensemble-canada-quebec-rmr-montreal-quebec-donnees-mensuelles-non-desaisonnalisees"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table" Target="../tables/table8.xml"/><Relationship Id="rId26" Type="http://schemas.openxmlformats.org/officeDocument/2006/relationships/table" Target="../tables/table16.xml"/><Relationship Id="rId39" Type="http://schemas.openxmlformats.org/officeDocument/2006/relationships/table" Target="../tables/table29.xml"/><Relationship Id="rId21" Type="http://schemas.openxmlformats.org/officeDocument/2006/relationships/table" Target="../tables/table11.xml"/><Relationship Id="rId34" Type="http://schemas.openxmlformats.org/officeDocument/2006/relationships/table" Target="../tables/table24.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table" Target="../tables/table7.xml"/><Relationship Id="rId25" Type="http://schemas.openxmlformats.org/officeDocument/2006/relationships/table" Target="../tables/table15.xml"/><Relationship Id="rId33" Type="http://schemas.openxmlformats.org/officeDocument/2006/relationships/table" Target="../tables/table23.xml"/><Relationship Id="rId38" Type="http://schemas.openxmlformats.org/officeDocument/2006/relationships/table" Target="../tables/table28.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table" Target="../tables/table10.xml"/><Relationship Id="rId29"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table" Target="../tables/table14.xml"/><Relationship Id="rId32" Type="http://schemas.openxmlformats.org/officeDocument/2006/relationships/table" Target="../tables/table22.xml"/><Relationship Id="rId37" Type="http://schemas.openxmlformats.org/officeDocument/2006/relationships/table" Target="../tables/table27.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table" Target="../tables/table13.xml"/><Relationship Id="rId28" Type="http://schemas.openxmlformats.org/officeDocument/2006/relationships/table" Target="../tables/table18.xml"/><Relationship Id="rId36" Type="http://schemas.openxmlformats.org/officeDocument/2006/relationships/table" Target="../tables/table26.xml"/><Relationship Id="rId10" Type="http://schemas.openxmlformats.org/officeDocument/2006/relationships/ctrlProp" Target="../ctrlProps/ctrlProp5.xml"/><Relationship Id="rId19" Type="http://schemas.openxmlformats.org/officeDocument/2006/relationships/table" Target="../tables/table9.xml"/><Relationship Id="rId31" Type="http://schemas.openxmlformats.org/officeDocument/2006/relationships/table" Target="../tables/table21.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table" Target="../tables/table12.xml"/><Relationship Id="rId27" Type="http://schemas.openxmlformats.org/officeDocument/2006/relationships/table" Target="../tables/table17.xml"/><Relationship Id="rId30" Type="http://schemas.openxmlformats.org/officeDocument/2006/relationships/table" Target="../tables/table20.xml"/><Relationship Id="rId35" Type="http://schemas.openxmlformats.org/officeDocument/2006/relationships/table" Target="../tables/table25.xml"/><Relationship Id="rId8" Type="http://schemas.openxmlformats.org/officeDocument/2006/relationships/ctrlProp" Target="../ctrlProps/ctrlProp3.xml"/><Relationship Id="rId3"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9.xml"/><Relationship Id="rId26" Type="http://schemas.openxmlformats.org/officeDocument/2006/relationships/control" Target="../activeX/activeX13.xml"/><Relationship Id="rId39" Type="http://schemas.microsoft.com/office/2007/relationships/slicer" Target="../slicers/slicer1.xml"/><Relationship Id="rId21" Type="http://schemas.openxmlformats.org/officeDocument/2006/relationships/image" Target="../media/image10.emf"/><Relationship Id="rId34" Type="http://schemas.openxmlformats.org/officeDocument/2006/relationships/ctrlProp" Target="../ctrlProps/ctrlProp12.xml"/><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control" Target="../activeX/activeX17.xml"/><Relationship Id="rId38" Type="http://schemas.openxmlformats.org/officeDocument/2006/relationships/ctrlProp" Target="../ctrlProps/ctrlProp16.xml"/><Relationship Id="rId2" Type="http://schemas.openxmlformats.org/officeDocument/2006/relationships/drawing" Target="../drawings/drawing4.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4.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5.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ctrlProp" Target="../ctrlProps/ctrlProp15.xml"/><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4.xml"/><Relationship Id="rId36" Type="http://schemas.openxmlformats.org/officeDocument/2006/relationships/ctrlProp" Target="../ctrlProps/ctrlProp14.xml"/><Relationship Id="rId10" Type="http://schemas.openxmlformats.org/officeDocument/2006/relationships/control" Target="../activeX/activeX5.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3.emf"/><Relationship Id="rId30" Type="http://schemas.openxmlformats.org/officeDocument/2006/relationships/control" Target="../activeX/activeX15.xml"/><Relationship Id="rId35" Type="http://schemas.openxmlformats.org/officeDocument/2006/relationships/ctrlProp" Target="../ctrlProps/ctrlProp13.xml"/><Relationship Id="rId8" Type="http://schemas.openxmlformats.org/officeDocument/2006/relationships/control" Target="../activeX/activeX4.xml"/><Relationship Id="rId3"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table" Target="../tables/table34.xml"/><Relationship Id="rId4" Type="http://schemas.openxmlformats.org/officeDocument/2006/relationships/table" Target="../tables/table37.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23.xml"/><Relationship Id="rId3" Type="http://schemas.openxmlformats.org/officeDocument/2006/relationships/pivotTable" Target="../pivotTables/pivotTable18.xml"/><Relationship Id="rId7" Type="http://schemas.openxmlformats.org/officeDocument/2006/relationships/pivotTable" Target="../pivotTables/pivotTable22.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pivotTable" Target="../pivotTables/pivotTable21.xml"/><Relationship Id="rId5" Type="http://schemas.openxmlformats.org/officeDocument/2006/relationships/pivotTable" Target="../pivotTables/pivotTable20.xml"/><Relationship Id="rId4" Type="http://schemas.openxmlformats.org/officeDocument/2006/relationships/pivotTable" Target="../pivotTables/pivotTable19.xml"/><Relationship Id="rId9"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table" Target="../tables/table39.xml"/><Relationship Id="rId4" Type="http://schemas.openxmlformats.org/officeDocument/2006/relationships/table" Target="../tables/table42.xml"/></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31.xml"/><Relationship Id="rId3" Type="http://schemas.openxmlformats.org/officeDocument/2006/relationships/pivotTable" Target="../pivotTables/pivotTable26.xml"/><Relationship Id="rId7" Type="http://schemas.openxmlformats.org/officeDocument/2006/relationships/pivotTable" Target="../pivotTables/pivotTable30.xml"/><Relationship Id="rId2" Type="http://schemas.openxmlformats.org/officeDocument/2006/relationships/pivotTable" Target="../pivotTables/pivotTable25.xml"/><Relationship Id="rId1" Type="http://schemas.openxmlformats.org/officeDocument/2006/relationships/pivotTable" Target="../pivotTables/pivotTable24.xml"/><Relationship Id="rId6" Type="http://schemas.openxmlformats.org/officeDocument/2006/relationships/pivotTable" Target="../pivotTables/pivotTable29.xml"/><Relationship Id="rId5" Type="http://schemas.openxmlformats.org/officeDocument/2006/relationships/pivotTable" Target="../pivotTables/pivotTable28.xml"/><Relationship Id="rId4" Type="http://schemas.openxmlformats.org/officeDocument/2006/relationships/pivotTable" Target="../pivotTables/pivotTable27.xml"/><Relationship Id="rId9" Type="http://schemas.openxmlformats.org/officeDocument/2006/relationships/drawing" Target="../drawings/drawing8.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6.emf"/><Relationship Id="rId13" Type="http://schemas.openxmlformats.org/officeDocument/2006/relationships/ctrlProp" Target="../ctrlProps/ctrlProp19.xml"/><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9.xml"/><Relationship Id="rId6" Type="http://schemas.openxmlformats.org/officeDocument/2006/relationships/image" Target="../media/image75.emf"/><Relationship Id="rId11" Type="http://schemas.openxmlformats.org/officeDocument/2006/relationships/ctrlProp" Target="../ctrlProps/ctrlProp17.xml"/><Relationship Id="rId5" Type="http://schemas.openxmlformats.org/officeDocument/2006/relationships/control" Target="../activeX/activeX19.xml"/><Relationship Id="rId15" Type="http://schemas.openxmlformats.org/officeDocument/2006/relationships/ctrlProp" Target="../ctrlProps/ctrlProp21.xml"/><Relationship Id="rId10" Type="http://schemas.openxmlformats.org/officeDocument/2006/relationships/image" Target="../media/image77.emf"/><Relationship Id="rId4" Type="http://schemas.openxmlformats.org/officeDocument/2006/relationships/image" Target="../media/image74.emf"/><Relationship Id="rId9" Type="http://schemas.openxmlformats.org/officeDocument/2006/relationships/control" Target="../activeX/activeX21.xml"/><Relationship Id="rId1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1EA1E-D90D-42A2-B10E-603B195A3AB7}">
  <sheetPr codeName="Sheet1">
    <tabColor theme="8" tint="-0.249977111117893"/>
  </sheetPr>
  <dimension ref="A1:CJ903"/>
  <sheetViews>
    <sheetView showGridLines="0" showRowColHeaders="0" workbookViewId="0">
      <selection activeCell="M17" sqref="M17"/>
    </sheetView>
  </sheetViews>
  <sheetFormatPr defaultRowHeight="11.5" x14ac:dyDescent="0.25"/>
  <cols>
    <col min="1" max="1" width="13.8984375" customWidth="1"/>
    <col min="2" max="2" width="22.3984375" customWidth="1"/>
    <col min="3" max="3" width="15.3984375" customWidth="1"/>
    <col min="4" max="4" width="14.296875" customWidth="1"/>
    <col min="5" max="5" width="14.3984375" customWidth="1"/>
    <col min="6" max="6" width="14.8984375" customWidth="1"/>
    <col min="7" max="7" width="12.09765625" customWidth="1"/>
    <col min="8" max="8" width="24.3984375" customWidth="1"/>
    <col min="10" max="10" width="27.09765625" customWidth="1"/>
    <col min="11" max="11" width="8.69921875" customWidth="1"/>
    <col min="12" max="12" width="10.3984375" style="5" bestFit="1" customWidth="1"/>
    <col min="13" max="13" width="12.296875" customWidth="1"/>
    <col min="36" max="36" width="13" bestFit="1" customWidth="1"/>
    <col min="38" max="38" width="12.3984375" customWidth="1"/>
    <col min="39" max="39" width="19.3984375" customWidth="1"/>
    <col min="40" max="40" width="12.3984375" customWidth="1"/>
    <col min="41" max="41" width="22.69921875" customWidth="1"/>
    <col min="42" max="42" width="19.5" customWidth="1"/>
    <col min="43" max="43" width="18.19921875" customWidth="1"/>
    <col min="44" max="44" width="17.59765625" customWidth="1"/>
    <col min="45" max="45" width="9.796875" customWidth="1"/>
    <col min="47" max="47" width="10.09765625" bestFit="1" customWidth="1"/>
    <col min="48" max="48" width="9.09765625" customWidth="1"/>
    <col min="49" max="49" width="7.09765625" customWidth="1"/>
    <col min="50" max="50" width="6.59765625" customWidth="1"/>
    <col min="51" max="51" width="10.5" customWidth="1"/>
    <col min="52" max="54" width="13.8984375" customWidth="1"/>
    <col min="58" max="58" width="10.8984375" bestFit="1" customWidth="1"/>
    <col min="60" max="60" width="10.8984375" bestFit="1" customWidth="1"/>
  </cols>
  <sheetData>
    <row r="1" spans="1:88" ht="12" thickBot="1" x14ac:dyDescent="0.3">
      <c r="B1" s="15" t="s">
        <v>6</v>
      </c>
      <c r="J1" s="136"/>
      <c r="K1" s="136"/>
      <c r="L1" s="136"/>
      <c r="AK1" s="5"/>
      <c r="AL1" s="5"/>
      <c r="AM1" s="5"/>
      <c r="AN1" s="5"/>
      <c r="AO1" s="5"/>
      <c r="AP1" s="5"/>
      <c r="AQ1" s="5"/>
      <c r="AR1" s="5"/>
      <c r="AS1" s="5"/>
      <c r="AT1" s="5"/>
      <c r="AU1" s="5"/>
      <c r="AV1" s="5"/>
      <c r="AW1" s="5"/>
      <c r="AX1" s="5"/>
      <c r="AY1" s="5"/>
      <c r="AZ1" s="5"/>
      <c r="BA1" s="5"/>
      <c r="BB1" s="5"/>
      <c r="BC1" s="5"/>
      <c r="BF1" s="5"/>
      <c r="BG1" s="5"/>
      <c r="BH1" s="5"/>
      <c r="BL1" s="5"/>
      <c r="BM1" s="5"/>
      <c r="BN1" s="5"/>
      <c r="BO1" s="5"/>
      <c r="BP1" s="5"/>
      <c r="BQ1" s="5"/>
      <c r="BR1" s="5"/>
      <c r="BS1" s="5"/>
      <c r="BT1" s="5"/>
      <c r="BU1" s="5"/>
      <c r="BV1" s="5"/>
      <c r="BW1" s="5"/>
      <c r="CC1" s="5"/>
      <c r="CF1" s="5"/>
      <c r="CJ1" s="5"/>
    </row>
    <row r="2" spans="1:88" ht="10" customHeight="1" thickTop="1" thickBot="1" x14ac:dyDescent="0.3">
      <c r="B2" s="317">
        <v>51</v>
      </c>
      <c r="J2" s="5"/>
      <c r="K2" s="22"/>
      <c r="AK2" s="83"/>
      <c r="AL2" s="186"/>
      <c r="AM2" s="29"/>
      <c r="AN2" s="29"/>
      <c r="AO2" s="29"/>
      <c r="AP2" s="29"/>
      <c r="AQ2" s="29"/>
      <c r="AR2" s="29"/>
      <c r="AS2" s="5"/>
      <c r="AT2" s="5"/>
      <c r="AU2" s="5"/>
      <c r="AV2" s="5"/>
      <c r="AW2" s="5"/>
      <c r="AX2" s="5"/>
      <c r="AY2" s="214"/>
      <c r="AZ2" s="83"/>
      <c r="BA2" s="215"/>
      <c r="BB2" s="168"/>
      <c r="BC2" s="5"/>
      <c r="BL2" s="5"/>
      <c r="BM2" s="5"/>
      <c r="BN2" s="5"/>
      <c r="BO2" s="5"/>
      <c r="BP2" s="5"/>
      <c r="BQ2" s="5"/>
      <c r="BR2" s="5"/>
      <c r="BS2" s="5"/>
      <c r="BT2" s="5"/>
      <c r="BU2" s="5"/>
      <c r="BV2" s="5"/>
      <c r="BW2" s="5"/>
    </row>
    <row r="3" spans="1:88" ht="12" thickTop="1" x14ac:dyDescent="0.25">
      <c r="C3" s="324"/>
      <c r="D3" s="324"/>
      <c r="E3" s="324"/>
      <c r="F3" s="324"/>
      <c r="G3" s="324"/>
      <c r="H3" s="324"/>
      <c r="J3" s="5"/>
      <c r="K3" s="318"/>
      <c r="L3" s="318"/>
      <c r="AK3" s="83"/>
      <c r="AL3" s="186"/>
      <c r="AM3" s="29"/>
      <c r="AN3" s="29"/>
      <c r="AO3" s="29"/>
      <c r="AP3" s="29"/>
      <c r="AQ3" s="29"/>
      <c r="AR3" s="29"/>
      <c r="AS3" s="5"/>
      <c r="AT3" s="5"/>
      <c r="AU3" s="5"/>
      <c r="AV3" s="5"/>
      <c r="AW3" s="5"/>
      <c r="AX3" s="5"/>
      <c r="AY3" s="214"/>
      <c r="AZ3" s="83"/>
      <c r="BA3" s="215"/>
      <c r="BB3" s="168"/>
      <c r="BC3" s="5"/>
      <c r="BL3" s="5"/>
      <c r="BM3" s="5"/>
      <c r="BN3" s="5"/>
      <c r="BO3" s="5"/>
      <c r="BP3" s="5"/>
      <c r="BQ3" s="5"/>
      <c r="BR3" s="5"/>
      <c r="BS3" s="5"/>
      <c r="BT3" s="5"/>
      <c r="BU3" s="5"/>
      <c r="BV3" s="5"/>
      <c r="BW3" s="5"/>
    </row>
    <row r="4" spans="1:88" x14ac:dyDescent="0.25">
      <c r="D4" s="319"/>
      <c r="E4" s="22"/>
      <c r="F4" s="22"/>
      <c r="G4" s="43"/>
      <c r="H4" s="258"/>
      <c r="J4" s="22"/>
      <c r="K4" s="22"/>
      <c r="L4" s="22"/>
      <c r="AK4" s="83"/>
      <c r="AL4" s="186"/>
      <c r="AM4" s="29"/>
      <c r="AN4" s="29"/>
      <c r="AO4" s="29"/>
      <c r="AP4" s="29"/>
      <c r="AQ4" s="29"/>
      <c r="AR4" s="29"/>
      <c r="AS4" s="5"/>
      <c r="AT4" s="5"/>
      <c r="AU4" s="5"/>
      <c r="AV4" s="5"/>
      <c r="AW4" s="5"/>
      <c r="AX4" s="5"/>
      <c r="AY4" s="214"/>
      <c r="AZ4" s="83"/>
      <c r="BA4" s="83"/>
      <c r="BB4" s="83"/>
      <c r="BC4" s="5"/>
      <c r="BF4" s="22"/>
      <c r="BG4" s="22"/>
      <c r="BH4" s="22"/>
      <c r="BL4" s="5"/>
      <c r="BM4" s="5"/>
      <c r="BN4" s="5"/>
      <c r="BO4" s="5"/>
      <c r="BP4" s="5"/>
      <c r="BQ4" s="5"/>
      <c r="BR4" s="5"/>
      <c r="BS4" s="5"/>
      <c r="BT4" s="5"/>
      <c r="BU4" s="5"/>
      <c r="BV4" s="5"/>
      <c r="BW4" s="5"/>
    </row>
    <row r="5" spans="1:88" x14ac:dyDescent="0.25">
      <c r="C5" s="3"/>
      <c r="D5" s="320"/>
      <c r="E5" s="320"/>
      <c r="F5" s="5"/>
      <c r="J5" s="5"/>
      <c r="K5" s="5"/>
      <c r="S5" s="7"/>
      <c r="AK5" s="83"/>
      <c r="AL5" s="186"/>
      <c r="AM5" s="29"/>
      <c r="AN5" s="29"/>
      <c r="AO5" s="29"/>
      <c r="AP5" s="29"/>
      <c r="AQ5" s="29"/>
      <c r="AR5" s="29"/>
      <c r="AS5" s="5"/>
      <c r="AT5" s="5"/>
      <c r="AU5" s="5"/>
      <c r="AV5" s="5"/>
      <c r="AW5" s="5"/>
      <c r="AX5" s="5"/>
      <c r="AY5" s="214"/>
      <c r="AZ5" s="83"/>
      <c r="BA5" s="83"/>
      <c r="BB5" s="83"/>
      <c r="BC5" s="5"/>
    </row>
    <row r="6" spans="1:88" x14ac:dyDescent="0.25">
      <c r="A6" s="2"/>
      <c r="C6" s="3"/>
      <c r="D6" s="320"/>
      <c r="E6" s="320"/>
      <c r="F6" s="5"/>
      <c r="G6" s="5"/>
      <c r="H6" s="5"/>
      <c r="J6" s="5"/>
      <c r="K6" s="5"/>
      <c r="AK6" s="83"/>
      <c r="AL6" s="186"/>
      <c r="AM6" s="29"/>
      <c r="AN6" s="29"/>
      <c r="AO6" s="29"/>
      <c r="AP6" s="29"/>
      <c r="AQ6" s="29"/>
      <c r="AR6" s="29"/>
      <c r="AS6" s="5"/>
      <c r="AT6" s="5"/>
      <c r="AU6" s="5"/>
      <c r="AV6" s="5"/>
      <c r="AW6" s="5"/>
      <c r="AX6" s="5"/>
      <c r="AY6" s="214"/>
      <c r="AZ6" s="83"/>
      <c r="BA6" s="83"/>
      <c r="BB6" s="83"/>
      <c r="BC6" s="5"/>
    </row>
    <row r="7" spans="1:88" x14ac:dyDescent="0.25">
      <c r="A7" s="2"/>
      <c r="C7" s="3"/>
      <c r="D7" s="320"/>
      <c r="E7" s="320"/>
      <c r="I7" s="2"/>
      <c r="J7" s="5"/>
      <c r="L7" s="136"/>
      <c r="AK7" s="83"/>
      <c r="AL7" s="186"/>
      <c r="AM7" s="29"/>
      <c r="AN7" s="29"/>
      <c r="AO7" s="29"/>
      <c r="AP7" s="29"/>
      <c r="AQ7" s="29"/>
      <c r="AR7" s="29"/>
      <c r="AS7" s="5"/>
      <c r="AT7" s="5"/>
      <c r="AU7" s="5"/>
      <c r="AV7" s="5"/>
      <c r="AW7" s="5"/>
      <c r="AX7" s="5"/>
      <c r="AY7" s="214"/>
      <c r="AZ7" s="83"/>
      <c r="BA7" s="83"/>
      <c r="BB7" s="83"/>
      <c r="BC7" s="5"/>
    </row>
    <row r="8" spans="1:88" x14ac:dyDescent="0.25">
      <c r="A8" s="2"/>
      <c r="B8" s="3"/>
      <c r="C8" s="3"/>
      <c r="D8" s="320"/>
      <c r="E8" s="320"/>
      <c r="J8" s="5"/>
      <c r="L8" s="136"/>
      <c r="AK8" s="83"/>
      <c r="AL8" s="186"/>
      <c r="AM8" s="29"/>
      <c r="AN8" s="29"/>
      <c r="AO8" s="29"/>
      <c r="AP8" s="29"/>
      <c r="AQ8" s="29"/>
      <c r="AR8" s="29"/>
      <c r="AS8" s="5"/>
      <c r="AT8" s="5"/>
      <c r="AU8" s="5"/>
      <c r="AV8" s="5"/>
      <c r="AW8" s="5"/>
      <c r="AX8" s="5"/>
      <c r="AY8" s="214"/>
      <c r="AZ8" s="83"/>
      <c r="BA8" s="83"/>
      <c r="BB8" s="83"/>
      <c r="BC8" s="5"/>
    </row>
    <row r="9" spans="1:88" x14ac:dyDescent="0.25">
      <c r="A9" s="2"/>
      <c r="B9" s="3"/>
      <c r="C9" s="320"/>
      <c r="D9" s="2"/>
      <c r="J9" s="5"/>
      <c r="AK9" s="83"/>
      <c r="AL9" s="186"/>
      <c r="AM9" s="29"/>
      <c r="AN9" s="29"/>
      <c r="AO9" s="29"/>
      <c r="AP9" s="29"/>
      <c r="AQ9" s="29"/>
      <c r="AR9" s="29"/>
      <c r="AS9" s="5"/>
      <c r="AT9" s="5"/>
      <c r="AU9" s="5"/>
      <c r="AV9" s="5"/>
      <c r="AW9" s="5"/>
      <c r="AX9" s="5"/>
      <c r="AY9" s="214"/>
      <c r="AZ9" s="83"/>
      <c r="BA9" s="83"/>
      <c r="BB9" s="83"/>
      <c r="BC9" s="5"/>
    </row>
    <row r="10" spans="1:88" x14ac:dyDescent="0.25">
      <c r="A10" s="2"/>
      <c r="B10" s="3"/>
      <c r="C10" s="320"/>
      <c r="D10" s="2"/>
      <c r="G10" s="7"/>
      <c r="J10" s="5"/>
      <c r="AK10" s="83"/>
      <c r="AL10" s="186"/>
      <c r="AM10" s="29"/>
      <c r="AN10" s="29"/>
      <c r="AO10" s="29"/>
      <c r="AP10" s="29"/>
      <c r="AQ10" s="29"/>
      <c r="AR10" s="29"/>
      <c r="AS10" s="5"/>
      <c r="AT10" s="5"/>
      <c r="AU10" s="5"/>
      <c r="AV10" s="5"/>
      <c r="AW10" s="5"/>
      <c r="AX10" s="5"/>
      <c r="AY10" s="214"/>
      <c r="AZ10" s="83"/>
      <c r="BA10" s="83"/>
      <c r="BB10" s="83"/>
      <c r="BC10" s="5"/>
    </row>
    <row r="11" spans="1:88" x14ac:dyDescent="0.25">
      <c r="A11" s="2"/>
      <c r="B11" s="3"/>
      <c r="C11" s="320"/>
      <c r="D11" s="2"/>
      <c r="G11" s="7"/>
      <c r="J11" s="5"/>
      <c r="AK11" s="83"/>
      <c r="AL11" s="186"/>
      <c r="AM11" s="29"/>
      <c r="AN11" s="29"/>
      <c r="AO11" s="29"/>
      <c r="AP11" s="29"/>
      <c r="AQ11" s="29"/>
      <c r="AR11" s="29"/>
      <c r="AS11" s="5"/>
      <c r="AT11" s="5"/>
      <c r="AU11" s="5"/>
      <c r="AV11" s="5"/>
      <c r="AW11" s="5"/>
      <c r="AX11" s="5"/>
      <c r="AY11" s="214"/>
      <c r="AZ11" s="83"/>
      <c r="BA11" s="83"/>
      <c r="BB11" s="83"/>
      <c r="BC11" s="5"/>
    </row>
    <row r="12" spans="1:88" x14ac:dyDescent="0.25">
      <c r="A12" s="2"/>
      <c r="B12" s="3"/>
      <c r="C12" s="320"/>
      <c r="D12" s="2"/>
      <c r="G12" s="7"/>
      <c r="J12" s="5"/>
      <c r="AK12" s="83"/>
      <c r="AL12" s="186"/>
      <c r="AM12" s="29"/>
      <c r="AN12" s="29"/>
      <c r="AO12" s="29"/>
      <c r="AP12" s="29"/>
      <c r="AQ12" s="29"/>
      <c r="AR12" s="29"/>
      <c r="AS12" s="5"/>
      <c r="AT12" s="5"/>
      <c r="AU12" s="5"/>
      <c r="AV12" s="5"/>
      <c r="AW12" s="5"/>
      <c r="AX12" s="5"/>
      <c r="AY12" s="214"/>
      <c r="AZ12" s="83"/>
      <c r="BA12" s="83"/>
      <c r="BB12" s="83"/>
      <c r="BC12" s="5"/>
    </row>
    <row r="13" spans="1:88" x14ac:dyDescent="0.25">
      <c r="A13" s="123"/>
      <c r="B13" s="123"/>
      <c r="C13" s="123"/>
      <c r="D13" s="259"/>
      <c r="E13" s="123"/>
      <c r="F13" s="123"/>
      <c r="G13" s="123"/>
      <c r="H13" s="123"/>
      <c r="I13" s="123"/>
      <c r="J13" s="123"/>
      <c r="AK13" s="83"/>
      <c r="AL13" s="186"/>
      <c r="AM13" s="29"/>
      <c r="AN13" s="29"/>
      <c r="AO13" s="29"/>
      <c r="AP13" s="29"/>
      <c r="AQ13" s="29"/>
      <c r="AR13" s="29"/>
      <c r="AS13" s="5"/>
      <c r="AT13" s="5"/>
      <c r="AU13" s="5"/>
      <c r="AV13" s="5"/>
      <c r="AW13" s="5"/>
      <c r="AX13" s="5"/>
      <c r="AY13" s="214"/>
      <c r="AZ13" s="83"/>
      <c r="BA13" s="83"/>
      <c r="BB13" s="83"/>
      <c r="BC13" s="5"/>
    </row>
    <row r="14" spans="1:88" x14ac:dyDescent="0.25">
      <c r="A14" s="323"/>
      <c r="B14" s="4"/>
      <c r="C14" s="4"/>
      <c r="D14" s="4"/>
      <c r="E14" s="5"/>
      <c r="F14" s="5"/>
      <c r="G14" s="5"/>
      <c r="H14" s="5"/>
      <c r="I14" s="5"/>
      <c r="J14" s="5"/>
      <c r="AK14" s="83"/>
      <c r="AL14" s="186"/>
      <c r="AM14" s="29"/>
      <c r="AN14" s="29"/>
      <c r="AO14" s="29"/>
      <c r="AP14" s="29"/>
      <c r="AQ14" s="29"/>
      <c r="AR14" s="29"/>
      <c r="AS14" s="5"/>
      <c r="AT14" s="5"/>
      <c r="AU14" s="5"/>
      <c r="AV14" s="5"/>
      <c r="AW14" s="5"/>
      <c r="AX14" s="5"/>
      <c r="AY14" s="214"/>
      <c r="AZ14" s="83"/>
      <c r="BA14" s="83"/>
      <c r="BB14" s="83"/>
      <c r="BC14" s="5"/>
    </row>
    <row r="15" spans="1:88" x14ac:dyDescent="0.25">
      <c r="A15" s="323"/>
      <c r="B15" s="4"/>
      <c r="C15" s="4"/>
      <c r="D15" s="4"/>
      <c r="E15" s="5"/>
      <c r="F15" s="5"/>
      <c r="G15" s="5"/>
      <c r="H15" s="5"/>
      <c r="I15" s="5"/>
      <c r="J15" s="5"/>
      <c r="AK15" s="83"/>
      <c r="AL15" s="186"/>
      <c r="AM15" s="29"/>
      <c r="AN15" s="29"/>
      <c r="AO15" s="29"/>
      <c r="AP15" s="29"/>
      <c r="AQ15" s="29"/>
      <c r="AR15" s="29"/>
      <c r="AS15" s="5"/>
      <c r="AT15" s="5"/>
      <c r="AU15" s="5"/>
      <c r="AV15" s="5"/>
      <c r="AW15" s="5"/>
      <c r="AX15" s="5"/>
      <c r="AY15" s="214"/>
      <c r="AZ15" s="83"/>
      <c r="BA15" s="83"/>
      <c r="BB15" s="83"/>
      <c r="BC15" s="5"/>
    </row>
    <row r="16" spans="1:88" x14ac:dyDescent="0.25">
      <c r="A16" s="323"/>
      <c r="B16" s="4"/>
      <c r="C16" s="4"/>
      <c r="D16" s="4"/>
      <c r="E16" s="5"/>
      <c r="F16" s="5"/>
      <c r="G16" s="5"/>
      <c r="H16" s="5"/>
      <c r="I16" s="5"/>
      <c r="J16" s="5"/>
      <c r="AK16" s="83"/>
      <c r="AL16" s="186"/>
      <c r="AM16" s="29"/>
      <c r="AN16" s="29"/>
      <c r="AO16" s="29"/>
      <c r="AP16" s="29"/>
      <c r="AQ16" s="29"/>
      <c r="AR16" s="29"/>
      <c r="AS16" s="5"/>
      <c r="AT16" s="5"/>
      <c r="AU16" s="5"/>
      <c r="AV16" s="5"/>
      <c r="AW16" s="5"/>
      <c r="AX16" s="5"/>
      <c r="AY16" s="214"/>
      <c r="AZ16" s="83"/>
      <c r="BA16" s="83"/>
      <c r="BB16" s="83"/>
      <c r="BC16" s="5"/>
    </row>
    <row r="17" spans="1:55" x14ac:dyDescent="0.25">
      <c r="A17" s="323"/>
      <c r="B17" s="4"/>
      <c r="C17" s="4"/>
      <c r="D17" s="4"/>
      <c r="E17" s="5"/>
      <c r="F17" s="5"/>
      <c r="G17" s="5"/>
      <c r="H17" s="5"/>
      <c r="I17" s="5"/>
      <c r="J17" s="5"/>
      <c r="AK17" s="83"/>
      <c r="AL17" s="186"/>
      <c r="AM17" s="29"/>
      <c r="AN17" s="29"/>
      <c r="AO17" s="29"/>
      <c r="AP17" s="29"/>
      <c r="AQ17" s="29"/>
      <c r="AR17" s="29"/>
      <c r="AS17" s="5"/>
      <c r="AT17" s="5"/>
      <c r="AU17" s="5"/>
      <c r="AV17" s="5"/>
      <c r="AW17" s="5"/>
      <c r="AX17" s="5"/>
      <c r="AY17" s="214"/>
      <c r="AZ17" s="83"/>
      <c r="BA17" s="83"/>
      <c r="BB17" s="83"/>
      <c r="BC17" s="5"/>
    </row>
    <row r="18" spans="1:55" x14ac:dyDescent="0.25">
      <c r="A18" s="1"/>
      <c r="B18" s="1"/>
      <c r="C18" s="1"/>
      <c r="D18" s="4"/>
      <c r="E18" s="5"/>
      <c r="F18" s="5"/>
      <c r="G18" s="5"/>
      <c r="H18" s="5"/>
      <c r="I18" s="5"/>
      <c r="J18" s="5"/>
      <c r="AK18" s="83"/>
      <c r="AL18" s="186"/>
      <c r="AM18" s="29"/>
      <c r="AN18" s="29"/>
      <c r="AO18" s="29"/>
      <c r="AP18" s="29"/>
      <c r="AQ18" s="29"/>
      <c r="AR18" s="29"/>
      <c r="AS18" s="5"/>
      <c r="AT18" s="5"/>
      <c r="AU18" s="5"/>
      <c r="AV18" s="5"/>
      <c r="AW18" s="5"/>
      <c r="AX18" s="5"/>
      <c r="AY18" s="214"/>
      <c r="AZ18" s="83"/>
      <c r="BA18" s="83"/>
      <c r="BB18" s="83"/>
      <c r="BC18" s="5"/>
    </row>
    <row r="19" spans="1:55" x14ac:dyDescent="0.25">
      <c r="A19" s="1"/>
      <c r="B19" s="1"/>
      <c r="C19" s="1"/>
      <c r="D19" s="1"/>
      <c r="E19" s="320"/>
      <c r="AK19" s="83"/>
      <c r="AL19" s="186"/>
      <c r="AM19" s="29"/>
      <c r="AN19" s="29"/>
      <c r="AO19" s="29"/>
      <c r="AP19" s="29"/>
      <c r="AQ19" s="29"/>
      <c r="AR19" s="29"/>
      <c r="AS19" s="5"/>
      <c r="AT19" s="5"/>
      <c r="AU19" s="5"/>
      <c r="AV19" s="5"/>
      <c r="AW19" s="5"/>
      <c r="AX19" s="5"/>
      <c r="AY19" s="214"/>
      <c r="AZ19" s="83"/>
      <c r="BA19" s="83"/>
      <c r="BB19" s="83"/>
      <c r="BC19" s="5"/>
    </row>
    <row r="20" spans="1:55" x14ac:dyDescent="0.25">
      <c r="A20" s="4"/>
      <c r="B20" s="1"/>
      <c r="C20" s="4"/>
      <c r="D20" s="4"/>
      <c r="AK20" s="83"/>
      <c r="AL20" s="186"/>
      <c r="AM20" s="29"/>
      <c r="AN20" s="29"/>
      <c r="AO20" s="29"/>
      <c r="AP20" s="29"/>
      <c r="AQ20" s="29"/>
      <c r="AR20" s="29"/>
      <c r="AS20" s="5"/>
      <c r="AT20" s="5"/>
      <c r="AU20" s="5"/>
      <c r="AV20" s="5"/>
      <c r="AW20" s="5"/>
      <c r="AX20" s="5"/>
      <c r="AY20" s="214"/>
      <c r="AZ20" s="83"/>
      <c r="BA20" s="83"/>
      <c r="BB20" s="83"/>
      <c r="BC20" s="5"/>
    </row>
    <row r="21" spans="1:55" x14ac:dyDescent="0.25">
      <c r="A21" s="4"/>
      <c r="B21" s="4"/>
      <c r="C21" s="4"/>
      <c r="D21" s="4"/>
      <c r="AK21" s="83"/>
      <c r="AL21" s="186"/>
      <c r="AM21" s="29"/>
      <c r="AN21" s="29"/>
      <c r="AO21" s="29"/>
      <c r="AP21" s="29"/>
      <c r="AQ21" s="29"/>
      <c r="AR21" s="29"/>
      <c r="AS21" s="5"/>
      <c r="AT21" s="5"/>
      <c r="AU21" s="5"/>
      <c r="AV21" s="5"/>
      <c r="AW21" s="5"/>
      <c r="AX21" s="5"/>
      <c r="AY21" s="214"/>
      <c r="AZ21" s="83"/>
      <c r="BA21" s="83"/>
      <c r="BB21" s="83"/>
      <c r="BC21" s="5"/>
    </row>
    <row r="22" spans="1:55" x14ac:dyDescent="0.25">
      <c r="A22" s="4"/>
      <c r="B22" s="4"/>
      <c r="C22" s="4"/>
      <c r="D22" s="4"/>
      <c r="AK22" s="83"/>
      <c r="AL22" s="186"/>
      <c r="AM22" s="29"/>
      <c r="AN22" s="29"/>
      <c r="AO22" s="29"/>
      <c r="AP22" s="29"/>
      <c r="AQ22" s="29"/>
      <c r="AR22" s="29"/>
      <c r="AS22" s="5"/>
      <c r="AT22" s="5"/>
      <c r="AU22" s="5"/>
      <c r="AV22" s="5"/>
      <c r="AW22" s="5"/>
      <c r="AX22" s="5"/>
      <c r="AY22" s="214"/>
      <c r="AZ22" s="83"/>
      <c r="BA22" s="83"/>
      <c r="BB22" s="83"/>
      <c r="BC22" s="5"/>
    </row>
    <row r="23" spans="1:55" x14ac:dyDescent="0.25">
      <c r="A23" s="4"/>
      <c r="B23" s="4"/>
      <c r="C23" s="4"/>
      <c r="D23" s="4"/>
      <c r="G23" s="6" t="s">
        <v>3</v>
      </c>
      <c r="AK23" s="83"/>
      <c r="AL23" s="186"/>
      <c r="AM23" s="29"/>
      <c r="AN23" s="29"/>
      <c r="AO23" s="29"/>
      <c r="AP23" s="29"/>
      <c r="AQ23" s="29"/>
      <c r="AR23" s="29"/>
      <c r="AS23" s="5"/>
      <c r="AT23" s="5"/>
      <c r="AU23" s="5"/>
      <c r="AV23" s="5"/>
      <c r="AW23" s="5"/>
      <c r="AX23" s="5"/>
      <c r="AY23" s="214"/>
      <c r="AZ23" s="83"/>
      <c r="BA23" s="83"/>
      <c r="BB23" s="83"/>
      <c r="BC23" s="5"/>
    </row>
    <row r="24" spans="1:55" x14ac:dyDescent="0.25">
      <c r="A24" s="4"/>
      <c r="B24" s="4"/>
      <c r="C24" s="4"/>
      <c r="D24" s="4"/>
      <c r="G24" s="19"/>
      <c r="AK24" s="83"/>
      <c r="AL24" s="186"/>
      <c r="AM24" s="29"/>
      <c r="AN24" s="29"/>
      <c r="AO24" s="29"/>
      <c r="AP24" s="29"/>
      <c r="AQ24" s="29"/>
      <c r="AR24" s="29"/>
      <c r="AS24" s="5"/>
      <c r="AT24" s="5"/>
      <c r="AU24" s="5"/>
      <c r="AV24" s="5"/>
      <c r="AW24" s="5"/>
      <c r="AX24" s="5"/>
      <c r="AY24" s="214"/>
      <c r="AZ24" s="83"/>
      <c r="BA24" s="83"/>
      <c r="BB24" s="83"/>
      <c r="BC24" s="5"/>
    </row>
    <row r="25" spans="1:55" ht="12" thickBot="1" x14ac:dyDescent="0.3">
      <c r="A25" s="82" t="s">
        <v>87</v>
      </c>
      <c r="B25" s="80" t="s">
        <v>7</v>
      </c>
      <c r="C25" s="4"/>
      <c r="D25" s="4"/>
      <c r="AK25" s="83"/>
      <c r="AL25" s="186"/>
      <c r="AM25" s="29"/>
      <c r="AN25" s="29"/>
      <c r="AO25" s="29"/>
      <c r="AP25" s="29"/>
      <c r="AQ25" s="29"/>
      <c r="AR25" s="29"/>
      <c r="AS25" s="5"/>
      <c r="AT25" s="5"/>
      <c r="AU25" s="5"/>
      <c r="AV25" s="5"/>
      <c r="AW25" s="5"/>
      <c r="AX25" s="5"/>
      <c r="AY25" s="214"/>
      <c r="AZ25" s="83"/>
      <c r="BA25" s="83"/>
      <c r="BB25" s="83"/>
      <c r="BC25" s="5"/>
    </row>
    <row r="26" spans="1:55" ht="12.5" thickTop="1" thickBot="1" x14ac:dyDescent="0.3">
      <c r="A26" s="78" t="s">
        <v>2</v>
      </c>
      <c r="B26" s="297"/>
      <c r="C26" s="1"/>
      <c r="D26" s="4"/>
      <c r="AK26" s="83"/>
      <c r="AL26" s="186"/>
      <c r="AM26" s="29"/>
      <c r="AN26" s="29"/>
      <c r="AO26" s="29"/>
      <c r="AP26" s="29"/>
      <c r="AQ26" s="29"/>
      <c r="AR26" s="29"/>
      <c r="AS26" s="5"/>
      <c r="AT26" s="5"/>
      <c r="AU26" s="5"/>
      <c r="AV26" s="5"/>
      <c r="AW26" s="5"/>
      <c r="AX26" s="5"/>
      <c r="AY26" s="214"/>
      <c r="AZ26" s="83"/>
      <c r="BA26" s="83"/>
      <c r="BB26" s="83"/>
      <c r="BC26" s="5"/>
    </row>
    <row r="27" spans="1:55" ht="12" thickTop="1" x14ac:dyDescent="0.25">
      <c r="A27" s="79" t="s">
        <v>1</v>
      </c>
      <c r="B27" s="298">
        <f>$B$26-$G42</f>
        <v>0</v>
      </c>
      <c r="C27" s="1" t="s">
        <v>101</v>
      </c>
      <c r="D27" s="4"/>
      <c r="AK27" s="83"/>
      <c r="AL27" s="186"/>
      <c r="AM27" s="29"/>
      <c r="AN27" s="29"/>
      <c r="AO27" s="29"/>
      <c r="AP27" s="29"/>
      <c r="AQ27" s="29"/>
      <c r="AR27" s="29"/>
      <c r="AS27" s="5"/>
      <c r="AT27" s="5"/>
      <c r="AU27" s="5"/>
      <c r="AV27" s="5"/>
      <c r="AW27" s="5"/>
      <c r="AX27" s="5"/>
      <c r="AY27" s="214"/>
      <c r="AZ27" s="83"/>
      <c r="BA27" s="83"/>
      <c r="BB27" s="83"/>
      <c r="BC27" s="5"/>
    </row>
    <row r="28" spans="1:55" x14ac:dyDescent="0.25">
      <c r="A28" s="79" t="s">
        <v>4</v>
      </c>
      <c r="B28" s="299">
        <f>($B$27/$B$2)*4</f>
        <v>0</v>
      </c>
      <c r="AK28" s="83"/>
      <c r="AL28" s="186"/>
      <c r="AM28" s="29"/>
      <c r="AN28" s="29"/>
      <c r="AO28" s="29"/>
      <c r="AP28" s="29"/>
      <c r="AQ28" s="29"/>
      <c r="AR28" s="29"/>
      <c r="AS28" s="5"/>
      <c r="AT28" s="5"/>
      <c r="AU28" s="5"/>
      <c r="AV28" s="5"/>
      <c r="AW28" s="5"/>
      <c r="AX28" s="5"/>
      <c r="AY28" s="214"/>
      <c r="AZ28" s="83"/>
      <c r="BA28" s="83"/>
      <c r="BB28" s="83"/>
      <c r="BC28" s="5"/>
    </row>
    <row r="29" spans="1:55" x14ac:dyDescent="0.25">
      <c r="A29" s="81" t="s">
        <v>5</v>
      </c>
      <c r="B29" s="300">
        <f>$B$28/2</f>
        <v>0</v>
      </c>
      <c r="AK29" s="83"/>
      <c r="AL29" s="186"/>
      <c r="AM29" s="29"/>
      <c r="AN29" s="29"/>
      <c r="AO29" s="29"/>
      <c r="AP29" s="29"/>
      <c r="AQ29" s="29"/>
      <c r="AR29" s="29"/>
      <c r="AS29" s="5"/>
      <c r="AT29" s="5"/>
      <c r="AU29" s="5"/>
      <c r="AV29" s="5"/>
      <c r="AW29" s="5"/>
      <c r="AX29" s="5"/>
      <c r="AY29" s="214"/>
      <c r="AZ29" s="83"/>
      <c r="BA29" s="83"/>
      <c r="BB29" s="83"/>
      <c r="BC29" s="5"/>
    </row>
    <row r="30" spans="1:55" x14ac:dyDescent="0.25">
      <c r="A30" s="76"/>
      <c r="AK30" s="83"/>
      <c r="AL30" s="186"/>
      <c r="AM30" s="29"/>
      <c r="AN30" s="29"/>
      <c r="AO30" s="29"/>
      <c r="AP30" s="29"/>
      <c r="AQ30" s="29"/>
      <c r="AR30" s="29"/>
      <c r="AS30" s="5"/>
      <c r="AT30" s="5"/>
      <c r="AU30" s="5"/>
      <c r="AV30" s="5"/>
      <c r="AW30" s="5"/>
      <c r="AX30" s="5"/>
      <c r="AY30" s="214"/>
      <c r="AZ30" s="83"/>
      <c r="BA30" s="83"/>
      <c r="BB30" s="83"/>
      <c r="BC30" s="5"/>
    </row>
    <row r="31" spans="1:55" x14ac:dyDescent="0.25">
      <c r="A31" s="76"/>
      <c r="AK31" s="83"/>
      <c r="AL31" s="186"/>
      <c r="AM31" s="29"/>
      <c r="AN31" s="29"/>
      <c r="AO31" s="29"/>
      <c r="AP31" s="29"/>
      <c r="AQ31" s="29"/>
      <c r="AR31" s="29"/>
      <c r="AS31" s="5"/>
      <c r="AT31" s="5"/>
      <c r="AU31" s="5"/>
      <c r="AV31" s="5"/>
      <c r="AW31" s="5"/>
      <c r="AX31" s="5"/>
      <c r="AY31" s="214"/>
      <c r="AZ31" s="83"/>
      <c r="BA31" s="83"/>
      <c r="BB31" s="83"/>
      <c r="BC31" s="5"/>
    </row>
    <row r="32" spans="1:55" x14ac:dyDescent="0.25">
      <c r="A32" s="77" t="s">
        <v>87</v>
      </c>
      <c r="B32" s="5" t="s">
        <v>76</v>
      </c>
      <c r="C32" s="5" t="s">
        <v>99</v>
      </c>
      <c r="D32" s="5" t="s">
        <v>103</v>
      </c>
      <c r="E32" s="5" t="s">
        <v>104</v>
      </c>
      <c r="F32" s="5" t="s">
        <v>100</v>
      </c>
      <c r="G32" s="5" t="s">
        <v>0</v>
      </c>
      <c r="J32" s="5" t="s">
        <v>8</v>
      </c>
      <c r="K32" s="5" t="s">
        <v>195</v>
      </c>
      <c r="L32" s="5" t="s">
        <v>196</v>
      </c>
      <c r="AK32" s="83"/>
      <c r="AL32" s="186"/>
      <c r="AM32" s="29"/>
      <c r="AN32" s="29"/>
      <c r="AO32" s="29"/>
      <c r="AP32" s="29"/>
      <c r="AQ32" s="29"/>
      <c r="AR32" s="29"/>
      <c r="AS32" s="5"/>
      <c r="AT32" s="5"/>
      <c r="AU32" s="5"/>
      <c r="AV32" s="5"/>
      <c r="AW32" s="5"/>
      <c r="AX32" s="5"/>
      <c r="AY32" s="214"/>
      <c r="AZ32" s="83"/>
      <c r="BA32" s="83"/>
      <c r="BB32" s="83"/>
      <c r="BC32" s="5"/>
    </row>
    <row r="33" spans="1:55" x14ac:dyDescent="0.25">
      <c r="A33" s="5" t="s">
        <v>91</v>
      </c>
      <c r="B33" s="191">
        <v>0.15</v>
      </c>
      <c r="C33" s="194">
        <v>57375</v>
      </c>
      <c r="D33" s="84">
        <f>$B$26-tbRTaxe33[[#This Row],[Rates]]</f>
        <v>-57375</v>
      </c>
      <c r="E33" s="83">
        <f>IF(AND($D34&lt;0,tbRTaxe33[[#This Row],[GV]]&lt;=0),2,1)</f>
        <v>2</v>
      </c>
      <c r="F33" s="83" cm="1">
        <f t="array" ref="F33">_xlfn.IFS(tbRTaxe33[[#This Row],[Code]]=0,0,tbRTaxe33[[#This Row],[Code]]=2,$B$26,tbRTaxe33[[#This Row],[Code]]=1,tbRTaxe33[[#This Row],[Rates]])</f>
        <v>0</v>
      </c>
      <c r="G33" s="84">
        <f>tbRTaxe33[[#This Row],[Step]]*tbRTaxe33[[#This Row],[Ratio]]</f>
        <v>0</v>
      </c>
      <c r="J33" s="5">
        <v>2009</v>
      </c>
      <c r="K33" s="191">
        <v>5000</v>
      </c>
      <c r="L33" s="191">
        <v>2012</v>
      </c>
      <c r="N33" s="5"/>
      <c r="AK33" s="83"/>
      <c r="AL33" s="186"/>
      <c r="AM33" s="29"/>
      <c r="AN33" s="29"/>
      <c r="AO33" s="29"/>
      <c r="AP33" s="29"/>
      <c r="AQ33" s="29"/>
      <c r="AR33" s="29"/>
      <c r="AS33" s="5"/>
      <c r="AT33" s="5"/>
      <c r="AU33" s="5"/>
      <c r="AV33" s="5"/>
      <c r="AW33" s="5"/>
      <c r="AX33" s="5"/>
      <c r="AY33" s="214"/>
      <c r="AZ33" s="83"/>
      <c r="BA33" s="83"/>
      <c r="BB33" s="83"/>
      <c r="BC33" s="5"/>
    </row>
    <row r="34" spans="1:55" x14ac:dyDescent="0.25">
      <c r="A34" s="5" t="s">
        <v>92</v>
      </c>
      <c r="B34" s="191">
        <v>0.20499999999999999</v>
      </c>
      <c r="C34" s="194">
        <v>114750</v>
      </c>
      <c r="D34" s="84">
        <f>$B$26-tbRTaxe33[[#This Row],[Rates]]</f>
        <v>-114750</v>
      </c>
      <c r="E34" s="83" cm="1">
        <f t="array" ref="E34">_xlfn.IFS($E33=2,0,AND($D35&lt;0,tbRTaxe33[[#This Row],[GV]]&lt;=0),2,tbRTaxe33[[#This Row],[GV]]&gt;0,1)</f>
        <v>0</v>
      </c>
      <c r="F34" s="83" cm="1">
        <f t="array" ref="F34">_xlfn.IFS(tbRTaxe33[[#This Row],[Code]]=0,0,tbRTaxe33[[#This Row],[Code]]=2,$B$26-$C33,tbRTaxe33[[#This Row],[Code]]=1,tbRTaxe33[[#This Row],[Rates]]-$C33)</f>
        <v>0</v>
      </c>
      <c r="G34" s="84">
        <f>tbRTaxe33[[#This Row],[Step]]*tbRTaxe33[[#This Row],[Ratio]]</f>
        <v>0</v>
      </c>
      <c r="J34" s="5">
        <v>2010</v>
      </c>
      <c r="K34" s="191">
        <v>5000</v>
      </c>
      <c r="L34" s="5">
        <f>IFERROR(MATCH(L33,CELI[Année],0) + ROW(CELI[[#Headers],[Année]]),"")</f>
        <v>36</v>
      </c>
      <c r="N34" s="5"/>
      <c r="AK34" s="83"/>
      <c r="AL34" s="186"/>
      <c r="AM34" s="29"/>
      <c r="AN34" s="29"/>
      <c r="AO34" s="29"/>
      <c r="AP34" s="29"/>
      <c r="AQ34" s="29"/>
      <c r="AR34" s="29"/>
      <c r="AS34" s="5"/>
      <c r="AT34" s="5"/>
      <c r="AU34" s="5"/>
      <c r="AV34" s="5"/>
      <c r="AW34" s="5"/>
      <c r="AX34" s="5"/>
      <c r="AY34" s="214"/>
      <c r="AZ34" s="83"/>
      <c r="BA34" s="83"/>
      <c r="BB34" s="83"/>
      <c r="BC34" s="5"/>
    </row>
    <row r="35" spans="1:55" x14ac:dyDescent="0.25">
      <c r="A35" s="5" t="s">
        <v>93</v>
      </c>
      <c r="B35" s="191">
        <v>0.26</v>
      </c>
      <c r="C35" s="194">
        <v>177882</v>
      </c>
      <c r="D35" s="84">
        <f>$B$26-tbRTaxe33[[#This Row],[Rates]]</f>
        <v>-177882</v>
      </c>
      <c r="E35" s="83" cm="1">
        <f t="array" ref="E35">_xlfn.IFS(OR($E34=0,$E34=2),0,AND($D36&lt;0,tbRTaxe33[[#This Row],[GV]]&lt;=0),2,tbRTaxe33[[#This Row],[GV]]&gt;0,1)</f>
        <v>0</v>
      </c>
      <c r="F35" s="83" cm="1">
        <f t="array" ref="F35">_xlfn.IFS(tbRTaxe33[[#This Row],[Code]]=0,0,tbRTaxe33[[#This Row],[Code]]=2,$B$26-$C34,tbRTaxe33[[#This Row],[Code]]=1,tbRTaxe33[[#This Row],[Rates]]-$C34)</f>
        <v>0</v>
      </c>
      <c r="G35" s="84">
        <f>tbRTaxe33[[#This Row],[Step]]*tbRTaxe33[[#This Row],[Ratio]]</f>
        <v>0</v>
      </c>
      <c r="J35" s="5">
        <v>2011</v>
      </c>
      <c r="K35" s="191">
        <v>5000</v>
      </c>
      <c r="L35" s="5" t="str">
        <f>CONCATENATE("K"&amp;L34&amp;":K124")</f>
        <v>K36:K124</v>
      </c>
      <c r="N35" s="5"/>
      <c r="AK35" s="83"/>
      <c r="AL35" s="186"/>
      <c r="AM35" s="29"/>
      <c r="AN35" s="29"/>
      <c r="AO35" s="29"/>
      <c r="AP35" s="29"/>
      <c r="AQ35" s="29"/>
      <c r="AR35" s="29"/>
      <c r="AS35" s="5"/>
      <c r="AT35" s="5"/>
      <c r="AU35" s="5"/>
      <c r="AV35" s="5"/>
      <c r="AW35" s="5"/>
      <c r="AX35" s="5"/>
      <c r="AY35" s="214"/>
      <c r="AZ35" s="83"/>
      <c r="BA35" s="83"/>
      <c r="BB35" s="83"/>
      <c r="BC35" s="5"/>
    </row>
    <row r="36" spans="1:55" x14ac:dyDescent="0.25">
      <c r="A36" s="5" t="s">
        <v>94</v>
      </c>
      <c r="B36" s="191">
        <v>0.28999999999999998</v>
      </c>
      <c r="C36" s="194">
        <v>253414</v>
      </c>
      <c r="D36" s="84">
        <f>$B$26-tbRTaxe33[[#This Row],[Rates]]</f>
        <v>-253414</v>
      </c>
      <c r="E36" s="83" cm="1">
        <f t="array" ref="E36">IFERROR(_xlfn.IFS(OR($E35=0,$E35=2),0,tbRTaxe33[[#This Row],[GV]]&lt;=0,2),2)</f>
        <v>0</v>
      </c>
      <c r="F36" s="83" cm="1">
        <f t="array" ref="F36">_xlfn.IFS(tbRTaxe33[[#This Row],[Code]]=0,0,tbRTaxe33[[#This Row],[Code]]=2,$B$26-$C$35)</f>
        <v>0</v>
      </c>
      <c r="G36" s="84">
        <f>tbRTaxe33[[#This Row],[Step]]*tbRTaxe33[[#This Row],[Ratio]]</f>
        <v>0</v>
      </c>
      <c r="J36" s="5">
        <v>2012</v>
      </c>
      <c r="K36" s="191">
        <v>5000</v>
      </c>
      <c r="L36" s="301">
        <f ca="1">IFERROR(SUM(INDIRECT(L35)),"")</f>
        <v>87000</v>
      </c>
      <c r="N36" s="5"/>
      <c r="AK36" s="83"/>
      <c r="AL36" s="186"/>
      <c r="AM36" s="29"/>
      <c r="AN36" s="29"/>
      <c r="AO36" s="29"/>
      <c r="AP36" s="29"/>
      <c r="AQ36" s="29"/>
      <c r="AR36" s="29"/>
      <c r="AS36" s="5"/>
      <c r="AT36" s="5"/>
      <c r="AU36" s="5"/>
      <c r="AV36" s="5"/>
      <c r="AW36" s="5"/>
      <c r="AX36" s="5"/>
      <c r="AY36" s="214"/>
      <c r="AZ36" s="83"/>
      <c r="BA36" s="83"/>
      <c r="BB36" s="83"/>
      <c r="BC36" s="5"/>
    </row>
    <row r="37" spans="1:55" x14ac:dyDescent="0.25">
      <c r="A37" s="5" t="s">
        <v>194</v>
      </c>
      <c r="B37" s="191">
        <v>0.33</v>
      </c>
      <c r="C37" s="83">
        <f>B26-C36</f>
        <v>-253414</v>
      </c>
      <c r="D37" s="84">
        <f>tbRTaxe33[[#This Row],[Rates]]*tbRTaxe33[[#This Row],[Ratio]]</f>
        <v>-83626.62000000001</v>
      </c>
      <c r="E37" s="83">
        <f>IF(tbRTaxe33[[#This Row],[GV]]&gt;0,tbRTaxe33[[#This Row],[GV]],0)</f>
        <v>0</v>
      </c>
      <c r="F37" s="83"/>
      <c r="G37" s="84">
        <f>tbRTaxe33[[#This Row],[Code]]</f>
        <v>0</v>
      </c>
      <c r="J37" s="5">
        <v>2013</v>
      </c>
      <c r="K37" s="191">
        <v>5500</v>
      </c>
      <c r="L37" s="5">
        <f>SUM(CELI[Plafond])</f>
        <v>102000</v>
      </c>
      <c r="N37" s="5"/>
      <c r="AK37" s="83"/>
      <c r="AL37" s="186"/>
      <c r="AM37" s="29"/>
      <c r="AN37" s="29"/>
      <c r="AO37" s="29"/>
      <c r="AP37" s="29"/>
      <c r="AQ37" s="29"/>
      <c r="AR37" s="29"/>
      <c r="AS37" s="5"/>
      <c r="AT37" s="5"/>
      <c r="AU37" s="5"/>
      <c r="AV37" s="5"/>
      <c r="AW37" s="5"/>
      <c r="AX37" s="5"/>
      <c r="AY37" s="214"/>
      <c r="AZ37" s="83"/>
      <c r="BA37" s="83"/>
      <c r="BB37" s="83"/>
      <c r="BC37" s="5"/>
    </row>
    <row r="38" spans="1:55" x14ac:dyDescent="0.25">
      <c r="A38" s="5" t="s">
        <v>95</v>
      </c>
      <c r="B38" s="191">
        <v>0.14000000000000001</v>
      </c>
      <c r="C38" s="194">
        <v>53255</v>
      </c>
      <c r="D38" s="84">
        <f>$B$26-tbRTaxe33[[#This Row],[Rates]]</f>
        <v>-53255</v>
      </c>
      <c r="E38" s="83">
        <f>IF(AND($D39&lt;0,tbRTaxe33[[#This Row],[GV]]&lt;=0),2,1)</f>
        <v>2</v>
      </c>
      <c r="F38" s="83" cm="1">
        <f t="array" ref="F38">_xlfn.IFS(tbRTaxe33[[#This Row],[Code]]=0,0,tbRTaxe33[[#This Row],[Code]]=2,$B$26,tbRTaxe33[[#This Row],[Code]]=1,tbRTaxe33[[#This Row],[Rates]])</f>
        <v>0</v>
      </c>
      <c r="G38" s="84">
        <f>tbRTaxe33[[#This Row],[Step]]*tbRTaxe33[[#This Row],[Ratio]]</f>
        <v>0</v>
      </c>
      <c r="J38" s="5">
        <v>2014</v>
      </c>
      <c r="K38" s="191">
        <v>5500</v>
      </c>
      <c r="L38" s="191"/>
      <c r="N38" s="5"/>
      <c r="AK38" s="83"/>
      <c r="AL38" s="186"/>
      <c r="AM38" s="29"/>
      <c r="AN38" s="29"/>
      <c r="AO38" s="29"/>
      <c r="AP38" s="29"/>
      <c r="AQ38" s="29"/>
      <c r="AR38" s="29"/>
      <c r="AS38" s="5"/>
      <c r="AT38" s="5"/>
      <c r="AU38" s="5"/>
      <c r="AV38" s="5"/>
      <c r="AW38" s="5"/>
      <c r="AX38" s="5"/>
      <c r="AY38" s="214"/>
      <c r="AZ38" s="83"/>
      <c r="BA38" s="83"/>
      <c r="BB38" s="83"/>
      <c r="BC38" s="5"/>
    </row>
    <row r="39" spans="1:55" x14ac:dyDescent="0.25">
      <c r="A39" s="5" t="s">
        <v>96</v>
      </c>
      <c r="B39" s="191">
        <v>0.19</v>
      </c>
      <c r="C39" s="194">
        <v>106495</v>
      </c>
      <c r="D39" s="84">
        <f>$B$26-tbRTaxe33[[#This Row],[Rates]]</f>
        <v>-106495</v>
      </c>
      <c r="E39" s="83" cm="1">
        <f t="array" ref="E39">_xlfn.IFS(OR($E38=0,$E38=2),0,AND($D40&lt;0,tbRTaxe33[[#This Row],[GV]]&lt;=0),2,tbRTaxe33[[#This Row],[GV]]&gt;0,1)</f>
        <v>0</v>
      </c>
      <c r="F39" s="83" cm="1">
        <f t="array" ref="F39">_xlfn.IFS(tbRTaxe33[[#This Row],[Code]]=0,0,tbRTaxe33[[#This Row],[Code]]=2,$B$26-$C38,tbRTaxe33[[#This Row],[Code]]=1,tbRTaxe33[[#This Row],[Rates]]-$C38)</f>
        <v>0</v>
      </c>
      <c r="G39" s="84">
        <f>tbRTaxe33[[#This Row],[Step]]*tbRTaxe33[[#This Row],[Ratio]]</f>
        <v>0</v>
      </c>
      <c r="J39" s="5">
        <v>2015</v>
      </c>
      <c r="K39" s="191">
        <v>10000</v>
      </c>
      <c r="L39" s="5" t="str">
        <f>IFERROR(VLOOKUP(L38,CELI[],2,FALSE),"")</f>
        <v/>
      </c>
      <c r="N39" s="5"/>
      <c r="AK39" s="83"/>
      <c r="AL39" s="186"/>
      <c r="AM39" s="29"/>
      <c r="AN39" s="29"/>
      <c r="AO39" s="29"/>
      <c r="AP39" s="29"/>
      <c r="AQ39" s="29"/>
      <c r="AR39" s="29"/>
      <c r="AS39" s="5"/>
      <c r="AT39" s="5"/>
      <c r="AU39" s="5"/>
      <c r="AV39" s="5"/>
      <c r="AW39" s="5"/>
      <c r="AX39" s="5"/>
      <c r="AY39" s="214"/>
      <c r="AZ39" s="83"/>
      <c r="BA39" s="83"/>
      <c r="BB39" s="83"/>
      <c r="BC39" s="5"/>
    </row>
    <row r="40" spans="1:55" x14ac:dyDescent="0.25">
      <c r="A40" s="5" t="s">
        <v>97</v>
      </c>
      <c r="B40" s="191">
        <v>0.24</v>
      </c>
      <c r="C40" s="194">
        <v>129590</v>
      </c>
      <c r="D40" s="84">
        <f>$B$26-tbRTaxe33[[#This Row],[Rates]]</f>
        <v>-129590</v>
      </c>
      <c r="E40" s="83" cm="1">
        <f t="array" ref="E40">_xlfn.IFS(OR($E39=0,$E39=2),0,AND($D41&lt;0,tbRTaxe33[[#This Row],[GV]]&lt;=0),2,tbRTaxe33[[#This Row],[GV]]&gt;0,1)</f>
        <v>0</v>
      </c>
      <c r="F40" s="83" cm="1">
        <f t="array" ref="F40">_xlfn.IFS(tbRTaxe33[[#This Row],[Code]]=0,0,tbRTaxe33[[#This Row],[Code]]=2,$B$26-$C39,tbRTaxe33[[#This Row],[Code]]=1,tbRTaxe33[[#This Row],[Rates]]-$C39)</f>
        <v>0</v>
      </c>
      <c r="G40" s="84">
        <f>tbRTaxe33[[#This Row],[Step]]*tbRTaxe33[[#This Row],[Ratio]]</f>
        <v>0</v>
      </c>
      <c r="J40" s="5">
        <v>2016</v>
      </c>
      <c r="K40" s="191">
        <v>5500</v>
      </c>
      <c r="L40" s="5" t="str">
        <f>IFERROR(MATCH(L38,CELI[Année],0),"")</f>
        <v/>
      </c>
      <c r="N40" s="5"/>
      <c r="AK40" s="83"/>
      <c r="AL40" s="186"/>
      <c r="AM40" s="29"/>
      <c r="AN40" s="29"/>
      <c r="AO40" s="29"/>
      <c r="AP40" s="29"/>
      <c r="AQ40" s="29"/>
      <c r="AR40" s="29"/>
      <c r="AS40" s="5"/>
      <c r="AT40" s="5"/>
      <c r="AU40" s="5"/>
      <c r="AV40" s="5"/>
      <c r="AW40" s="5"/>
      <c r="AX40" s="5"/>
      <c r="AY40" s="214"/>
      <c r="AZ40" s="83"/>
      <c r="BA40" s="83"/>
      <c r="BB40" s="83"/>
      <c r="BC40" s="5"/>
    </row>
    <row r="41" spans="1:55" x14ac:dyDescent="0.25">
      <c r="A41" s="5" t="s">
        <v>98</v>
      </c>
      <c r="B41" s="191">
        <v>0.25750000000000001</v>
      </c>
      <c r="C41" s="194">
        <v>129590</v>
      </c>
      <c r="D41" s="84">
        <f>IF($B$26&gt;tbRTaxe33[[#This Row],[Rates]],$B$26,-1)</f>
        <v>-1</v>
      </c>
      <c r="E41" s="83" cm="1">
        <f t="array" ref="E41">_xlfn.IFS(OR($E40=0,$E40=2),0,AND($E40=1,tbRTaxe33[[#This Row],[GV]]&gt;=0),2)</f>
        <v>0</v>
      </c>
      <c r="F41" s="83" cm="1">
        <f t="array" ref="F41">_xlfn.IFS(tbRTaxe33[[#This Row],[Code]]=0,0,tbRTaxe33[[#This Row],[Code]]=2,$B$26-$C$41)</f>
        <v>0</v>
      </c>
      <c r="G41" s="84">
        <f>tbRTaxe33[[#This Row],[Step]]*tbRTaxe33[[#This Row],[Ratio]]</f>
        <v>0</v>
      </c>
      <c r="J41" s="5">
        <v>2017</v>
      </c>
      <c r="K41" s="191">
        <v>5500</v>
      </c>
      <c r="N41" s="5"/>
      <c r="AK41" s="83"/>
      <c r="AL41" s="186"/>
      <c r="AM41" s="29"/>
      <c r="AN41" s="29"/>
      <c r="AO41" s="29"/>
      <c r="AP41" s="29"/>
      <c r="AQ41" s="29"/>
      <c r="AR41" s="29"/>
      <c r="AS41" s="5"/>
      <c r="AT41" s="5"/>
      <c r="AU41" s="5"/>
      <c r="AV41" s="5"/>
      <c r="AW41" s="5"/>
      <c r="AX41" s="5"/>
      <c r="AY41" s="214"/>
      <c r="AZ41" s="83"/>
      <c r="BA41" s="83"/>
      <c r="BB41" s="83"/>
      <c r="BC41" s="5"/>
    </row>
    <row r="42" spans="1:55" x14ac:dyDescent="0.25">
      <c r="A42" s="5" t="s">
        <v>102</v>
      </c>
      <c r="B42" s="5"/>
      <c r="C42" s="83"/>
      <c r="D42" s="84"/>
      <c r="E42" s="83"/>
      <c r="F42" s="83"/>
      <c r="G42" s="84">
        <f>SUM($G33:$G41)</f>
        <v>0</v>
      </c>
      <c r="J42" s="5">
        <v>2018</v>
      </c>
      <c r="K42" s="191">
        <v>5500</v>
      </c>
      <c r="N42" s="5"/>
      <c r="AK42" s="83"/>
      <c r="AL42" s="186"/>
      <c r="AM42" s="29"/>
      <c r="AN42" s="29"/>
      <c r="AO42" s="29"/>
      <c r="AP42" s="29"/>
      <c r="AQ42" s="29"/>
      <c r="AR42" s="29"/>
      <c r="AS42" s="5"/>
      <c r="AT42" s="5"/>
      <c r="AU42" s="5"/>
      <c r="AV42" s="5"/>
      <c r="AW42" s="5"/>
      <c r="AX42" s="5"/>
      <c r="AY42" s="214"/>
      <c r="AZ42" s="83"/>
      <c r="BA42" s="83"/>
      <c r="BB42" s="83"/>
      <c r="BC42" s="5"/>
    </row>
    <row r="43" spans="1:55" x14ac:dyDescent="0.25">
      <c r="A43" s="5"/>
      <c r="J43" s="5">
        <v>2019</v>
      </c>
      <c r="K43" s="191">
        <v>6000</v>
      </c>
      <c r="L43"/>
      <c r="AK43" s="83"/>
      <c r="AL43" s="186"/>
      <c r="AM43" s="29"/>
      <c r="AN43" s="29"/>
      <c r="AO43" s="29"/>
      <c r="AP43" s="29"/>
      <c r="AQ43" s="29"/>
      <c r="AR43" s="29"/>
      <c r="AS43" s="5"/>
      <c r="AT43" s="5"/>
      <c r="AU43" s="5"/>
      <c r="AV43" s="5"/>
      <c r="AW43" s="5"/>
      <c r="AX43" s="5"/>
      <c r="AY43" s="214"/>
      <c r="AZ43" s="83"/>
      <c r="BA43" s="83"/>
      <c r="BB43" s="83"/>
      <c r="BC43" s="5"/>
    </row>
    <row r="44" spans="1:55" x14ac:dyDescent="0.25">
      <c r="J44" s="5">
        <v>2020</v>
      </c>
      <c r="K44" s="191">
        <v>6000</v>
      </c>
      <c r="L44"/>
      <c r="AK44" s="83"/>
      <c r="AL44" s="186"/>
      <c r="AM44" s="29"/>
      <c r="AN44" s="29"/>
      <c r="AO44" s="29"/>
      <c r="AP44" s="29"/>
      <c r="AQ44" s="29"/>
      <c r="AR44" s="29"/>
      <c r="AS44" s="5"/>
      <c r="AT44" s="5"/>
      <c r="AU44" s="5"/>
      <c r="AV44" s="5"/>
      <c r="AW44" s="5"/>
      <c r="AX44" s="5"/>
      <c r="AY44" s="214"/>
      <c r="AZ44" s="83"/>
      <c r="BA44" s="83"/>
      <c r="BB44" s="83"/>
      <c r="BC44" s="5"/>
    </row>
    <row r="45" spans="1:55" x14ac:dyDescent="0.25">
      <c r="J45" s="5">
        <v>2021</v>
      </c>
      <c r="K45" s="191">
        <v>6000</v>
      </c>
      <c r="L45"/>
      <c r="AK45" s="83"/>
      <c r="AL45" s="186"/>
      <c r="AM45" s="29"/>
      <c r="AN45" s="29"/>
      <c r="AO45" s="29"/>
      <c r="AP45" s="29"/>
      <c r="AQ45" s="29"/>
      <c r="AR45" s="29"/>
      <c r="AS45" s="5"/>
      <c r="AT45" s="5"/>
      <c r="AU45" s="5"/>
      <c r="AV45" s="5"/>
      <c r="AW45" s="5"/>
      <c r="AX45" s="5"/>
      <c r="AY45" s="214"/>
      <c r="AZ45" s="83"/>
      <c r="BA45" s="83"/>
      <c r="BB45" s="83"/>
      <c r="BC45" s="5"/>
    </row>
    <row r="46" spans="1:55" x14ac:dyDescent="0.25">
      <c r="J46" s="5">
        <v>2022</v>
      </c>
      <c r="K46" s="191">
        <v>6000</v>
      </c>
      <c r="L46"/>
      <c r="AK46" s="83"/>
      <c r="AL46" s="186"/>
      <c r="AM46" s="29"/>
      <c r="AN46" s="29"/>
      <c r="AO46" s="29"/>
      <c r="AP46" s="29"/>
      <c r="AQ46" s="29"/>
      <c r="AR46" s="29"/>
      <c r="AS46" s="5"/>
      <c r="AT46" s="5"/>
      <c r="AU46" s="5"/>
      <c r="AV46" s="5"/>
      <c r="AW46" s="5"/>
      <c r="AX46" s="5"/>
      <c r="AY46" s="214"/>
      <c r="AZ46" s="83"/>
      <c r="BA46" s="83"/>
      <c r="BB46" s="83"/>
      <c r="BC46" s="5"/>
    </row>
    <row r="47" spans="1:55" x14ac:dyDescent="0.25">
      <c r="J47" s="5">
        <v>2023</v>
      </c>
      <c r="K47" s="191">
        <v>6500</v>
      </c>
      <c r="L47"/>
      <c r="AK47" s="83"/>
      <c r="AL47" s="186"/>
      <c r="AM47" s="29"/>
      <c r="AN47" s="29"/>
      <c r="AO47" s="29"/>
      <c r="AP47" s="29"/>
      <c r="AQ47" s="29"/>
      <c r="AR47" s="29"/>
      <c r="AS47" s="5"/>
      <c r="AT47" s="5"/>
      <c r="AU47" s="5"/>
      <c r="AV47" s="5"/>
      <c r="AW47" s="5"/>
      <c r="AX47" s="5"/>
      <c r="AY47" s="214"/>
      <c r="AZ47" s="83"/>
      <c r="BA47" s="83"/>
      <c r="BB47" s="83"/>
      <c r="BC47" s="5"/>
    </row>
    <row r="48" spans="1:55" x14ac:dyDescent="0.25">
      <c r="J48" s="5">
        <v>2024</v>
      </c>
      <c r="K48" s="191">
        <v>7000</v>
      </c>
      <c r="L48"/>
      <c r="AK48" s="83"/>
      <c r="AL48" s="186"/>
      <c r="AM48" s="29"/>
      <c r="AN48" s="29"/>
      <c r="AO48" s="29"/>
      <c r="AP48" s="29"/>
      <c r="AQ48" s="29"/>
      <c r="AR48" s="29"/>
      <c r="AS48" s="5"/>
      <c r="AT48" s="5"/>
      <c r="AU48" s="5"/>
      <c r="AV48" s="5"/>
      <c r="AW48" s="5"/>
      <c r="AX48" s="5"/>
      <c r="AY48" s="214"/>
      <c r="AZ48" s="83"/>
      <c r="BA48" s="83"/>
      <c r="BB48" s="83"/>
      <c r="BC48" s="5"/>
    </row>
    <row r="49" spans="10:55" x14ac:dyDescent="0.25">
      <c r="J49" s="5">
        <v>2025</v>
      </c>
      <c r="K49" s="191">
        <v>7000</v>
      </c>
      <c r="L49"/>
      <c r="AK49" s="83"/>
      <c r="AL49" s="186"/>
      <c r="AM49" s="29"/>
      <c r="AN49" s="29"/>
      <c r="AO49" s="29"/>
      <c r="AP49" s="29"/>
      <c r="AQ49" s="29"/>
      <c r="AR49" s="29"/>
      <c r="AS49" s="5"/>
      <c r="AT49" s="5"/>
      <c r="AU49" s="5"/>
      <c r="AV49" s="5"/>
      <c r="AW49" s="5"/>
      <c r="AX49" s="5"/>
      <c r="AY49" s="214"/>
      <c r="AZ49" s="83"/>
      <c r="BA49" s="83"/>
      <c r="BB49" s="83"/>
      <c r="BC49" s="5"/>
    </row>
    <row r="50" spans="10:55" x14ac:dyDescent="0.25">
      <c r="J50" s="5">
        <v>2026</v>
      </c>
      <c r="K50" s="191">
        <v>0</v>
      </c>
      <c r="L50"/>
      <c r="AK50" s="83"/>
      <c r="AL50" s="186"/>
      <c r="AM50" s="29"/>
      <c r="AN50" s="29"/>
      <c r="AO50" s="29"/>
      <c r="AP50" s="29"/>
      <c r="AQ50" s="29"/>
      <c r="AR50" s="29"/>
      <c r="AS50" s="5"/>
      <c r="AT50" s="5"/>
      <c r="AU50" s="5"/>
      <c r="AV50" s="5"/>
      <c r="AW50" s="5"/>
      <c r="AX50" s="5"/>
      <c r="AY50" s="214"/>
      <c r="AZ50" s="83"/>
      <c r="BA50" s="83"/>
      <c r="BB50" s="83"/>
      <c r="BC50" s="5"/>
    </row>
    <row r="51" spans="10:55" x14ac:dyDescent="0.25">
      <c r="J51" s="5">
        <v>2027</v>
      </c>
      <c r="K51" s="191">
        <v>0</v>
      </c>
      <c r="L51"/>
      <c r="AK51" s="83"/>
      <c r="AL51" s="186"/>
      <c r="AM51" s="29"/>
      <c r="AN51" s="29"/>
      <c r="AO51" s="29"/>
      <c r="AP51" s="29"/>
      <c r="AQ51" s="29"/>
      <c r="AR51" s="29"/>
      <c r="AS51" s="5"/>
      <c r="AT51" s="5"/>
      <c r="AU51" s="5"/>
      <c r="AV51" s="5"/>
      <c r="AW51" s="5"/>
      <c r="AX51" s="5"/>
      <c r="AY51" s="214"/>
      <c r="AZ51" s="83"/>
      <c r="BA51" s="83"/>
      <c r="BB51" s="83"/>
      <c r="BC51" s="5"/>
    </row>
    <row r="52" spans="10:55" x14ac:dyDescent="0.25">
      <c r="J52" s="5">
        <v>2028</v>
      </c>
      <c r="K52" s="191">
        <v>0</v>
      </c>
      <c r="L52"/>
      <c r="AK52" s="83"/>
      <c r="AL52" s="186"/>
      <c r="AM52" s="29"/>
      <c r="AN52" s="29"/>
      <c r="AO52" s="29"/>
      <c r="AP52" s="29"/>
      <c r="AQ52" s="29"/>
      <c r="AR52" s="29"/>
      <c r="AS52" s="5"/>
      <c r="AT52" s="5"/>
      <c r="AU52" s="5"/>
      <c r="AV52" s="5"/>
      <c r="AW52" s="5"/>
      <c r="AX52" s="5"/>
      <c r="AY52" s="214"/>
      <c r="AZ52" s="83"/>
      <c r="BA52" s="83"/>
      <c r="BB52" s="83"/>
      <c r="BC52" s="5"/>
    </row>
    <row r="53" spans="10:55" x14ac:dyDescent="0.25">
      <c r="J53" s="5">
        <v>2029</v>
      </c>
      <c r="K53" s="191">
        <v>0</v>
      </c>
      <c r="L53"/>
      <c r="AK53" s="83"/>
      <c r="AL53" s="186"/>
      <c r="AM53" s="29"/>
      <c r="AN53" s="29"/>
      <c r="AO53" s="29"/>
      <c r="AP53" s="29"/>
      <c r="AQ53" s="29"/>
      <c r="AR53" s="29"/>
      <c r="AS53" s="5"/>
      <c r="AT53" s="5"/>
      <c r="AU53" s="5"/>
      <c r="AV53" s="5"/>
      <c r="AW53" s="5"/>
      <c r="AX53" s="5"/>
      <c r="AY53" s="214"/>
      <c r="AZ53" s="83"/>
      <c r="BA53" s="83"/>
      <c r="BB53" s="83"/>
      <c r="BC53" s="5"/>
    </row>
    <row r="54" spans="10:55" x14ac:dyDescent="0.25">
      <c r="J54" s="5">
        <v>2030</v>
      </c>
      <c r="K54" s="191">
        <v>0</v>
      </c>
      <c r="L54"/>
      <c r="AK54" s="83"/>
      <c r="AL54" s="186"/>
      <c r="AM54" s="29"/>
      <c r="AN54" s="29"/>
      <c r="AO54" s="29"/>
      <c r="AP54" s="29"/>
      <c r="AQ54" s="29"/>
      <c r="AR54" s="29"/>
      <c r="AS54" s="5"/>
      <c r="AT54" s="5"/>
      <c r="AU54" s="5"/>
      <c r="AV54" s="5"/>
      <c r="AW54" s="5"/>
      <c r="AX54" s="5"/>
      <c r="AY54" s="214"/>
      <c r="AZ54" s="83"/>
      <c r="BA54" s="83"/>
      <c r="BB54" s="83"/>
      <c r="BC54" s="5"/>
    </row>
    <row r="55" spans="10:55" x14ac:dyDescent="0.25">
      <c r="J55" s="5">
        <v>2031</v>
      </c>
      <c r="K55" s="191">
        <v>0</v>
      </c>
      <c r="L55"/>
      <c r="AK55" s="83"/>
      <c r="AL55" s="186"/>
      <c r="AM55" s="29"/>
      <c r="AN55" s="29"/>
      <c r="AO55" s="29"/>
      <c r="AP55" s="29"/>
      <c r="AQ55" s="29"/>
      <c r="AR55" s="29"/>
      <c r="AS55" s="5"/>
      <c r="AT55" s="5"/>
      <c r="AU55" s="5"/>
      <c r="AV55" s="5"/>
      <c r="AW55" s="5"/>
      <c r="AX55" s="5"/>
      <c r="AY55" s="214"/>
      <c r="AZ55" s="83"/>
      <c r="BA55" s="83"/>
      <c r="BB55" s="83"/>
      <c r="BC55" s="5"/>
    </row>
    <row r="56" spans="10:55" x14ac:dyDescent="0.25">
      <c r="J56" s="5">
        <v>2032</v>
      </c>
      <c r="K56" s="191">
        <v>0</v>
      </c>
      <c r="L56"/>
      <c r="AK56" s="83"/>
      <c r="AL56" s="186"/>
      <c r="AM56" s="29"/>
      <c r="AN56" s="29"/>
      <c r="AO56" s="29"/>
      <c r="AP56" s="29"/>
      <c r="AQ56" s="29"/>
      <c r="AR56" s="29"/>
      <c r="AS56" s="5"/>
      <c r="AT56" s="5"/>
      <c r="AU56" s="5"/>
      <c r="AV56" s="5"/>
      <c r="AW56" s="5"/>
      <c r="AX56" s="5"/>
      <c r="AY56" s="214"/>
      <c r="AZ56" s="83"/>
      <c r="BA56" s="83"/>
      <c r="BB56" s="83"/>
      <c r="BC56" s="5"/>
    </row>
    <row r="57" spans="10:55" x14ac:dyDescent="0.25">
      <c r="J57" s="5">
        <v>2033</v>
      </c>
      <c r="K57" s="191">
        <v>0</v>
      </c>
      <c r="L57"/>
      <c r="AK57" s="83"/>
      <c r="AL57" s="186"/>
      <c r="AM57" s="29"/>
      <c r="AN57" s="29"/>
      <c r="AO57" s="29"/>
      <c r="AP57" s="29"/>
      <c r="AQ57" s="29"/>
      <c r="AR57" s="29"/>
      <c r="AS57" s="5"/>
      <c r="AT57" s="5"/>
      <c r="AU57" s="5"/>
      <c r="AV57" s="5"/>
      <c r="AW57" s="5"/>
      <c r="AX57" s="5"/>
      <c r="AY57" s="214"/>
      <c r="AZ57" s="83"/>
      <c r="BA57" s="83"/>
      <c r="BB57" s="83"/>
      <c r="BC57" s="5"/>
    </row>
    <row r="58" spans="10:55" x14ac:dyDescent="0.25">
      <c r="J58" s="5">
        <v>2034</v>
      </c>
      <c r="K58" s="191">
        <v>0</v>
      </c>
      <c r="L58"/>
      <c r="AK58" s="83"/>
      <c r="AL58" s="186"/>
      <c r="AM58" s="29"/>
      <c r="AN58" s="29"/>
      <c r="AO58" s="29"/>
      <c r="AP58" s="29"/>
      <c r="AQ58" s="29"/>
      <c r="AR58" s="29"/>
      <c r="AS58" s="5"/>
      <c r="AT58" s="5"/>
      <c r="AU58" s="5"/>
      <c r="AV58" s="5"/>
      <c r="AW58" s="5"/>
      <c r="AX58" s="5"/>
      <c r="AY58" s="214"/>
      <c r="AZ58" s="83"/>
      <c r="BA58" s="83"/>
      <c r="BB58" s="83"/>
      <c r="BC58" s="5"/>
    </row>
    <row r="59" spans="10:55" x14ac:dyDescent="0.25">
      <c r="J59" s="5">
        <v>2035</v>
      </c>
      <c r="K59" s="191">
        <v>0</v>
      </c>
      <c r="L59"/>
      <c r="AK59" s="83"/>
      <c r="AL59" s="186"/>
      <c r="AM59" s="29"/>
      <c r="AN59" s="29"/>
      <c r="AO59" s="29"/>
      <c r="AP59" s="29"/>
      <c r="AQ59" s="29"/>
      <c r="AR59" s="29"/>
      <c r="AS59" s="5"/>
      <c r="AT59" s="5"/>
      <c r="AU59" s="5"/>
      <c r="AV59" s="5"/>
      <c r="AW59" s="5"/>
      <c r="AX59" s="5"/>
      <c r="AY59" s="214"/>
      <c r="AZ59" s="83"/>
      <c r="BA59" s="83"/>
      <c r="BB59" s="83"/>
      <c r="BC59" s="5"/>
    </row>
    <row r="60" spans="10:55" x14ac:dyDescent="0.25">
      <c r="J60" s="5">
        <v>2036</v>
      </c>
      <c r="K60" s="191">
        <v>0</v>
      </c>
      <c r="L60"/>
      <c r="AK60" s="83"/>
      <c r="AL60" s="186"/>
      <c r="AM60" s="29"/>
      <c r="AN60" s="29"/>
      <c r="AO60" s="29"/>
      <c r="AP60" s="29"/>
      <c r="AQ60" s="29"/>
      <c r="AR60" s="29"/>
      <c r="AS60" s="5"/>
      <c r="AT60" s="5"/>
      <c r="AU60" s="5"/>
      <c r="AV60" s="5"/>
      <c r="AW60" s="5"/>
      <c r="AX60" s="5"/>
      <c r="AY60" s="214"/>
      <c r="AZ60" s="83"/>
      <c r="BA60" s="83"/>
      <c r="BB60" s="83"/>
      <c r="BC60" s="5"/>
    </row>
    <row r="61" spans="10:55" x14ac:dyDescent="0.25">
      <c r="J61" s="5">
        <v>2037</v>
      </c>
      <c r="K61" s="191">
        <v>0</v>
      </c>
      <c r="L61"/>
      <c r="AK61" s="83"/>
      <c r="AL61" s="186"/>
      <c r="AM61" s="29"/>
      <c r="AN61" s="29"/>
      <c r="AO61" s="29"/>
      <c r="AP61" s="29"/>
      <c r="AQ61" s="29"/>
      <c r="AR61" s="29"/>
      <c r="AS61" s="5"/>
      <c r="AT61" s="5"/>
      <c r="AU61" s="5"/>
      <c r="AV61" s="5"/>
      <c r="AW61" s="5"/>
      <c r="AX61" s="5"/>
      <c r="AY61" s="214"/>
      <c r="AZ61" s="83"/>
      <c r="BA61" s="83"/>
      <c r="BB61" s="83"/>
      <c r="BC61" s="5"/>
    </row>
    <row r="62" spans="10:55" x14ac:dyDescent="0.25">
      <c r="J62" s="5">
        <v>2038</v>
      </c>
      <c r="K62" s="191">
        <v>0</v>
      </c>
      <c r="L62"/>
      <c r="AK62" s="83"/>
      <c r="AL62" s="186"/>
      <c r="AM62" s="29"/>
      <c r="AN62" s="29"/>
      <c r="AO62" s="29"/>
      <c r="AP62" s="29"/>
      <c r="AQ62" s="29"/>
      <c r="AR62" s="29"/>
      <c r="AS62" s="5"/>
      <c r="AT62" s="5"/>
      <c r="AU62" s="5"/>
      <c r="AV62" s="5"/>
      <c r="AW62" s="5"/>
      <c r="AX62" s="5"/>
      <c r="AY62" s="214"/>
      <c r="AZ62" s="83"/>
      <c r="BA62" s="83"/>
      <c r="BB62" s="83"/>
      <c r="BC62" s="5"/>
    </row>
    <row r="63" spans="10:55" x14ac:dyDescent="0.25">
      <c r="J63" s="5">
        <v>2039</v>
      </c>
      <c r="K63" s="191">
        <v>0</v>
      </c>
      <c r="L63"/>
      <c r="AK63" s="83"/>
      <c r="AL63" s="186"/>
      <c r="AM63" s="29"/>
      <c r="AN63" s="29"/>
      <c r="AO63" s="29"/>
      <c r="AP63" s="29"/>
      <c r="AQ63" s="29"/>
      <c r="AR63" s="29"/>
      <c r="AS63" s="5"/>
      <c r="AT63" s="5"/>
      <c r="AU63" s="5"/>
      <c r="AV63" s="5"/>
      <c r="AW63" s="5"/>
      <c r="AX63" s="5"/>
      <c r="AY63" s="214"/>
      <c r="AZ63" s="83"/>
      <c r="BA63" s="83"/>
      <c r="BB63" s="83"/>
      <c r="BC63" s="5"/>
    </row>
    <row r="64" spans="10:55" x14ac:dyDescent="0.25">
      <c r="J64" s="5">
        <v>2040</v>
      </c>
      <c r="K64" s="191">
        <v>0</v>
      </c>
      <c r="L64"/>
      <c r="AK64" s="83"/>
      <c r="AL64" s="186"/>
      <c r="AM64" s="29"/>
      <c r="AN64" s="29"/>
      <c r="AO64" s="29"/>
      <c r="AP64" s="29"/>
      <c r="AQ64" s="29"/>
      <c r="AR64" s="29"/>
      <c r="AS64" s="5"/>
      <c r="AT64" s="5"/>
      <c r="AU64" s="5"/>
      <c r="AV64" s="5"/>
      <c r="AW64" s="5"/>
      <c r="AX64" s="5"/>
      <c r="AY64" s="214"/>
      <c r="AZ64" s="83"/>
      <c r="BA64" s="83"/>
      <c r="BB64" s="83"/>
      <c r="BC64" s="5"/>
    </row>
    <row r="65" spans="10:55" x14ac:dyDescent="0.25">
      <c r="J65" s="5">
        <v>2041</v>
      </c>
      <c r="K65" s="191">
        <v>0</v>
      </c>
      <c r="L65"/>
      <c r="AK65" s="83"/>
      <c r="AL65" s="186"/>
      <c r="AM65" s="29"/>
      <c r="AN65" s="29"/>
      <c r="AO65" s="29"/>
      <c r="AP65" s="29"/>
      <c r="AQ65" s="29"/>
      <c r="AR65" s="29"/>
      <c r="AS65" s="5"/>
      <c r="AT65" s="5"/>
      <c r="AU65" s="5"/>
      <c r="AV65" s="5"/>
      <c r="AW65" s="5"/>
      <c r="AX65" s="5"/>
      <c r="AY65" s="214"/>
      <c r="AZ65" s="83"/>
      <c r="BA65" s="83"/>
      <c r="BB65" s="83"/>
      <c r="BC65" s="5"/>
    </row>
    <row r="66" spans="10:55" x14ac:dyDescent="0.25">
      <c r="J66" s="5">
        <v>2042</v>
      </c>
      <c r="K66" s="191">
        <v>0</v>
      </c>
      <c r="L66"/>
      <c r="AK66" s="83"/>
      <c r="AL66" s="186"/>
      <c r="AM66" s="29"/>
      <c r="AN66" s="29"/>
      <c r="AO66" s="29"/>
      <c r="AP66" s="29"/>
      <c r="AQ66" s="29"/>
      <c r="AR66" s="29"/>
      <c r="AS66" s="5"/>
      <c r="AT66" s="5"/>
      <c r="AU66" s="5"/>
      <c r="AV66" s="5"/>
      <c r="AW66" s="5"/>
      <c r="AX66" s="5"/>
      <c r="AY66" s="214"/>
      <c r="AZ66" s="83"/>
      <c r="BA66" s="83"/>
      <c r="BB66" s="83"/>
      <c r="BC66" s="5"/>
    </row>
    <row r="67" spans="10:55" x14ac:dyDescent="0.25">
      <c r="J67" s="5">
        <v>2043</v>
      </c>
      <c r="K67" s="191">
        <v>0</v>
      </c>
      <c r="L67"/>
      <c r="AK67" s="83"/>
      <c r="AL67" s="186"/>
      <c r="AM67" s="29"/>
      <c r="AN67" s="29"/>
      <c r="AO67" s="29"/>
      <c r="AP67" s="29"/>
      <c r="AQ67" s="29"/>
      <c r="AR67" s="29"/>
      <c r="AS67" s="5"/>
      <c r="AT67" s="5"/>
      <c r="AU67" s="5"/>
      <c r="AV67" s="5"/>
      <c r="AW67" s="5"/>
      <c r="AX67" s="5"/>
      <c r="AY67" s="214"/>
      <c r="AZ67" s="83"/>
      <c r="BA67" s="83"/>
      <c r="BB67" s="83"/>
      <c r="BC67" s="5"/>
    </row>
    <row r="68" spans="10:55" x14ac:dyDescent="0.25">
      <c r="J68" s="5">
        <v>2044</v>
      </c>
      <c r="K68" s="191">
        <v>0</v>
      </c>
      <c r="L68"/>
      <c r="AK68" s="83"/>
      <c r="AL68" s="186"/>
      <c r="AM68" s="29"/>
      <c r="AN68" s="29"/>
      <c r="AO68" s="29"/>
      <c r="AP68" s="29"/>
      <c r="AQ68" s="29"/>
      <c r="AR68" s="29"/>
      <c r="AS68" s="5"/>
      <c r="AT68" s="5"/>
      <c r="AU68" s="5"/>
      <c r="AV68" s="5"/>
      <c r="AW68" s="5"/>
      <c r="AX68" s="5"/>
      <c r="AY68" s="214"/>
      <c r="AZ68" s="83"/>
      <c r="BA68" s="83"/>
      <c r="BB68" s="83"/>
      <c r="BC68" s="5"/>
    </row>
    <row r="69" spans="10:55" x14ac:dyDescent="0.25">
      <c r="J69" s="5">
        <v>2045</v>
      </c>
      <c r="K69" s="191">
        <v>0</v>
      </c>
      <c r="L69"/>
      <c r="AK69" s="83"/>
      <c r="AL69" s="186"/>
      <c r="AM69" s="29"/>
      <c r="AN69" s="29"/>
      <c r="AO69" s="29"/>
      <c r="AP69" s="29"/>
      <c r="AQ69" s="29"/>
      <c r="AR69" s="29"/>
      <c r="AS69" s="5"/>
      <c r="AT69" s="5"/>
      <c r="AU69" s="5"/>
      <c r="AV69" s="5"/>
      <c r="AW69" s="5"/>
      <c r="AX69" s="5"/>
      <c r="AY69" s="214"/>
      <c r="AZ69" s="83"/>
      <c r="BA69" s="83"/>
      <c r="BB69" s="83"/>
      <c r="BC69" s="5"/>
    </row>
    <row r="70" spans="10:55" x14ac:dyDescent="0.25">
      <c r="J70" s="5">
        <v>2046</v>
      </c>
      <c r="K70" s="191">
        <v>0</v>
      </c>
      <c r="L70"/>
      <c r="AK70" s="83"/>
      <c r="AL70" s="186"/>
      <c r="AM70" s="29"/>
      <c r="AN70" s="29"/>
      <c r="AO70" s="29"/>
      <c r="AP70" s="29"/>
      <c r="AQ70" s="29"/>
      <c r="AR70" s="29"/>
      <c r="AS70" s="5"/>
      <c r="AT70" s="5"/>
      <c r="AU70" s="5"/>
      <c r="AV70" s="5"/>
      <c r="AW70" s="5"/>
      <c r="AX70" s="5"/>
      <c r="AY70" s="214"/>
      <c r="AZ70" s="83"/>
      <c r="BA70" s="83"/>
      <c r="BB70" s="83"/>
      <c r="BC70" s="5"/>
    </row>
    <row r="71" spans="10:55" x14ac:dyDescent="0.25">
      <c r="J71" s="5">
        <v>2047</v>
      </c>
      <c r="K71" s="191">
        <v>0</v>
      </c>
      <c r="L71"/>
      <c r="AK71" s="83"/>
      <c r="AL71" s="186"/>
      <c r="AM71" s="29"/>
      <c r="AN71" s="29"/>
      <c r="AO71" s="29"/>
      <c r="AP71" s="29"/>
      <c r="AQ71" s="29"/>
      <c r="AR71" s="29"/>
      <c r="AS71" s="5"/>
      <c r="AT71" s="5"/>
      <c r="AU71" s="5"/>
      <c r="AV71" s="5"/>
      <c r="AW71" s="5"/>
      <c r="AX71" s="5"/>
      <c r="AY71" s="214"/>
      <c r="AZ71" s="83"/>
      <c r="BA71" s="83"/>
      <c r="BB71" s="83"/>
      <c r="BC71" s="5"/>
    </row>
    <row r="72" spans="10:55" x14ac:dyDescent="0.25">
      <c r="J72" s="5">
        <v>2048</v>
      </c>
      <c r="K72" s="191">
        <v>0</v>
      </c>
      <c r="L72"/>
      <c r="AK72" s="83"/>
      <c r="AL72" s="186"/>
      <c r="AM72" s="29"/>
      <c r="AN72" s="29"/>
      <c r="AO72" s="29"/>
      <c r="AP72" s="29"/>
      <c r="AQ72" s="29"/>
      <c r="AR72" s="29"/>
      <c r="AS72" s="5"/>
      <c r="AT72" s="5"/>
      <c r="AU72" s="5"/>
      <c r="AV72" s="5"/>
      <c r="AW72" s="5"/>
      <c r="AX72" s="5"/>
      <c r="AY72" s="214"/>
      <c r="AZ72" s="83"/>
      <c r="BA72" s="83"/>
      <c r="BB72" s="83"/>
      <c r="BC72" s="5"/>
    </row>
    <row r="73" spans="10:55" x14ac:dyDescent="0.25">
      <c r="J73" s="5">
        <v>2049</v>
      </c>
      <c r="K73" s="191">
        <v>0</v>
      </c>
      <c r="L73"/>
      <c r="AK73" s="83"/>
      <c r="AL73" s="186"/>
      <c r="AM73" s="29"/>
      <c r="AN73" s="29"/>
      <c r="AO73" s="29"/>
      <c r="AP73" s="29"/>
      <c r="AQ73" s="29"/>
      <c r="AR73" s="29"/>
      <c r="AS73" s="5"/>
      <c r="AT73" s="5"/>
      <c r="AU73" s="5"/>
      <c r="AV73" s="5"/>
      <c r="AW73" s="5"/>
      <c r="AX73" s="5"/>
      <c r="AY73" s="214"/>
      <c r="AZ73" s="83"/>
      <c r="BA73" s="83"/>
      <c r="BB73" s="83"/>
      <c r="BC73" s="5"/>
    </row>
    <row r="74" spans="10:55" x14ac:dyDescent="0.25">
      <c r="J74" s="5">
        <v>2050</v>
      </c>
      <c r="K74" s="191">
        <v>0</v>
      </c>
      <c r="L74"/>
      <c r="AK74" s="83"/>
      <c r="AL74" s="186"/>
      <c r="AM74" s="29"/>
      <c r="AN74" s="29"/>
      <c r="AO74" s="29"/>
      <c r="AP74" s="29"/>
      <c r="AQ74" s="29"/>
      <c r="AR74" s="29"/>
      <c r="AS74" s="5"/>
      <c r="AT74" s="5"/>
      <c r="AU74" s="5"/>
      <c r="AV74" s="5"/>
      <c r="AW74" s="5"/>
      <c r="AX74" s="5"/>
      <c r="AY74" s="214"/>
      <c r="AZ74" s="83"/>
      <c r="BA74" s="83"/>
      <c r="BB74" s="83"/>
      <c r="BC74" s="5"/>
    </row>
    <row r="75" spans="10:55" x14ac:dyDescent="0.25">
      <c r="J75" s="5">
        <v>2051</v>
      </c>
      <c r="K75" s="191">
        <v>0</v>
      </c>
      <c r="L75"/>
      <c r="AK75" s="83"/>
      <c r="AL75" s="186"/>
      <c r="AM75" s="29"/>
      <c r="AN75" s="29"/>
      <c r="AO75" s="29"/>
      <c r="AP75" s="29"/>
      <c r="AQ75" s="29"/>
      <c r="AR75" s="29"/>
      <c r="AS75" s="5"/>
      <c r="AT75" s="5"/>
      <c r="AU75" s="5"/>
      <c r="AV75" s="5"/>
      <c r="AW75" s="5"/>
      <c r="AX75" s="5"/>
      <c r="AY75" s="214"/>
      <c r="AZ75" s="83"/>
      <c r="BA75" s="83"/>
      <c r="BB75" s="83"/>
      <c r="BC75" s="5"/>
    </row>
    <row r="76" spans="10:55" x14ac:dyDescent="0.25">
      <c r="J76" s="5">
        <v>2052</v>
      </c>
      <c r="K76" s="191">
        <v>0</v>
      </c>
      <c r="L76"/>
      <c r="AK76" s="83"/>
      <c r="AL76" s="186"/>
      <c r="AM76" s="29"/>
      <c r="AN76" s="29"/>
      <c r="AO76" s="29"/>
      <c r="AP76" s="29"/>
      <c r="AQ76" s="29"/>
      <c r="AR76" s="29"/>
      <c r="AS76" s="5"/>
      <c r="AT76" s="5"/>
      <c r="AU76" s="5"/>
      <c r="AV76" s="5"/>
      <c r="AW76" s="5"/>
      <c r="AX76" s="5"/>
      <c r="AY76" s="214"/>
      <c r="AZ76" s="83"/>
      <c r="BA76" s="83"/>
      <c r="BB76" s="83"/>
      <c r="BC76" s="5"/>
    </row>
    <row r="77" spans="10:55" x14ac:dyDescent="0.25">
      <c r="J77" s="5">
        <v>2053</v>
      </c>
      <c r="K77" s="191">
        <v>0</v>
      </c>
      <c r="L77"/>
      <c r="AK77" s="83"/>
      <c r="AL77" s="186"/>
      <c r="AM77" s="29"/>
      <c r="AN77" s="29"/>
      <c r="AO77" s="29"/>
      <c r="AP77" s="29"/>
      <c r="AQ77" s="29"/>
      <c r="AR77" s="29"/>
      <c r="AS77" s="5"/>
      <c r="AT77" s="5"/>
      <c r="AU77" s="5"/>
      <c r="AV77" s="5"/>
      <c r="AW77" s="5"/>
      <c r="AX77" s="5"/>
      <c r="AY77" s="214"/>
      <c r="AZ77" s="83"/>
      <c r="BA77" s="83"/>
      <c r="BB77" s="83"/>
      <c r="BC77" s="5"/>
    </row>
    <row r="78" spans="10:55" x14ac:dyDescent="0.25">
      <c r="J78" s="5">
        <v>2054</v>
      </c>
      <c r="K78" s="191">
        <v>0</v>
      </c>
      <c r="L78"/>
      <c r="AK78" s="83"/>
      <c r="AL78" s="186"/>
      <c r="AM78" s="29"/>
      <c r="AN78" s="29"/>
      <c r="AO78" s="29"/>
      <c r="AP78" s="29"/>
      <c r="AQ78" s="29"/>
      <c r="AR78" s="29"/>
      <c r="AS78" s="5"/>
      <c r="AT78" s="5"/>
      <c r="AU78" s="5"/>
      <c r="AV78" s="5"/>
      <c r="AW78" s="5"/>
      <c r="AX78" s="5"/>
      <c r="AY78" s="214"/>
      <c r="AZ78" s="83"/>
      <c r="BA78" s="83"/>
      <c r="BB78" s="83"/>
      <c r="BC78" s="5"/>
    </row>
    <row r="79" spans="10:55" x14ac:dyDescent="0.25">
      <c r="J79" s="5">
        <v>2055</v>
      </c>
      <c r="K79" s="191">
        <v>0</v>
      </c>
      <c r="L79"/>
      <c r="AK79" s="83"/>
      <c r="AL79" s="186"/>
      <c r="AM79" s="29"/>
      <c r="AN79" s="29"/>
      <c r="AO79" s="29"/>
      <c r="AP79" s="29"/>
      <c r="AQ79" s="29"/>
      <c r="AR79" s="29"/>
      <c r="AS79" s="5"/>
      <c r="AT79" s="5"/>
      <c r="AU79" s="5"/>
      <c r="AV79" s="5"/>
      <c r="AW79" s="5"/>
      <c r="AX79" s="5"/>
      <c r="AY79" s="214"/>
      <c r="AZ79" s="83"/>
      <c r="BA79" s="83"/>
      <c r="BB79" s="83"/>
      <c r="BC79" s="5"/>
    </row>
    <row r="80" spans="10:55" x14ac:dyDescent="0.25">
      <c r="J80" s="5">
        <v>2056</v>
      </c>
      <c r="K80" s="191">
        <v>0</v>
      </c>
      <c r="L80"/>
      <c r="AK80" s="83"/>
      <c r="AL80" s="186"/>
      <c r="AM80" s="29"/>
      <c r="AN80" s="29"/>
      <c r="AO80" s="29"/>
      <c r="AP80" s="29"/>
      <c r="AQ80" s="29"/>
      <c r="AR80" s="29"/>
      <c r="AS80" s="5"/>
      <c r="AT80" s="5"/>
      <c r="AU80" s="5"/>
      <c r="AV80" s="5"/>
      <c r="AW80" s="5"/>
      <c r="AX80" s="5"/>
      <c r="AY80" s="214"/>
      <c r="AZ80" s="83"/>
      <c r="BA80" s="83"/>
      <c r="BB80" s="83"/>
      <c r="BC80" s="5"/>
    </row>
    <row r="81" spans="10:55" x14ac:dyDescent="0.25">
      <c r="J81" s="5">
        <v>2057</v>
      </c>
      <c r="K81" s="191">
        <v>0</v>
      </c>
      <c r="L81"/>
      <c r="AK81" s="83"/>
      <c r="AL81" s="186"/>
      <c r="AM81" s="29"/>
      <c r="AN81" s="29"/>
      <c r="AO81" s="29"/>
      <c r="AP81" s="29"/>
      <c r="AQ81" s="29"/>
      <c r="AR81" s="29"/>
      <c r="AS81" s="5"/>
      <c r="AT81" s="5"/>
      <c r="AU81" s="5"/>
      <c r="AV81" s="5"/>
      <c r="AW81" s="5"/>
      <c r="AX81" s="5"/>
      <c r="AY81" s="214"/>
      <c r="AZ81" s="83"/>
      <c r="BA81" s="83"/>
      <c r="BB81" s="83"/>
      <c r="BC81" s="5"/>
    </row>
    <row r="82" spans="10:55" x14ac:dyDescent="0.25">
      <c r="J82" s="5">
        <v>2058</v>
      </c>
      <c r="K82" s="191">
        <v>0</v>
      </c>
      <c r="L82"/>
      <c r="AK82" s="83"/>
      <c r="AL82" s="186"/>
      <c r="AM82" s="29"/>
      <c r="AN82" s="29"/>
      <c r="AO82" s="29"/>
      <c r="AP82" s="29"/>
      <c r="AQ82" s="29"/>
      <c r="AR82" s="29"/>
      <c r="AS82" s="5"/>
      <c r="AT82" s="5"/>
      <c r="AU82" s="5"/>
      <c r="AV82" s="5"/>
      <c r="AW82" s="5"/>
      <c r="AX82" s="5"/>
      <c r="AY82" s="214"/>
      <c r="AZ82" s="83"/>
      <c r="BA82" s="83"/>
      <c r="BB82" s="83"/>
      <c r="BC82" s="5"/>
    </row>
    <row r="83" spans="10:55" x14ac:dyDescent="0.25">
      <c r="J83" s="5">
        <v>2059</v>
      </c>
      <c r="K83" s="191">
        <v>0</v>
      </c>
      <c r="L83"/>
      <c r="AK83" s="83"/>
      <c r="AL83" s="186"/>
      <c r="AM83" s="29"/>
      <c r="AN83" s="29"/>
      <c r="AO83" s="29"/>
      <c r="AP83" s="29"/>
      <c r="AQ83" s="29"/>
      <c r="AR83" s="29"/>
      <c r="AS83" s="5"/>
      <c r="AT83" s="5"/>
      <c r="AU83" s="5"/>
      <c r="AV83" s="5"/>
      <c r="AW83" s="5"/>
      <c r="AX83" s="5"/>
      <c r="AY83" s="214"/>
      <c r="AZ83" s="83"/>
      <c r="BA83" s="83"/>
      <c r="BB83" s="83"/>
      <c r="BC83" s="5"/>
    </row>
    <row r="84" spans="10:55" x14ac:dyDescent="0.25">
      <c r="J84" s="5">
        <v>2060</v>
      </c>
      <c r="K84" s="191">
        <v>0</v>
      </c>
      <c r="L84"/>
      <c r="AK84" s="83"/>
      <c r="AL84" s="186"/>
      <c r="AM84" s="29"/>
      <c r="AN84" s="29"/>
      <c r="AO84" s="29"/>
      <c r="AP84" s="29"/>
      <c r="AQ84" s="29"/>
      <c r="AR84" s="29"/>
      <c r="AS84" s="5"/>
      <c r="AT84" s="5"/>
      <c r="AU84" s="5"/>
      <c r="AV84" s="5"/>
      <c r="AW84" s="5"/>
      <c r="AX84" s="5"/>
      <c r="AY84" s="214"/>
      <c r="AZ84" s="83"/>
      <c r="BA84" s="83"/>
      <c r="BB84" s="83"/>
      <c r="BC84" s="5"/>
    </row>
    <row r="85" spans="10:55" x14ac:dyDescent="0.25">
      <c r="J85" s="5">
        <v>2061</v>
      </c>
      <c r="K85" s="191">
        <v>0</v>
      </c>
      <c r="L85"/>
      <c r="AK85" s="83"/>
      <c r="AL85" s="186"/>
      <c r="AM85" s="29"/>
      <c r="AN85" s="29"/>
      <c r="AO85" s="29"/>
      <c r="AP85" s="29"/>
      <c r="AQ85" s="29"/>
      <c r="AR85" s="29"/>
      <c r="AS85" s="5"/>
      <c r="AT85" s="5"/>
      <c r="AU85" s="5"/>
      <c r="AV85" s="5"/>
      <c r="AW85" s="5"/>
      <c r="AX85" s="5"/>
      <c r="AY85" s="214"/>
      <c r="AZ85" s="83"/>
      <c r="BA85" s="83"/>
      <c r="BB85" s="83"/>
      <c r="BC85" s="5"/>
    </row>
    <row r="86" spans="10:55" x14ac:dyDescent="0.25">
      <c r="J86" s="5">
        <v>2062</v>
      </c>
      <c r="K86" s="191">
        <v>0</v>
      </c>
      <c r="L86"/>
      <c r="AK86" s="83"/>
      <c r="AL86" s="186"/>
      <c r="AM86" s="29"/>
      <c r="AN86" s="29"/>
      <c r="AO86" s="29"/>
      <c r="AP86" s="29"/>
      <c r="AQ86" s="29"/>
      <c r="AR86" s="29"/>
      <c r="AS86" s="5"/>
      <c r="AT86" s="5"/>
      <c r="AU86" s="5"/>
      <c r="AV86" s="5"/>
      <c r="AW86" s="5"/>
      <c r="AX86" s="5"/>
      <c r="AY86" s="214"/>
      <c r="AZ86" s="83"/>
      <c r="BA86" s="83"/>
      <c r="BB86" s="83"/>
      <c r="BC86" s="5"/>
    </row>
    <row r="87" spans="10:55" x14ac:dyDescent="0.25">
      <c r="J87" s="5">
        <v>2063</v>
      </c>
      <c r="K87" s="191">
        <v>0</v>
      </c>
      <c r="L87"/>
      <c r="AK87" s="83"/>
      <c r="AL87" s="186"/>
      <c r="AM87" s="29"/>
      <c r="AN87" s="29"/>
      <c r="AO87" s="29"/>
      <c r="AP87" s="29"/>
      <c r="AQ87" s="29"/>
      <c r="AR87" s="29"/>
      <c r="AS87" s="5"/>
      <c r="AT87" s="5"/>
      <c r="AU87" s="5"/>
      <c r="AV87" s="5"/>
      <c r="AW87" s="5"/>
      <c r="AX87" s="5"/>
      <c r="AY87" s="214"/>
      <c r="AZ87" s="83"/>
      <c r="BA87" s="83"/>
      <c r="BB87" s="83"/>
      <c r="BC87" s="5"/>
    </row>
    <row r="88" spans="10:55" x14ac:dyDescent="0.25">
      <c r="J88" s="5">
        <v>2064</v>
      </c>
      <c r="K88" s="191">
        <v>0</v>
      </c>
      <c r="L88"/>
      <c r="AK88" s="83"/>
      <c r="AL88" s="186"/>
      <c r="AM88" s="29"/>
      <c r="AN88" s="29"/>
      <c r="AO88" s="29"/>
      <c r="AP88" s="29"/>
      <c r="AQ88" s="29"/>
      <c r="AR88" s="29"/>
      <c r="AS88" s="5"/>
      <c r="AT88" s="5"/>
      <c r="AU88" s="5"/>
      <c r="AV88" s="5"/>
      <c r="AW88" s="5"/>
      <c r="AX88" s="5"/>
      <c r="AY88" s="214"/>
      <c r="AZ88" s="83"/>
      <c r="BA88" s="83"/>
      <c r="BB88" s="83"/>
      <c r="BC88" s="5"/>
    </row>
    <row r="89" spans="10:55" x14ac:dyDescent="0.25">
      <c r="J89" s="5">
        <v>2065</v>
      </c>
      <c r="K89" s="191">
        <v>0</v>
      </c>
      <c r="L89"/>
      <c r="AK89" s="83"/>
      <c r="AL89" s="186"/>
      <c r="AM89" s="29"/>
      <c r="AN89" s="29"/>
      <c r="AO89" s="29"/>
      <c r="AP89" s="29"/>
      <c r="AQ89" s="29"/>
      <c r="AR89" s="29"/>
      <c r="AS89" s="5"/>
      <c r="AT89" s="5"/>
      <c r="AU89" s="5"/>
      <c r="AV89" s="5"/>
      <c r="AW89" s="5"/>
      <c r="AX89" s="5"/>
      <c r="AY89" s="214"/>
      <c r="AZ89" s="83"/>
      <c r="BA89" s="83"/>
      <c r="BB89" s="83"/>
      <c r="BC89" s="5"/>
    </row>
    <row r="90" spans="10:55" x14ac:dyDescent="0.25">
      <c r="J90" s="5">
        <v>2066</v>
      </c>
      <c r="K90" s="191">
        <v>0</v>
      </c>
      <c r="L90"/>
      <c r="AK90" s="83"/>
      <c r="AL90" s="186"/>
      <c r="AM90" s="29"/>
      <c r="AN90" s="29"/>
      <c r="AO90" s="29"/>
      <c r="AP90" s="29"/>
      <c r="AQ90" s="29"/>
      <c r="AR90" s="29"/>
      <c r="AS90" s="5"/>
      <c r="AT90" s="5"/>
      <c r="AU90" s="5"/>
      <c r="AV90" s="5"/>
      <c r="AW90" s="5"/>
      <c r="AX90" s="5"/>
      <c r="AY90" s="214"/>
      <c r="AZ90" s="83"/>
      <c r="BA90" s="83"/>
      <c r="BB90" s="83"/>
      <c r="BC90" s="5"/>
    </row>
    <row r="91" spans="10:55" x14ac:dyDescent="0.25">
      <c r="J91" s="5">
        <v>2067</v>
      </c>
      <c r="K91" s="191">
        <v>0</v>
      </c>
      <c r="L91"/>
      <c r="AK91" s="83"/>
      <c r="AL91" s="186"/>
      <c r="AM91" s="29"/>
      <c r="AN91" s="29"/>
      <c r="AO91" s="29"/>
      <c r="AP91" s="29"/>
      <c r="AQ91" s="29"/>
      <c r="AR91" s="29"/>
      <c r="AS91" s="5"/>
      <c r="AT91" s="5"/>
      <c r="AU91" s="5"/>
      <c r="AV91" s="5"/>
      <c r="AW91" s="5"/>
      <c r="AX91" s="5"/>
      <c r="AY91" s="214"/>
      <c r="AZ91" s="83"/>
      <c r="BA91" s="83"/>
      <c r="BB91" s="83"/>
      <c r="BC91" s="5"/>
    </row>
    <row r="92" spans="10:55" x14ac:dyDescent="0.25">
      <c r="J92" s="5">
        <v>2068</v>
      </c>
      <c r="K92" s="191">
        <v>0</v>
      </c>
      <c r="L92"/>
      <c r="AK92" s="83"/>
      <c r="AL92" s="186"/>
      <c r="AM92" s="29"/>
      <c r="AN92" s="29"/>
      <c r="AO92" s="29"/>
      <c r="AP92" s="29"/>
      <c r="AQ92" s="29"/>
      <c r="AR92" s="29"/>
      <c r="AS92" s="5"/>
      <c r="AT92" s="5"/>
      <c r="AU92" s="5"/>
      <c r="AV92" s="5"/>
      <c r="AW92" s="5"/>
      <c r="AX92" s="5"/>
      <c r="AY92" s="214"/>
      <c r="AZ92" s="83"/>
      <c r="BA92" s="83"/>
      <c r="BB92" s="83"/>
      <c r="BC92" s="5"/>
    </row>
    <row r="93" spans="10:55" x14ac:dyDescent="0.25">
      <c r="J93" s="5">
        <v>2069</v>
      </c>
      <c r="K93" s="191">
        <v>0</v>
      </c>
      <c r="L93"/>
      <c r="AK93" s="83"/>
      <c r="AL93" s="186"/>
      <c r="AM93" s="29"/>
      <c r="AN93" s="29"/>
      <c r="AO93" s="29"/>
      <c r="AP93" s="29"/>
      <c r="AQ93" s="29"/>
      <c r="AR93" s="29"/>
      <c r="AS93" s="5"/>
      <c r="AT93" s="5"/>
      <c r="AU93" s="5"/>
      <c r="AV93" s="5"/>
      <c r="AW93" s="5"/>
      <c r="AX93" s="5"/>
      <c r="AY93" s="214"/>
      <c r="AZ93" s="83"/>
      <c r="BA93" s="83"/>
      <c r="BB93" s="83"/>
      <c r="BC93" s="5"/>
    </row>
    <row r="94" spans="10:55" x14ac:dyDescent="0.25">
      <c r="J94" s="5">
        <v>2070</v>
      </c>
      <c r="K94" s="191">
        <v>0</v>
      </c>
      <c r="L94"/>
      <c r="AK94" s="83"/>
      <c r="AL94" s="186"/>
      <c r="AM94" s="29"/>
      <c r="AN94" s="29"/>
      <c r="AO94" s="29"/>
      <c r="AP94" s="29"/>
      <c r="AQ94" s="29"/>
      <c r="AR94" s="29"/>
      <c r="AS94" s="5"/>
      <c r="AT94" s="5"/>
      <c r="AU94" s="5"/>
      <c r="AV94" s="5"/>
      <c r="AW94" s="5"/>
      <c r="AX94" s="5"/>
      <c r="AY94" s="214"/>
      <c r="AZ94" s="83"/>
      <c r="BA94" s="83"/>
      <c r="BB94" s="83"/>
      <c r="BC94" s="5"/>
    </row>
    <row r="95" spans="10:55" x14ac:dyDescent="0.25">
      <c r="J95" s="5">
        <v>2071</v>
      </c>
      <c r="K95" s="191">
        <v>0</v>
      </c>
      <c r="L95"/>
      <c r="AK95" s="83"/>
      <c r="AL95" s="186"/>
      <c r="AM95" s="29"/>
      <c r="AN95" s="29"/>
      <c r="AO95" s="29"/>
      <c r="AP95" s="29"/>
      <c r="AQ95" s="29"/>
      <c r="AR95" s="29"/>
      <c r="AS95" s="5"/>
      <c r="AT95" s="5"/>
      <c r="AU95" s="5"/>
      <c r="AV95" s="5"/>
      <c r="AW95" s="5"/>
      <c r="AX95" s="5"/>
      <c r="AY95" s="214"/>
      <c r="AZ95" s="83"/>
      <c r="BA95" s="83"/>
      <c r="BB95" s="83"/>
      <c r="BC95" s="5"/>
    </row>
    <row r="96" spans="10:55" x14ac:dyDescent="0.25">
      <c r="J96" s="5">
        <v>2072</v>
      </c>
      <c r="K96" s="191">
        <v>0</v>
      </c>
      <c r="L96"/>
      <c r="AK96" s="83"/>
      <c r="AL96" s="186"/>
      <c r="AM96" s="29"/>
      <c r="AN96" s="29"/>
      <c r="AO96" s="29"/>
      <c r="AP96" s="29"/>
      <c r="AQ96" s="29"/>
      <c r="AR96" s="29"/>
      <c r="AS96" s="5"/>
      <c r="AT96" s="5"/>
      <c r="AU96" s="5"/>
      <c r="AV96" s="5"/>
      <c r="AW96" s="5"/>
      <c r="AX96" s="5"/>
      <c r="AY96" s="214"/>
      <c r="AZ96" s="83"/>
      <c r="BA96" s="83"/>
      <c r="BB96" s="83"/>
      <c r="BC96" s="5"/>
    </row>
    <row r="97" spans="10:55" x14ac:dyDescent="0.25">
      <c r="J97" s="5">
        <v>2073</v>
      </c>
      <c r="K97" s="191">
        <v>0</v>
      </c>
      <c r="L97"/>
      <c r="AK97" s="83"/>
      <c r="AL97" s="186"/>
      <c r="AM97" s="29"/>
      <c r="AN97" s="29"/>
      <c r="AO97" s="29"/>
      <c r="AP97" s="29"/>
      <c r="AQ97" s="29"/>
      <c r="AR97" s="29"/>
      <c r="AS97" s="5"/>
      <c r="AT97" s="5"/>
      <c r="AU97" s="5"/>
      <c r="AV97" s="5"/>
      <c r="AW97" s="5"/>
      <c r="AX97" s="5"/>
      <c r="AY97" s="214"/>
      <c r="AZ97" s="83"/>
      <c r="BA97" s="83"/>
      <c r="BB97" s="83"/>
      <c r="BC97" s="5"/>
    </row>
    <row r="98" spans="10:55" x14ac:dyDescent="0.25">
      <c r="J98" s="5">
        <v>2074</v>
      </c>
      <c r="K98" s="191">
        <v>0</v>
      </c>
      <c r="L98"/>
      <c r="AK98" s="83"/>
      <c r="AL98" s="186"/>
      <c r="AM98" s="29"/>
      <c r="AN98" s="29"/>
      <c r="AO98" s="29"/>
      <c r="AP98" s="29"/>
      <c r="AQ98" s="29"/>
      <c r="AR98" s="29"/>
      <c r="AS98" s="5"/>
      <c r="AT98" s="5"/>
      <c r="AU98" s="5"/>
      <c r="AV98" s="5"/>
      <c r="AW98" s="5"/>
      <c r="AX98" s="5"/>
      <c r="AY98" s="214"/>
      <c r="AZ98" s="83"/>
      <c r="BA98" s="83"/>
      <c r="BB98" s="83"/>
      <c r="BC98" s="5"/>
    </row>
    <row r="99" spans="10:55" x14ac:dyDescent="0.25">
      <c r="J99" s="5">
        <v>2075</v>
      </c>
      <c r="K99" s="191">
        <v>0</v>
      </c>
      <c r="L99"/>
      <c r="AK99" s="83"/>
      <c r="AL99" s="186"/>
      <c r="AM99" s="29"/>
      <c r="AN99" s="29"/>
      <c r="AO99" s="29"/>
      <c r="AP99" s="29"/>
      <c r="AQ99" s="29"/>
      <c r="AR99" s="29"/>
      <c r="AS99" s="5"/>
      <c r="AT99" s="5"/>
      <c r="AU99" s="5"/>
      <c r="AV99" s="5"/>
      <c r="AW99" s="5"/>
      <c r="AX99" s="5"/>
      <c r="AY99" s="214"/>
      <c r="AZ99" s="83"/>
      <c r="BA99" s="83"/>
      <c r="BB99" s="83"/>
      <c r="BC99" s="5"/>
    </row>
    <row r="100" spans="10:55" x14ac:dyDescent="0.25">
      <c r="J100" s="5">
        <v>2076</v>
      </c>
      <c r="K100" s="191">
        <v>0</v>
      </c>
      <c r="L100"/>
      <c r="AK100" s="83"/>
      <c r="AL100" s="186"/>
      <c r="AM100" s="29"/>
      <c r="AN100" s="29"/>
      <c r="AO100" s="29"/>
      <c r="AP100" s="29"/>
      <c r="AQ100" s="29"/>
      <c r="AR100" s="29"/>
      <c r="AS100" s="5"/>
      <c r="AT100" s="5"/>
      <c r="AU100" s="5"/>
      <c r="AV100" s="5"/>
      <c r="AW100" s="5"/>
      <c r="AX100" s="5"/>
      <c r="AY100" s="214"/>
      <c r="AZ100" s="83"/>
      <c r="BA100" s="83"/>
      <c r="BB100" s="83"/>
      <c r="BC100" s="5"/>
    </row>
    <row r="101" spans="10:55" x14ac:dyDescent="0.25">
      <c r="J101" s="5">
        <v>2077</v>
      </c>
      <c r="K101" s="191">
        <v>0</v>
      </c>
      <c r="L101"/>
      <c r="AK101" s="83"/>
      <c r="AL101" s="186"/>
      <c r="AM101" s="29"/>
      <c r="AN101" s="29"/>
      <c r="AO101" s="29"/>
      <c r="AP101" s="29"/>
      <c r="AQ101" s="29"/>
      <c r="AR101" s="29"/>
      <c r="AS101" s="5"/>
      <c r="AT101" s="5"/>
      <c r="AU101" s="5"/>
      <c r="AV101" s="5"/>
      <c r="AW101" s="5"/>
      <c r="AX101" s="5"/>
      <c r="AY101" s="214"/>
      <c r="AZ101" s="83"/>
      <c r="BA101" s="83"/>
      <c r="BB101" s="83"/>
      <c r="BC101" s="5"/>
    </row>
    <row r="102" spans="10:55" x14ac:dyDescent="0.25">
      <c r="J102" s="5">
        <v>2078</v>
      </c>
      <c r="K102" s="191">
        <v>0</v>
      </c>
      <c r="L102"/>
      <c r="AK102" s="83"/>
      <c r="AL102" s="186"/>
      <c r="AM102" s="29"/>
      <c r="AN102" s="29"/>
      <c r="AO102" s="29"/>
      <c r="AP102" s="29"/>
      <c r="AQ102" s="29"/>
      <c r="AR102" s="29"/>
      <c r="AS102" s="5"/>
      <c r="AT102" s="5"/>
      <c r="AU102" s="5"/>
      <c r="AV102" s="5"/>
      <c r="AW102" s="5"/>
      <c r="AX102" s="5"/>
      <c r="AY102" s="214"/>
      <c r="AZ102" s="83"/>
      <c r="BA102" s="83"/>
      <c r="BB102" s="83"/>
      <c r="BC102" s="5"/>
    </row>
    <row r="103" spans="10:55" x14ac:dyDescent="0.25">
      <c r="J103" s="5">
        <v>2079</v>
      </c>
      <c r="K103" s="191">
        <v>0</v>
      </c>
      <c r="L103"/>
      <c r="AK103" s="83"/>
      <c r="AL103" s="186"/>
      <c r="AM103" s="29"/>
      <c r="AN103" s="29"/>
      <c r="AO103" s="29"/>
      <c r="AP103" s="29"/>
      <c r="AQ103" s="29"/>
      <c r="AR103" s="29"/>
      <c r="AS103" s="5"/>
      <c r="AT103" s="5"/>
      <c r="AU103" s="5"/>
      <c r="AV103" s="5"/>
      <c r="AW103" s="5"/>
      <c r="AX103" s="5"/>
      <c r="AY103" s="214"/>
      <c r="AZ103" s="83"/>
      <c r="BA103" s="83"/>
      <c r="BB103" s="83"/>
      <c r="BC103" s="5"/>
    </row>
    <row r="104" spans="10:55" x14ac:dyDescent="0.25">
      <c r="J104" s="5">
        <v>2080</v>
      </c>
      <c r="K104" s="191">
        <v>0</v>
      </c>
      <c r="L104"/>
      <c r="AK104" s="83"/>
      <c r="AL104" s="186"/>
      <c r="AM104" s="29"/>
      <c r="AN104" s="29"/>
      <c r="AO104" s="29"/>
      <c r="AP104" s="29"/>
      <c r="AQ104" s="29"/>
      <c r="AR104" s="29"/>
      <c r="AS104" s="5"/>
      <c r="AT104" s="5"/>
      <c r="AU104" s="5"/>
      <c r="AV104" s="5"/>
      <c r="AW104" s="5"/>
      <c r="AX104" s="5"/>
      <c r="AY104" s="214"/>
      <c r="AZ104" s="83"/>
      <c r="BA104" s="83"/>
      <c r="BB104" s="83"/>
      <c r="BC104" s="5"/>
    </row>
    <row r="105" spans="10:55" x14ac:dyDescent="0.25">
      <c r="J105" s="5">
        <v>2081</v>
      </c>
      <c r="K105" s="191">
        <v>0</v>
      </c>
      <c r="L105"/>
      <c r="AK105" s="83"/>
      <c r="AL105" s="186"/>
      <c r="AM105" s="29"/>
      <c r="AN105" s="29"/>
      <c r="AO105" s="29"/>
      <c r="AP105" s="29"/>
      <c r="AQ105" s="29"/>
      <c r="AR105" s="29"/>
      <c r="AS105" s="5"/>
      <c r="AT105" s="5"/>
      <c r="AU105" s="5"/>
      <c r="AV105" s="5"/>
      <c r="AW105" s="5"/>
      <c r="AX105" s="5"/>
      <c r="AY105" s="214"/>
      <c r="AZ105" s="83"/>
      <c r="BA105" s="83"/>
      <c r="BB105" s="83"/>
      <c r="BC105" s="5"/>
    </row>
    <row r="106" spans="10:55" x14ac:dyDescent="0.25">
      <c r="J106" s="5">
        <v>2082</v>
      </c>
      <c r="K106" s="191">
        <v>0</v>
      </c>
      <c r="L106"/>
      <c r="AK106" s="83"/>
      <c r="AL106" s="186"/>
      <c r="AM106" s="29"/>
      <c r="AN106" s="29"/>
      <c r="AO106" s="29"/>
      <c r="AP106" s="29"/>
      <c r="AQ106" s="29"/>
      <c r="AR106" s="29"/>
      <c r="AS106" s="5"/>
      <c r="AT106" s="5"/>
      <c r="AU106" s="5"/>
      <c r="AV106" s="5"/>
      <c r="AW106" s="5"/>
      <c r="AX106" s="5"/>
      <c r="AY106" s="214"/>
      <c r="AZ106" s="83"/>
      <c r="BA106" s="83"/>
      <c r="BB106" s="83"/>
      <c r="BC106" s="5"/>
    </row>
    <row r="107" spans="10:55" x14ac:dyDescent="0.25">
      <c r="J107" s="5">
        <v>2083</v>
      </c>
      <c r="K107" s="191">
        <v>0</v>
      </c>
      <c r="L107"/>
      <c r="AK107" s="83"/>
      <c r="AL107" s="186"/>
      <c r="AM107" s="29"/>
      <c r="AN107" s="29"/>
      <c r="AO107" s="29"/>
      <c r="AP107" s="29"/>
      <c r="AQ107" s="29"/>
      <c r="AR107" s="29"/>
      <c r="AS107" s="5"/>
      <c r="AT107" s="5"/>
      <c r="AU107" s="5"/>
      <c r="AV107" s="5"/>
      <c r="AW107" s="5"/>
      <c r="AX107" s="5"/>
      <c r="AY107" s="214"/>
      <c r="AZ107" s="83"/>
      <c r="BA107" s="83"/>
      <c r="BB107" s="83"/>
      <c r="BC107" s="5"/>
    </row>
    <row r="108" spans="10:55" x14ac:dyDescent="0.25">
      <c r="J108" s="5">
        <v>2084</v>
      </c>
      <c r="K108" s="191">
        <v>0</v>
      </c>
      <c r="L108"/>
      <c r="AK108" s="83"/>
      <c r="AL108" s="186"/>
      <c r="AM108" s="29"/>
      <c r="AN108" s="29"/>
      <c r="AO108" s="29"/>
      <c r="AP108" s="29"/>
      <c r="AQ108" s="29"/>
      <c r="AR108" s="29"/>
      <c r="AS108" s="5"/>
      <c r="AT108" s="5"/>
      <c r="AU108" s="5"/>
      <c r="AV108" s="5"/>
      <c r="AW108" s="5"/>
      <c r="AX108" s="5"/>
      <c r="AY108" s="214"/>
      <c r="AZ108" s="83"/>
      <c r="BA108" s="83"/>
      <c r="BB108" s="83"/>
      <c r="BC108" s="5"/>
    </row>
    <row r="109" spans="10:55" x14ac:dyDescent="0.25">
      <c r="J109" s="5">
        <v>2085</v>
      </c>
      <c r="K109" s="191">
        <v>0</v>
      </c>
      <c r="L109"/>
      <c r="AK109" s="83"/>
      <c r="AL109" s="186"/>
      <c r="AM109" s="29"/>
      <c r="AN109" s="29"/>
      <c r="AO109" s="29"/>
      <c r="AP109" s="29"/>
      <c r="AQ109" s="29"/>
      <c r="AR109" s="29"/>
      <c r="AS109" s="5"/>
      <c r="AT109" s="5"/>
      <c r="AU109" s="5"/>
      <c r="AV109" s="5"/>
      <c r="AW109" s="5"/>
      <c r="AX109" s="5"/>
      <c r="AY109" s="214"/>
      <c r="AZ109" s="83"/>
      <c r="BA109" s="83"/>
      <c r="BB109" s="83"/>
      <c r="BC109" s="5"/>
    </row>
    <row r="110" spans="10:55" x14ac:dyDescent="0.25">
      <c r="J110" s="5">
        <v>2086</v>
      </c>
      <c r="K110" s="191">
        <v>0</v>
      </c>
      <c r="L110"/>
      <c r="AK110" s="83"/>
      <c r="AL110" s="186"/>
      <c r="AM110" s="29"/>
      <c r="AN110" s="29"/>
      <c r="AO110" s="29"/>
      <c r="AP110" s="29"/>
      <c r="AQ110" s="29"/>
      <c r="AR110" s="29"/>
      <c r="AS110" s="5"/>
      <c r="AT110" s="5"/>
      <c r="AU110" s="5"/>
      <c r="AV110" s="5"/>
      <c r="AW110" s="5"/>
      <c r="AX110" s="5"/>
      <c r="AY110" s="214"/>
      <c r="AZ110" s="83"/>
      <c r="BA110" s="83"/>
      <c r="BB110" s="83"/>
      <c r="BC110" s="5"/>
    </row>
    <row r="111" spans="10:55" x14ac:dyDescent="0.25">
      <c r="J111" s="5">
        <v>2087</v>
      </c>
      <c r="K111" s="191">
        <v>0</v>
      </c>
      <c r="L111"/>
      <c r="AK111" s="83"/>
      <c r="AL111" s="186"/>
      <c r="AM111" s="29"/>
      <c r="AN111" s="29"/>
      <c r="AO111" s="29"/>
      <c r="AP111" s="29"/>
      <c r="AQ111" s="29"/>
      <c r="AR111" s="29"/>
      <c r="AS111" s="5"/>
      <c r="AT111" s="5"/>
      <c r="AU111" s="5"/>
      <c r="AV111" s="5"/>
      <c r="AW111" s="5"/>
      <c r="AX111" s="5"/>
      <c r="AY111" s="214"/>
      <c r="AZ111" s="83"/>
      <c r="BA111" s="83"/>
      <c r="BB111" s="83"/>
      <c r="BC111" s="5"/>
    </row>
    <row r="112" spans="10:55" x14ac:dyDescent="0.25">
      <c r="J112" s="5">
        <v>2088</v>
      </c>
      <c r="K112" s="191">
        <v>0</v>
      </c>
      <c r="L112"/>
      <c r="AK112" s="83"/>
      <c r="AL112" s="186"/>
      <c r="AM112" s="29"/>
      <c r="AN112" s="29"/>
      <c r="AO112" s="29"/>
      <c r="AP112" s="29"/>
      <c r="AQ112" s="29"/>
      <c r="AR112" s="29"/>
      <c r="AS112" s="5"/>
      <c r="AT112" s="5"/>
      <c r="AU112" s="5"/>
      <c r="AV112" s="5"/>
      <c r="AW112" s="5"/>
      <c r="AX112" s="5"/>
      <c r="AY112" s="214"/>
      <c r="AZ112" s="83"/>
      <c r="BA112" s="83"/>
      <c r="BB112" s="83"/>
      <c r="BC112" s="5"/>
    </row>
    <row r="113" spans="10:55" x14ac:dyDescent="0.25">
      <c r="J113" s="5">
        <v>2089</v>
      </c>
      <c r="K113" s="191">
        <v>0</v>
      </c>
      <c r="L113"/>
      <c r="AK113" s="83"/>
      <c r="AL113" s="186"/>
      <c r="AM113" s="29"/>
      <c r="AN113" s="29"/>
      <c r="AO113" s="29"/>
      <c r="AP113" s="29"/>
      <c r="AQ113" s="29"/>
      <c r="AR113" s="29"/>
      <c r="AS113" s="5"/>
      <c r="AT113" s="5"/>
      <c r="AU113" s="5"/>
      <c r="AV113" s="5"/>
      <c r="AW113" s="5"/>
      <c r="AX113" s="5"/>
      <c r="AY113" s="214"/>
      <c r="AZ113" s="83"/>
      <c r="BA113" s="83"/>
      <c r="BB113" s="83"/>
      <c r="BC113" s="5"/>
    </row>
    <row r="114" spans="10:55" x14ac:dyDescent="0.25">
      <c r="J114" s="5">
        <v>2090</v>
      </c>
      <c r="K114" s="191">
        <v>0</v>
      </c>
      <c r="L114"/>
      <c r="AK114" s="83"/>
      <c r="AL114" s="186"/>
      <c r="AM114" s="29"/>
      <c r="AN114" s="29"/>
      <c r="AO114" s="29"/>
      <c r="AP114" s="29"/>
      <c r="AQ114" s="29"/>
      <c r="AR114" s="29"/>
      <c r="AS114" s="5"/>
      <c r="AT114" s="5"/>
      <c r="AU114" s="5"/>
      <c r="AV114" s="5"/>
      <c r="AW114" s="5"/>
      <c r="AX114" s="5"/>
      <c r="AY114" s="214"/>
      <c r="AZ114" s="83"/>
      <c r="BA114" s="83"/>
      <c r="BB114" s="83"/>
      <c r="BC114" s="5"/>
    </row>
    <row r="115" spans="10:55" x14ac:dyDescent="0.25">
      <c r="J115" s="5">
        <v>2091</v>
      </c>
      <c r="K115" s="191">
        <v>0</v>
      </c>
      <c r="L115"/>
      <c r="AK115" s="83"/>
      <c r="AL115" s="186"/>
      <c r="AM115" s="29"/>
      <c r="AN115" s="29"/>
      <c r="AO115" s="29"/>
      <c r="AP115" s="29"/>
      <c r="AQ115" s="29"/>
      <c r="AR115" s="29"/>
      <c r="AS115" s="5"/>
      <c r="AT115" s="5"/>
      <c r="AU115" s="5"/>
      <c r="AV115" s="5"/>
      <c r="AW115" s="5"/>
      <c r="AX115" s="5"/>
      <c r="AY115" s="214"/>
      <c r="AZ115" s="83"/>
      <c r="BA115" s="83"/>
      <c r="BB115" s="83"/>
      <c r="BC115" s="5"/>
    </row>
    <row r="116" spans="10:55" x14ac:dyDescent="0.25">
      <c r="J116" s="5">
        <v>2092</v>
      </c>
      <c r="K116" s="191">
        <v>0</v>
      </c>
      <c r="L116"/>
      <c r="AK116" s="83"/>
      <c r="AL116" s="186"/>
      <c r="AM116" s="29"/>
      <c r="AN116" s="29"/>
      <c r="AO116" s="29"/>
      <c r="AP116" s="29"/>
      <c r="AQ116" s="29"/>
      <c r="AR116" s="29"/>
      <c r="AS116" s="5"/>
      <c r="AT116" s="5"/>
      <c r="AU116" s="5"/>
      <c r="AV116" s="5"/>
      <c r="AW116" s="5"/>
      <c r="AX116" s="5"/>
      <c r="AY116" s="214"/>
      <c r="AZ116" s="83"/>
      <c r="BA116" s="83"/>
      <c r="BB116" s="83"/>
      <c r="BC116" s="5"/>
    </row>
    <row r="117" spans="10:55" x14ac:dyDescent="0.25">
      <c r="J117" s="5">
        <v>2093</v>
      </c>
      <c r="K117" s="191">
        <v>0</v>
      </c>
      <c r="L117"/>
      <c r="AK117" s="83"/>
      <c r="AL117" s="186"/>
      <c r="AM117" s="29"/>
      <c r="AN117" s="29"/>
      <c r="AO117" s="29"/>
      <c r="AP117" s="29"/>
      <c r="AQ117" s="29"/>
      <c r="AR117" s="29"/>
      <c r="AS117" s="5"/>
      <c r="AT117" s="5"/>
      <c r="AU117" s="5"/>
      <c r="AV117" s="5"/>
      <c r="AW117" s="5"/>
      <c r="AX117" s="5"/>
      <c r="AY117" s="214"/>
      <c r="AZ117" s="83"/>
      <c r="BA117" s="83"/>
      <c r="BB117" s="83"/>
      <c r="BC117" s="5"/>
    </row>
    <row r="118" spans="10:55" x14ac:dyDescent="0.25">
      <c r="J118" s="5">
        <v>2094</v>
      </c>
      <c r="K118" s="191">
        <v>0</v>
      </c>
      <c r="L118"/>
      <c r="AK118" s="83"/>
      <c r="AL118" s="186"/>
      <c r="AM118" s="29"/>
      <c r="AN118" s="29"/>
      <c r="AO118" s="29"/>
      <c r="AP118" s="29"/>
      <c r="AQ118" s="29"/>
      <c r="AR118" s="29"/>
      <c r="AS118" s="5"/>
      <c r="AT118" s="5"/>
      <c r="AU118" s="5"/>
      <c r="AV118" s="5"/>
      <c r="AW118" s="5"/>
      <c r="AX118" s="5"/>
      <c r="AY118" s="214"/>
      <c r="AZ118" s="83"/>
      <c r="BA118" s="83"/>
      <c r="BB118" s="83"/>
      <c r="BC118" s="5"/>
    </row>
    <row r="119" spans="10:55" x14ac:dyDescent="0.25">
      <c r="J119" s="5">
        <v>2095</v>
      </c>
      <c r="K119" s="191">
        <v>0</v>
      </c>
      <c r="L119"/>
      <c r="AK119" s="83"/>
      <c r="AL119" s="186"/>
      <c r="AM119" s="29"/>
      <c r="AN119" s="29"/>
      <c r="AO119" s="29"/>
      <c r="AP119" s="29"/>
      <c r="AQ119" s="29"/>
      <c r="AR119" s="29"/>
      <c r="AS119" s="5"/>
      <c r="AT119" s="5"/>
      <c r="AU119" s="5"/>
      <c r="AV119" s="5"/>
      <c r="AW119" s="5"/>
      <c r="AX119" s="5"/>
      <c r="AY119" s="214"/>
      <c r="AZ119" s="83"/>
      <c r="BA119" s="83"/>
      <c r="BB119" s="83"/>
      <c r="BC119" s="5"/>
    </row>
    <row r="120" spans="10:55" x14ac:dyDescent="0.25">
      <c r="J120" s="5">
        <v>2096</v>
      </c>
      <c r="K120" s="191">
        <v>0</v>
      </c>
      <c r="L120"/>
      <c r="AK120" s="83"/>
      <c r="AL120" s="186"/>
      <c r="AM120" s="29"/>
      <c r="AN120" s="29"/>
      <c r="AO120" s="29"/>
      <c r="AP120" s="29"/>
      <c r="AQ120" s="29"/>
      <c r="AR120" s="29"/>
      <c r="AS120" s="5"/>
      <c r="AT120" s="5"/>
      <c r="AU120" s="5"/>
      <c r="AV120" s="5"/>
      <c r="AW120" s="5"/>
      <c r="AX120" s="5"/>
      <c r="AY120" s="214"/>
      <c r="AZ120" s="83"/>
      <c r="BA120" s="83"/>
      <c r="BB120" s="83"/>
      <c r="BC120" s="5"/>
    </row>
    <row r="121" spans="10:55" x14ac:dyDescent="0.25">
      <c r="J121" s="5">
        <v>2097</v>
      </c>
      <c r="K121" s="191">
        <v>0</v>
      </c>
      <c r="L121"/>
      <c r="AK121" s="83"/>
      <c r="AL121" s="186"/>
      <c r="AM121" s="29"/>
      <c r="AN121" s="29"/>
      <c r="AO121" s="29"/>
      <c r="AP121" s="29"/>
      <c r="AQ121" s="29"/>
      <c r="AR121" s="29"/>
      <c r="AS121" s="5"/>
      <c r="AT121" s="5"/>
      <c r="AU121" s="5"/>
      <c r="AV121" s="5"/>
      <c r="AW121" s="5"/>
      <c r="AX121" s="5"/>
      <c r="AY121" s="214"/>
      <c r="AZ121" s="83"/>
      <c r="BA121" s="83"/>
      <c r="BB121" s="83"/>
      <c r="BC121" s="5"/>
    </row>
    <row r="122" spans="10:55" x14ac:dyDescent="0.25">
      <c r="J122" s="5">
        <v>2098</v>
      </c>
      <c r="K122" s="191">
        <v>0</v>
      </c>
      <c r="L122"/>
      <c r="AK122" s="83"/>
      <c r="AL122" s="186"/>
      <c r="AM122" s="29"/>
      <c r="AN122" s="29"/>
      <c r="AO122" s="29"/>
      <c r="AP122" s="29"/>
      <c r="AQ122" s="29"/>
      <c r="AR122" s="29"/>
      <c r="AS122" s="5"/>
      <c r="AT122" s="5"/>
      <c r="AU122" s="5"/>
      <c r="AV122" s="5"/>
      <c r="AW122" s="5"/>
      <c r="AX122" s="5"/>
      <c r="AY122" s="214"/>
      <c r="AZ122" s="83"/>
      <c r="BA122" s="83"/>
      <c r="BB122" s="83"/>
      <c r="BC122" s="5"/>
    </row>
    <row r="123" spans="10:55" x14ac:dyDescent="0.25">
      <c r="J123" s="5">
        <v>2099</v>
      </c>
      <c r="K123" s="191">
        <v>0</v>
      </c>
      <c r="L123"/>
      <c r="AK123" s="83"/>
      <c r="AL123" s="186"/>
      <c r="AM123" s="29"/>
      <c r="AN123" s="29"/>
      <c r="AO123" s="29"/>
      <c r="AP123" s="29"/>
      <c r="AQ123" s="29"/>
      <c r="AR123" s="29"/>
      <c r="AS123" s="5"/>
      <c r="AT123" s="5"/>
      <c r="AU123" s="5"/>
      <c r="AV123" s="5"/>
      <c r="AW123" s="5"/>
      <c r="AX123" s="5"/>
      <c r="AY123" s="214"/>
      <c r="AZ123" s="83"/>
      <c r="BA123" s="83"/>
      <c r="BB123" s="83"/>
      <c r="BC123" s="5"/>
    </row>
    <row r="124" spans="10:55" x14ac:dyDescent="0.25">
      <c r="J124" s="5">
        <v>2100</v>
      </c>
      <c r="K124" s="191">
        <v>0</v>
      </c>
      <c r="L124"/>
      <c r="AK124" s="83"/>
      <c r="AL124" s="186"/>
      <c r="AM124" s="29"/>
      <c r="AN124" s="29"/>
      <c r="AO124" s="29"/>
      <c r="AP124" s="29"/>
      <c r="AQ124" s="29"/>
      <c r="AR124" s="29"/>
      <c r="AS124" s="5"/>
      <c r="AT124" s="5"/>
      <c r="AU124" s="5"/>
      <c r="AV124" s="5"/>
      <c r="AW124" s="5"/>
      <c r="AX124" s="5"/>
      <c r="AY124" s="214"/>
      <c r="AZ124" s="83"/>
      <c r="BA124" s="83"/>
      <c r="BB124" s="83"/>
      <c r="BC124" s="5"/>
    </row>
    <row r="125" spans="10:55" x14ac:dyDescent="0.25">
      <c r="J125" s="5"/>
      <c r="AK125" s="83"/>
      <c r="AL125" s="186"/>
      <c r="AM125" s="29"/>
      <c r="AN125" s="29"/>
      <c r="AO125" s="29"/>
      <c r="AP125" s="29"/>
      <c r="AQ125" s="29"/>
      <c r="AR125" s="29"/>
      <c r="AS125" s="5"/>
      <c r="AT125" s="5"/>
      <c r="AU125" s="5"/>
      <c r="AV125" s="5"/>
      <c r="AW125" s="5"/>
      <c r="AX125" s="5"/>
      <c r="AY125" s="214"/>
      <c r="AZ125" s="83"/>
      <c r="BA125" s="83"/>
      <c r="BB125" s="83"/>
      <c r="BC125" s="5"/>
    </row>
    <row r="126" spans="10:55" x14ac:dyDescent="0.25">
      <c r="AK126" s="83"/>
      <c r="AL126" s="186"/>
      <c r="AM126" s="29"/>
      <c r="AN126" s="29"/>
      <c r="AO126" s="29"/>
      <c r="AP126" s="29"/>
      <c r="AQ126" s="29"/>
      <c r="AR126" s="29"/>
      <c r="AS126" s="5"/>
      <c r="AT126" s="5"/>
      <c r="AU126" s="5"/>
      <c r="AV126" s="5"/>
      <c r="AW126" s="5"/>
      <c r="AX126" s="5"/>
      <c r="AY126" s="214"/>
      <c r="AZ126" s="83"/>
      <c r="BA126" s="83"/>
      <c r="BB126" s="83"/>
      <c r="BC126" s="5"/>
    </row>
    <row r="127" spans="10:55" x14ac:dyDescent="0.25">
      <c r="AK127" s="83"/>
      <c r="AL127" s="186"/>
      <c r="AM127" s="29"/>
      <c r="AN127" s="29"/>
      <c r="AO127" s="29"/>
      <c r="AP127" s="29"/>
      <c r="AQ127" s="29"/>
      <c r="AR127" s="29"/>
      <c r="AS127" s="5"/>
      <c r="AT127" s="5"/>
      <c r="AU127" s="5"/>
      <c r="AV127" s="5"/>
      <c r="AW127" s="5"/>
      <c r="AX127" s="5"/>
      <c r="AY127" s="214"/>
      <c r="AZ127" s="83"/>
      <c r="BA127" s="83"/>
      <c r="BB127" s="83"/>
      <c r="BC127" s="5"/>
    </row>
    <row r="128" spans="10:55" x14ac:dyDescent="0.25">
      <c r="AK128" s="83"/>
      <c r="AL128" s="186"/>
      <c r="AM128" s="29"/>
      <c r="AN128" s="29"/>
      <c r="AO128" s="29"/>
      <c r="AP128" s="29"/>
      <c r="AQ128" s="29"/>
      <c r="AR128" s="29"/>
      <c r="AS128" s="5"/>
      <c r="AT128" s="5"/>
      <c r="AU128" s="5"/>
      <c r="AV128" s="5"/>
      <c r="AW128" s="5"/>
      <c r="AX128" s="5"/>
      <c r="AY128" s="214"/>
      <c r="AZ128" s="83"/>
      <c r="BA128" s="83"/>
      <c r="BB128" s="83"/>
      <c r="BC128" s="5"/>
    </row>
    <row r="129" spans="37:55" x14ac:dyDescent="0.25">
      <c r="AK129" s="83"/>
      <c r="AL129" s="186"/>
      <c r="AM129" s="29"/>
      <c r="AN129" s="29"/>
      <c r="AO129" s="29"/>
      <c r="AP129" s="29"/>
      <c r="AQ129" s="29"/>
      <c r="AR129" s="29"/>
      <c r="AS129" s="5"/>
      <c r="AT129" s="5"/>
      <c r="AU129" s="5"/>
      <c r="AV129" s="5"/>
      <c r="AW129" s="5"/>
      <c r="AX129" s="5"/>
      <c r="AY129" s="214"/>
      <c r="AZ129" s="83"/>
      <c r="BA129" s="83"/>
      <c r="BB129" s="83"/>
      <c r="BC129" s="5"/>
    </row>
    <row r="130" spans="37:55" x14ac:dyDescent="0.25">
      <c r="AK130" s="83"/>
      <c r="AL130" s="186"/>
      <c r="AM130" s="29"/>
      <c r="AN130" s="29"/>
      <c r="AO130" s="29"/>
      <c r="AP130" s="29"/>
      <c r="AQ130" s="29"/>
      <c r="AR130" s="29"/>
      <c r="AS130" s="5"/>
      <c r="AT130" s="5"/>
      <c r="AU130" s="5"/>
      <c r="AV130" s="5"/>
      <c r="AW130" s="5"/>
      <c r="AX130" s="5"/>
      <c r="AY130" s="214"/>
      <c r="AZ130" s="83"/>
      <c r="BA130" s="83"/>
      <c r="BB130" s="83"/>
      <c r="BC130" s="5"/>
    </row>
    <row r="131" spans="37:55" x14ac:dyDescent="0.25">
      <c r="AK131" s="83"/>
      <c r="AL131" s="186"/>
      <c r="AM131" s="29"/>
      <c r="AN131" s="29"/>
      <c r="AO131" s="29"/>
      <c r="AP131" s="29"/>
      <c r="AQ131" s="29"/>
      <c r="AR131" s="29"/>
      <c r="AS131" s="5"/>
      <c r="AT131" s="5"/>
      <c r="AU131" s="5"/>
      <c r="AV131" s="5"/>
      <c r="AW131" s="5"/>
      <c r="AX131" s="5"/>
      <c r="AY131" s="214"/>
      <c r="AZ131" s="83"/>
      <c r="BA131" s="83"/>
      <c r="BB131" s="83"/>
      <c r="BC131" s="5"/>
    </row>
    <row r="132" spans="37:55" x14ac:dyDescent="0.25">
      <c r="AK132" s="83"/>
      <c r="AL132" s="186"/>
      <c r="AM132" s="29"/>
      <c r="AN132" s="29"/>
      <c r="AO132" s="29"/>
      <c r="AP132" s="29"/>
      <c r="AQ132" s="29"/>
      <c r="AR132" s="29"/>
      <c r="AS132" s="5"/>
      <c r="AT132" s="5"/>
      <c r="AU132" s="5"/>
      <c r="AV132" s="5"/>
      <c r="AW132" s="5"/>
      <c r="AX132" s="5"/>
      <c r="AY132" s="214"/>
      <c r="AZ132" s="83"/>
      <c r="BA132" s="83"/>
      <c r="BB132" s="83"/>
      <c r="BC132" s="5"/>
    </row>
    <row r="133" spans="37:55" x14ac:dyDescent="0.25">
      <c r="AK133" s="83"/>
      <c r="AL133" s="186"/>
      <c r="AM133" s="29"/>
      <c r="AN133" s="29"/>
      <c r="AO133" s="29"/>
      <c r="AP133" s="29"/>
      <c r="AQ133" s="29"/>
      <c r="AR133" s="29"/>
      <c r="AS133" s="5"/>
      <c r="AT133" s="5"/>
      <c r="AU133" s="5"/>
      <c r="AV133" s="5"/>
      <c r="AW133" s="5"/>
      <c r="AX133" s="5"/>
      <c r="AY133" s="214"/>
      <c r="AZ133" s="83"/>
      <c r="BA133" s="83"/>
      <c r="BB133" s="83"/>
      <c r="BC133" s="5"/>
    </row>
    <row r="134" spans="37:55" x14ac:dyDescent="0.25">
      <c r="AK134" s="83"/>
      <c r="AL134" s="186"/>
      <c r="AM134" s="29"/>
      <c r="AN134" s="29"/>
      <c r="AO134" s="29"/>
      <c r="AP134" s="29"/>
      <c r="AQ134" s="29"/>
      <c r="AR134" s="29"/>
      <c r="AS134" s="5"/>
      <c r="AT134" s="5"/>
      <c r="AU134" s="5"/>
      <c r="AV134" s="5"/>
      <c r="AW134" s="5"/>
      <c r="AX134" s="5"/>
      <c r="AY134" s="214"/>
      <c r="AZ134" s="83"/>
      <c r="BA134" s="83"/>
      <c r="BB134" s="83"/>
      <c r="BC134" s="5"/>
    </row>
    <row r="135" spans="37:55" x14ac:dyDescent="0.25">
      <c r="AK135" s="83"/>
      <c r="AL135" s="186"/>
      <c r="AM135" s="29"/>
      <c r="AN135" s="29"/>
      <c r="AO135" s="29"/>
      <c r="AP135" s="29"/>
      <c r="AQ135" s="29"/>
      <c r="AR135" s="29"/>
      <c r="AS135" s="5"/>
      <c r="AT135" s="5"/>
      <c r="AU135" s="5"/>
      <c r="AV135" s="5"/>
      <c r="AW135" s="5"/>
      <c r="AX135" s="5"/>
      <c r="AY135" s="214"/>
      <c r="AZ135" s="83"/>
      <c r="BA135" s="83"/>
      <c r="BB135" s="83"/>
      <c r="BC135" s="5"/>
    </row>
    <row r="136" spans="37:55" x14ac:dyDescent="0.25">
      <c r="AK136" s="83"/>
      <c r="AL136" s="186"/>
      <c r="AM136" s="29"/>
      <c r="AN136" s="29"/>
      <c r="AO136" s="29"/>
      <c r="AP136" s="29"/>
      <c r="AQ136" s="29"/>
      <c r="AR136" s="29"/>
      <c r="AS136" s="5"/>
      <c r="AT136" s="5"/>
      <c r="AU136" s="5"/>
      <c r="AV136" s="5"/>
      <c r="AW136" s="5"/>
      <c r="AX136" s="5"/>
      <c r="AY136" s="214"/>
      <c r="AZ136" s="83"/>
      <c r="BA136" s="83"/>
      <c r="BB136" s="83"/>
      <c r="BC136" s="5"/>
    </row>
    <row r="137" spans="37:55" x14ac:dyDescent="0.25">
      <c r="AK137" s="83"/>
      <c r="AL137" s="186"/>
      <c r="AM137" s="29"/>
      <c r="AN137" s="29"/>
      <c r="AO137" s="29"/>
      <c r="AP137" s="29"/>
      <c r="AQ137" s="29"/>
      <c r="AR137" s="29"/>
      <c r="AS137" s="5"/>
      <c r="AT137" s="5"/>
      <c r="AU137" s="5"/>
      <c r="AV137" s="5"/>
      <c r="AW137" s="5"/>
      <c r="AX137" s="5"/>
      <c r="AY137" s="214"/>
      <c r="AZ137" s="83"/>
      <c r="BA137" s="83"/>
      <c r="BB137" s="83"/>
      <c r="BC137" s="5"/>
    </row>
    <row r="138" spans="37:55" x14ac:dyDescent="0.25">
      <c r="AK138" s="83"/>
      <c r="AL138" s="186"/>
      <c r="AM138" s="29"/>
      <c r="AN138" s="29"/>
      <c r="AO138" s="29"/>
      <c r="AP138" s="29"/>
      <c r="AQ138" s="29"/>
      <c r="AR138" s="29"/>
      <c r="AS138" s="5"/>
      <c r="AT138" s="5"/>
      <c r="AU138" s="5"/>
      <c r="AV138" s="5"/>
      <c r="AW138" s="5"/>
      <c r="AX138" s="5"/>
      <c r="AY138" s="214"/>
      <c r="AZ138" s="83"/>
      <c r="BA138" s="83"/>
      <c r="BB138" s="83"/>
      <c r="BC138" s="5"/>
    </row>
    <row r="139" spans="37:55" x14ac:dyDescent="0.25">
      <c r="AK139" s="83"/>
      <c r="AL139" s="186"/>
      <c r="AM139" s="29"/>
      <c r="AN139" s="29"/>
      <c r="AO139" s="29"/>
      <c r="AP139" s="29"/>
      <c r="AQ139" s="29"/>
      <c r="AR139" s="29"/>
      <c r="AS139" s="5"/>
      <c r="AT139" s="5"/>
      <c r="AU139" s="5"/>
      <c r="AV139" s="5"/>
      <c r="AW139" s="5"/>
      <c r="AX139" s="5"/>
      <c r="AY139" s="214"/>
      <c r="AZ139" s="83"/>
      <c r="BA139" s="83"/>
      <c r="BB139" s="83"/>
      <c r="BC139" s="5"/>
    </row>
    <row r="140" spans="37:55" x14ac:dyDescent="0.25">
      <c r="AK140" s="83"/>
      <c r="AL140" s="186"/>
      <c r="AM140" s="29"/>
      <c r="AN140" s="29"/>
      <c r="AO140" s="29"/>
      <c r="AP140" s="29"/>
      <c r="AQ140" s="29"/>
      <c r="AR140" s="29"/>
      <c r="AS140" s="5"/>
      <c r="AT140" s="5"/>
      <c r="AU140" s="5"/>
      <c r="AV140" s="5"/>
      <c r="AW140" s="5"/>
      <c r="AX140" s="5"/>
      <c r="AY140" s="214"/>
      <c r="AZ140" s="83"/>
      <c r="BA140" s="83"/>
      <c r="BB140" s="83"/>
      <c r="BC140" s="5"/>
    </row>
    <row r="141" spans="37:55" x14ac:dyDescent="0.25">
      <c r="AK141" s="83"/>
      <c r="AL141" s="186"/>
      <c r="AM141" s="29"/>
      <c r="AN141" s="29"/>
      <c r="AO141" s="29"/>
      <c r="AP141" s="29"/>
      <c r="AQ141" s="29"/>
      <c r="AR141" s="29"/>
      <c r="AS141" s="5"/>
      <c r="AT141" s="5"/>
      <c r="AU141" s="5"/>
      <c r="AV141" s="5"/>
      <c r="AW141" s="5"/>
      <c r="AX141" s="5"/>
      <c r="AY141" s="214"/>
      <c r="AZ141" s="83"/>
      <c r="BA141" s="83"/>
      <c r="BB141" s="83"/>
      <c r="BC141" s="5"/>
    </row>
    <row r="142" spans="37:55" x14ac:dyDescent="0.25">
      <c r="AK142" s="83"/>
      <c r="AL142" s="186"/>
      <c r="AM142" s="29"/>
      <c r="AN142" s="29"/>
      <c r="AO142" s="29"/>
      <c r="AP142" s="29"/>
      <c r="AQ142" s="29"/>
      <c r="AR142" s="29"/>
      <c r="AS142" s="5"/>
      <c r="AT142" s="5"/>
      <c r="AU142" s="5"/>
      <c r="AV142" s="5"/>
      <c r="AW142" s="5"/>
      <c r="AX142" s="5"/>
      <c r="AY142" s="214"/>
      <c r="AZ142" s="83"/>
      <c r="BA142" s="83"/>
      <c r="BB142" s="83"/>
      <c r="BC142" s="5"/>
    </row>
    <row r="143" spans="37:55" x14ac:dyDescent="0.25">
      <c r="AK143" s="83"/>
      <c r="AL143" s="186"/>
      <c r="AM143" s="29"/>
      <c r="AN143" s="29"/>
      <c r="AO143" s="29"/>
      <c r="AP143" s="29"/>
      <c r="AQ143" s="29"/>
      <c r="AR143" s="29"/>
      <c r="AS143" s="5"/>
      <c r="AT143" s="5"/>
      <c r="AU143" s="5"/>
      <c r="AV143" s="5"/>
      <c r="AW143" s="5"/>
      <c r="AX143" s="5"/>
      <c r="AY143" s="214"/>
      <c r="AZ143" s="83"/>
      <c r="BA143" s="83"/>
      <c r="BB143" s="83"/>
      <c r="BC143" s="5"/>
    </row>
    <row r="144" spans="37:55" x14ac:dyDescent="0.25">
      <c r="AK144" s="83"/>
      <c r="AL144" s="186"/>
      <c r="AM144" s="29"/>
      <c r="AN144" s="29"/>
      <c r="AO144" s="29"/>
      <c r="AP144" s="29"/>
      <c r="AQ144" s="29"/>
      <c r="AR144" s="29"/>
      <c r="AS144" s="5"/>
      <c r="AT144" s="5"/>
      <c r="AU144" s="5"/>
      <c r="AV144" s="5"/>
      <c r="AW144" s="5"/>
      <c r="AX144" s="5"/>
      <c r="AY144" s="214"/>
      <c r="AZ144" s="83"/>
      <c r="BA144" s="83"/>
      <c r="BB144" s="83"/>
      <c r="BC144" s="5"/>
    </row>
    <row r="145" spans="37:55" x14ac:dyDescent="0.25">
      <c r="AK145" s="83"/>
      <c r="AL145" s="186"/>
      <c r="AM145" s="29"/>
      <c r="AN145" s="29"/>
      <c r="AO145" s="29"/>
      <c r="AP145" s="29"/>
      <c r="AQ145" s="29"/>
      <c r="AR145" s="29"/>
      <c r="AS145" s="5"/>
      <c r="AT145" s="5"/>
      <c r="AU145" s="5"/>
      <c r="AV145" s="5"/>
      <c r="AW145" s="5"/>
      <c r="AX145" s="5"/>
      <c r="AY145" s="214"/>
      <c r="AZ145" s="83"/>
      <c r="BA145" s="83"/>
      <c r="BB145" s="83"/>
      <c r="BC145" s="5"/>
    </row>
    <row r="146" spans="37:55" x14ac:dyDescent="0.25">
      <c r="AK146" s="83"/>
      <c r="AL146" s="186"/>
      <c r="AM146" s="29"/>
      <c r="AN146" s="29"/>
      <c r="AO146" s="29"/>
      <c r="AP146" s="29"/>
      <c r="AQ146" s="29"/>
      <c r="AR146" s="29"/>
      <c r="AS146" s="5"/>
      <c r="AT146" s="5"/>
      <c r="AU146" s="5"/>
      <c r="AV146" s="5"/>
      <c r="AW146" s="5"/>
      <c r="AX146" s="5"/>
      <c r="AY146" s="214"/>
      <c r="AZ146" s="83"/>
      <c r="BA146" s="83"/>
      <c r="BB146" s="83"/>
      <c r="BC146" s="5"/>
    </row>
    <row r="147" spans="37:55" x14ac:dyDescent="0.25">
      <c r="AK147" s="83"/>
      <c r="AL147" s="186"/>
      <c r="AM147" s="29"/>
      <c r="AN147" s="29"/>
      <c r="AO147" s="29"/>
      <c r="AP147" s="29"/>
      <c r="AQ147" s="29"/>
      <c r="AR147" s="29"/>
      <c r="AS147" s="5"/>
      <c r="AT147" s="5"/>
      <c r="AU147" s="5"/>
      <c r="AV147" s="5"/>
      <c r="AW147" s="5"/>
      <c r="AX147" s="5"/>
      <c r="AY147" s="214"/>
      <c r="AZ147" s="83"/>
      <c r="BA147" s="83"/>
      <c r="BB147" s="83"/>
      <c r="BC147" s="5"/>
    </row>
    <row r="148" spans="37:55" x14ac:dyDescent="0.25">
      <c r="AK148" s="83"/>
      <c r="AL148" s="186"/>
      <c r="AM148" s="29"/>
      <c r="AN148" s="29"/>
      <c r="AO148" s="29"/>
      <c r="AP148" s="29"/>
      <c r="AQ148" s="29"/>
      <c r="AR148" s="29"/>
      <c r="AS148" s="5"/>
      <c r="AT148" s="5"/>
      <c r="AU148" s="5"/>
      <c r="AV148" s="5"/>
      <c r="AW148" s="5"/>
      <c r="AX148" s="5"/>
      <c r="AY148" s="214"/>
      <c r="AZ148" s="83"/>
      <c r="BA148" s="83"/>
      <c r="BB148" s="83"/>
      <c r="BC148" s="5"/>
    </row>
    <row r="149" spans="37:55" x14ac:dyDescent="0.25">
      <c r="AK149" s="83"/>
      <c r="AL149" s="186"/>
      <c r="AM149" s="29"/>
      <c r="AN149" s="29"/>
      <c r="AO149" s="29"/>
      <c r="AP149" s="29"/>
      <c r="AQ149" s="29"/>
      <c r="AR149" s="29"/>
      <c r="AS149" s="5"/>
      <c r="AT149" s="5"/>
      <c r="AU149" s="5"/>
      <c r="AV149" s="5"/>
      <c r="AW149" s="5"/>
      <c r="AX149" s="5"/>
      <c r="AY149" s="214"/>
      <c r="AZ149" s="83"/>
      <c r="BA149" s="83"/>
      <c r="BB149" s="83"/>
      <c r="BC149" s="5"/>
    </row>
    <row r="150" spans="37:55" x14ac:dyDescent="0.25">
      <c r="AK150" s="83"/>
      <c r="AL150" s="186"/>
      <c r="AM150" s="29"/>
      <c r="AN150" s="29"/>
      <c r="AO150" s="29"/>
      <c r="AP150" s="29"/>
      <c r="AQ150" s="29"/>
      <c r="AR150" s="29"/>
      <c r="AS150" s="5"/>
      <c r="AT150" s="5"/>
      <c r="AU150" s="5"/>
      <c r="AV150" s="5"/>
      <c r="AW150" s="5"/>
      <c r="AX150" s="5"/>
      <c r="AY150" s="214"/>
      <c r="AZ150" s="83"/>
      <c r="BA150" s="83"/>
      <c r="BB150" s="83"/>
      <c r="BC150" s="5"/>
    </row>
    <row r="151" spans="37:55" x14ac:dyDescent="0.25">
      <c r="AK151" s="83"/>
      <c r="AL151" s="186"/>
      <c r="AM151" s="29"/>
      <c r="AN151" s="29"/>
      <c r="AO151" s="29"/>
      <c r="AP151" s="29"/>
      <c r="AQ151" s="29"/>
      <c r="AR151" s="29"/>
      <c r="AS151" s="5"/>
      <c r="AT151" s="5"/>
      <c r="AU151" s="5"/>
      <c r="AV151" s="5"/>
      <c r="AW151" s="5"/>
      <c r="AX151" s="5"/>
      <c r="AY151" s="214"/>
      <c r="AZ151" s="83"/>
      <c r="BA151" s="83"/>
      <c r="BB151" s="83"/>
      <c r="BC151" s="5"/>
    </row>
    <row r="152" spans="37:55" x14ac:dyDescent="0.25">
      <c r="AK152" s="83"/>
      <c r="AL152" s="186"/>
      <c r="AM152" s="29"/>
      <c r="AN152" s="29"/>
      <c r="AO152" s="29"/>
      <c r="AP152" s="29"/>
      <c r="AQ152" s="29"/>
      <c r="AR152" s="29"/>
      <c r="AS152" s="5"/>
      <c r="AT152" s="5"/>
      <c r="AU152" s="5"/>
      <c r="AV152" s="5"/>
      <c r="AW152" s="5"/>
      <c r="AX152" s="5"/>
      <c r="AY152" s="214"/>
      <c r="AZ152" s="83"/>
      <c r="BA152" s="83"/>
      <c r="BB152" s="83"/>
      <c r="BC152" s="5"/>
    </row>
    <row r="153" spans="37:55" x14ac:dyDescent="0.25">
      <c r="AK153" s="83"/>
      <c r="AL153" s="186"/>
      <c r="AM153" s="29"/>
      <c r="AN153" s="29"/>
      <c r="AO153" s="29"/>
      <c r="AP153" s="29"/>
      <c r="AQ153" s="29"/>
      <c r="AR153" s="29"/>
      <c r="AS153" s="5"/>
      <c r="AT153" s="5"/>
      <c r="AU153" s="5"/>
      <c r="AV153" s="5"/>
      <c r="AW153" s="5"/>
      <c r="AX153" s="5"/>
      <c r="AY153" s="214"/>
      <c r="AZ153" s="83"/>
      <c r="BA153" s="83"/>
      <c r="BB153" s="83"/>
      <c r="BC153" s="5"/>
    </row>
    <row r="154" spans="37:55" x14ac:dyDescent="0.25">
      <c r="AK154" s="83"/>
      <c r="AL154" s="186"/>
      <c r="AM154" s="29"/>
      <c r="AN154" s="29"/>
      <c r="AO154" s="29"/>
      <c r="AP154" s="29"/>
      <c r="AQ154" s="29"/>
      <c r="AR154" s="29"/>
      <c r="AS154" s="5"/>
      <c r="AT154" s="5"/>
      <c r="AU154" s="5"/>
      <c r="AV154" s="5"/>
      <c r="AW154" s="5"/>
      <c r="AX154" s="5"/>
      <c r="AY154" s="214"/>
      <c r="AZ154" s="83"/>
      <c r="BA154" s="83"/>
      <c r="BB154" s="83"/>
      <c r="BC154" s="5"/>
    </row>
    <row r="155" spans="37:55" x14ac:dyDescent="0.25">
      <c r="AK155" s="83"/>
      <c r="AL155" s="186"/>
      <c r="AM155" s="29"/>
      <c r="AN155" s="29"/>
      <c r="AO155" s="29"/>
      <c r="AP155" s="29"/>
      <c r="AQ155" s="29"/>
      <c r="AR155" s="29"/>
      <c r="AS155" s="5"/>
      <c r="AT155" s="5"/>
      <c r="AU155" s="5"/>
      <c r="AV155" s="5"/>
      <c r="AW155" s="5"/>
      <c r="AX155" s="5"/>
      <c r="AY155" s="214"/>
      <c r="AZ155" s="83"/>
      <c r="BA155" s="83"/>
      <c r="BB155" s="83"/>
      <c r="BC155" s="5"/>
    </row>
    <row r="156" spans="37:55" x14ac:dyDescent="0.25">
      <c r="AK156" s="83"/>
      <c r="AL156" s="186"/>
      <c r="AM156" s="29"/>
      <c r="AN156" s="29"/>
      <c r="AO156" s="29"/>
      <c r="AP156" s="29"/>
      <c r="AQ156" s="29"/>
      <c r="AR156" s="29"/>
      <c r="AS156" s="5"/>
      <c r="AT156" s="5"/>
      <c r="AU156" s="5"/>
      <c r="AV156" s="5"/>
      <c r="AW156" s="5"/>
      <c r="AX156" s="5"/>
      <c r="AY156" s="214"/>
      <c r="AZ156" s="83"/>
      <c r="BA156" s="83"/>
      <c r="BB156" s="83"/>
      <c r="BC156" s="5"/>
    </row>
    <row r="157" spans="37:55" x14ac:dyDescent="0.25">
      <c r="AK157" s="83"/>
      <c r="AL157" s="186"/>
      <c r="AM157" s="29"/>
      <c r="AN157" s="29"/>
      <c r="AO157" s="29"/>
      <c r="AP157" s="29"/>
      <c r="AQ157" s="29"/>
      <c r="AR157" s="29"/>
      <c r="AS157" s="5"/>
      <c r="AT157" s="5"/>
      <c r="AU157" s="5"/>
      <c r="AV157" s="5"/>
      <c r="AW157" s="5"/>
      <c r="AX157" s="5"/>
      <c r="AY157" s="214"/>
      <c r="AZ157" s="83"/>
      <c r="BA157" s="83"/>
      <c r="BB157" s="83"/>
      <c r="BC157" s="5"/>
    </row>
    <row r="158" spans="37:55" x14ac:dyDescent="0.25">
      <c r="AK158" s="83"/>
      <c r="AL158" s="186"/>
      <c r="AM158" s="29"/>
      <c r="AN158" s="29"/>
      <c r="AO158" s="29"/>
      <c r="AP158" s="29"/>
      <c r="AQ158" s="29"/>
      <c r="AR158" s="29"/>
      <c r="AS158" s="5"/>
      <c r="AT158" s="5"/>
      <c r="AU158" s="5"/>
      <c r="AV158" s="5"/>
      <c r="AW158" s="5"/>
      <c r="AX158" s="5"/>
      <c r="AY158" s="214"/>
      <c r="AZ158" s="83"/>
      <c r="BA158" s="83"/>
      <c r="BB158" s="83"/>
      <c r="BC158" s="5"/>
    </row>
    <row r="159" spans="37:55" x14ac:dyDescent="0.25">
      <c r="AK159" s="83"/>
      <c r="AL159" s="186"/>
      <c r="AM159" s="29"/>
      <c r="AN159" s="29"/>
      <c r="AO159" s="29"/>
      <c r="AP159" s="29"/>
      <c r="AQ159" s="29"/>
      <c r="AR159" s="29"/>
      <c r="AS159" s="5"/>
      <c r="AT159" s="5"/>
      <c r="AU159" s="5"/>
      <c r="AV159" s="5"/>
      <c r="AW159" s="5"/>
      <c r="AX159" s="5"/>
      <c r="AY159" s="214"/>
      <c r="AZ159" s="83"/>
      <c r="BA159" s="83"/>
      <c r="BB159" s="83"/>
      <c r="BC159" s="5"/>
    </row>
    <row r="160" spans="37:55" x14ac:dyDescent="0.25">
      <c r="AK160" s="83"/>
      <c r="AL160" s="186"/>
      <c r="AM160" s="29"/>
      <c r="AN160" s="29"/>
      <c r="AO160" s="29"/>
      <c r="AP160" s="29"/>
      <c r="AQ160" s="29"/>
      <c r="AR160" s="29"/>
      <c r="AS160" s="5"/>
      <c r="AT160" s="5"/>
      <c r="AU160" s="5"/>
      <c r="AV160" s="5"/>
      <c r="AW160" s="5"/>
      <c r="AX160" s="5"/>
      <c r="AY160" s="214"/>
      <c r="AZ160" s="83"/>
      <c r="BA160" s="83"/>
      <c r="BB160" s="83"/>
      <c r="BC160" s="5"/>
    </row>
    <row r="161" spans="37:55" x14ac:dyDescent="0.25">
      <c r="AK161" s="83"/>
      <c r="AL161" s="186"/>
      <c r="AM161" s="29"/>
      <c r="AN161" s="29"/>
      <c r="AO161" s="29"/>
      <c r="AP161" s="29"/>
      <c r="AQ161" s="29"/>
      <c r="AR161" s="29"/>
      <c r="AS161" s="5"/>
      <c r="AT161" s="5"/>
      <c r="AU161" s="5"/>
      <c r="AV161" s="5"/>
      <c r="AW161" s="5"/>
      <c r="AX161" s="5"/>
      <c r="AY161" s="214"/>
      <c r="AZ161" s="83"/>
      <c r="BA161" s="83"/>
      <c r="BB161" s="83"/>
      <c r="BC161" s="5"/>
    </row>
    <row r="162" spans="37:55" x14ac:dyDescent="0.25">
      <c r="AK162" s="83"/>
      <c r="AL162" s="186"/>
      <c r="AM162" s="29"/>
      <c r="AN162" s="29"/>
      <c r="AO162" s="29"/>
      <c r="AP162" s="29"/>
      <c r="AQ162" s="29"/>
      <c r="AR162" s="29"/>
      <c r="AS162" s="5"/>
      <c r="AT162" s="5"/>
      <c r="AU162" s="5"/>
      <c r="AV162" s="5"/>
      <c r="AW162" s="5"/>
      <c r="AX162" s="5"/>
      <c r="AY162" s="214"/>
      <c r="AZ162" s="83"/>
      <c r="BA162" s="83"/>
      <c r="BB162" s="83"/>
      <c r="BC162" s="5"/>
    </row>
    <row r="163" spans="37:55" x14ac:dyDescent="0.25">
      <c r="AK163" s="83"/>
      <c r="AL163" s="186"/>
      <c r="AM163" s="29"/>
      <c r="AN163" s="29"/>
      <c r="AO163" s="29"/>
      <c r="AP163" s="29"/>
      <c r="AQ163" s="29"/>
      <c r="AR163" s="29"/>
      <c r="AS163" s="5"/>
      <c r="AT163" s="5"/>
      <c r="AU163" s="5"/>
      <c r="AV163" s="5"/>
      <c r="AW163" s="5"/>
      <c r="AX163" s="5"/>
      <c r="AY163" s="214"/>
      <c r="AZ163" s="83"/>
      <c r="BA163" s="83"/>
      <c r="BB163" s="83"/>
      <c r="BC163" s="5"/>
    </row>
    <row r="164" spans="37:55" x14ac:dyDescent="0.25">
      <c r="AK164" s="83"/>
      <c r="AL164" s="186"/>
      <c r="AM164" s="29"/>
      <c r="AN164" s="29"/>
      <c r="AO164" s="29"/>
      <c r="AP164" s="29"/>
      <c r="AQ164" s="29"/>
      <c r="AR164" s="29"/>
      <c r="AS164" s="5"/>
      <c r="AT164" s="5"/>
      <c r="AU164" s="5"/>
      <c r="AV164" s="5"/>
      <c r="AW164" s="5"/>
      <c r="AX164" s="5"/>
      <c r="AY164" s="214"/>
      <c r="AZ164" s="83"/>
      <c r="BA164" s="83"/>
      <c r="BB164" s="83"/>
      <c r="BC164" s="5"/>
    </row>
    <row r="165" spans="37:55" x14ac:dyDescent="0.25">
      <c r="AK165" s="83"/>
      <c r="AL165" s="186"/>
      <c r="AM165" s="29"/>
      <c r="AN165" s="29"/>
      <c r="AO165" s="29"/>
      <c r="AP165" s="29"/>
      <c r="AQ165" s="29"/>
      <c r="AR165" s="29"/>
      <c r="AS165" s="5"/>
      <c r="AT165" s="5"/>
      <c r="AU165" s="5"/>
      <c r="AV165" s="5"/>
      <c r="AW165" s="5"/>
      <c r="AX165" s="5"/>
      <c r="AY165" s="214"/>
      <c r="AZ165" s="83"/>
      <c r="BA165" s="83"/>
      <c r="BB165" s="83"/>
      <c r="BC165" s="5"/>
    </row>
    <row r="166" spans="37:55" x14ac:dyDescent="0.25">
      <c r="AK166" s="83"/>
      <c r="AL166" s="186"/>
      <c r="AM166" s="29"/>
      <c r="AN166" s="29"/>
      <c r="AO166" s="29"/>
      <c r="AP166" s="29"/>
      <c r="AQ166" s="29"/>
      <c r="AR166" s="29"/>
      <c r="AS166" s="5"/>
      <c r="AT166" s="5"/>
      <c r="AU166" s="5"/>
      <c r="AV166" s="5"/>
      <c r="AW166" s="5"/>
      <c r="AX166" s="5"/>
      <c r="AY166" s="214"/>
      <c r="AZ166" s="83"/>
      <c r="BA166" s="83"/>
      <c r="BB166" s="83"/>
      <c r="BC166" s="5"/>
    </row>
    <row r="167" spans="37:55" x14ac:dyDescent="0.25">
      <c r="AK167" s="83"/>
      <c r="AL167" s="186"/>
      <c r="AM167" s="29"/>
      <c r="AN167" s="29"/>
      <c r="AO167" s="29"/>
      <c r="AP167" s="29"/>
      <c r="AQ167" s="29"/>
      <c r="AR167" s="29"/>
      <c r="AS167" s="5"/>
      <c r="AT167" s="5"/>
      <c r="AU167" s="5"/>
      <c r="AV167" s="5"/>
      <c r="AW167" s="5"/>
      <c r="AX167" s="5"/>
      <c r="AY167" s="214"/>
      <c r="AZ167" s="83"/>
      <c r="BA167" s="83"/>
      <c r="BB167" s="83"/>
      <c r="BC167" s="5"/>
    </row>
    <row r="168" spans="37:55" x14ac:dyDescent="0.25">
      <c r="AK168" s="83"/>
      <c r="AL168" s="186"/>
      <c r="AM168" s="29"/>
      <c r="AN168" s="29"/>
      <c r="AO168" s="29"/>
      <c r="AP168" s="29"/>
      <c r="AQ168" s="29"/>
      <c r="AR168" s="29"/>
      <c r="AS168" s="5"/>
      <c r="AT168" s="5"/>
      <c r="AU168" s="5"/>
      <c r="AV168" s="5"/>
      <c r="AW168" s="5"/>
      <c r="AX168" s="5"/>
      <c r="AY168" s="214"/>
      <c r="AZ168" s="83"/>
      <c r="BA168" s="83"/>
      <c r="BB168" s="83"/>
      <c r="BC168" s="5"/>
    </row>
    <row r="169" spans="37:55" x14ac:dyDescent="0.25">
      <c r="AK169" s="83"/>
      <c r="AL169" s="186"/>
      <c r="AM169" s="29"/>
      <c r="AN169" s="29"/>
      <c r="AO169" s="29"/>
      <c r="AP169" s="29"/>
      <c r="AQ169" s="29"/>
      <c r="AR169" s="29"/>
      <c r="AS169" s="5"/>
      <c r="AT169" s="5"/>
      <c r="AU169" s="5"/>
      <c r="AV169" s="5"/>
      <c r="AW169" s="5"/>
      <c r="AX169" s="5"/>
      <c r="AY169" s="214"/>
      <c r="AZ169" s="83"/>
      <c r="BA169" s="83"/>
      <c r="BB169" s="83"/>
      <c r="BC169" s="5"/>
    </row>
    <row r="170" spans="37:55" x14ac:dyDescent="0.25">
      <c r="AK170" s="83"/>
      <c r="AL170" s="186"/>
      <c r="AM170" s="29"/>
      <c r="AN170" s="29"/>
      <c r="AO170" s="29"/>
      <c r="AP170" s="29"/>
      <c r="AQ170" s="29"/>
      <c r="AR170" s="29"/>
      <c r="AS170" s="5"/>
      <c r="AT170" s="5"/>
      <c r="AU170" s="5"/>
      <c r="AV170" s="5"/>
      <c r="AW170" s="5"/>
      <c r="AX170" s="5"/>
      <c r="AY170" s="214"/>
      <c r="AZ170" s="83"/>
      <c r="BA170" s="83"/>
      <c r="BB170" s="83"/>
      <c r="BC170" s="5"/>
    </row>
    <row r="171" spans="37:55" x14ac:dyDescent="0.25">
      <c r="AK171" s="83"/>
      <c r="AL171" s="186"/>
      <c r="AM171" s="29"/>
      <c r="AN171" s="29"/>
      <c r="AO171" s="29"/>
      <c r="AP171" s="29"/>
      <c r="AQ171" s="29"/>
      <c r="AR171" s="29"/>
      <c r="AS171" s="5"/>
      <c r="AT171" s="5"/>
      <c r="AU171" s="5"/>
      <c r="AV171" s="5"/>
      <c r="AW171" s="5"/>
      <c r="AX171" s="5"/>
      <c r="AY171" s="214"/>
      <c r="AZ171" s="83"/>
      <c r="BA171" s="83"/>
      <c r="BB171" s="83"/>
      <c r="BC171" s="5"/>
    </row>
    <row r="172" spans="37:55" x14ac:dyDescent="0.25">
      <c r="AK172" s="83"/>
      <c r="AL172" s="186"/>
      <c r="AM172" s="29"/>
      <c r="AN172" s="29"/>
      <c r="AO172" s="29"/>
      <c r="AP172" s="29"/>
      <c r="AQ172" s="29"/>
      <c r="AR172" s="29"/>
      <c r="AS172" s="5"/>
      <c r="AT172" s="5"/>
      <c r="AU172" s="5"/>
      <c r="AV172" s="5"/>
      <c r="AW172" s="5"/>
      <c r="AX172" s="5"/>
      <c r="AY172" s="214"/>
      <c r="AZ172" s="83"/>
      <c r="BA172" s="83"/>
      <c r="BB172" s="83"/>
      <c r="BC172" s="5"/>
    </row>
    <row r="173" spans="37:55" x14ac:dyDescent="0.25">
      <c r="AK173" s="83"/>
      <c r="AL173" s="186"/>
      <c r="AM173" s="29"/>
      <c r="AN173" s="29"/>
      <c r="AO173" s="29"/>
      <c r="AP173" s="29"/>
      <c r="AQ173" s="29"/>
      <c r="AR173" s="29"/>
      <c r="AS173" s="5"/>
      <c r="AT173" s="5"/>
      <c r="AU173" s="5"/>
      <c r="AV173" s="5"/>
      <c r="AW173" s="5"/>
      <c r="AX173" s="5"/>
      <c r="AY173" s="214"/>
      <c r="AZ173" s="83"/>
      <c r="BA173" s="83"/>
      <c r="BB173" s="83"/>
      <c r="BC173" s="5"/>
    </row>
    <row r="174" spans="37:55" x14ac:dyDescent="0.25">
      <c r="AK174" s="83"/>
      <c r="AL174" s="186"/>
      <c r="AM174" s="29"/>
      <c r="AN174" s="29"/>
      <c r="AO174" s="29"/>
      <c r="AP174" s="29"/>
      <c r="AQ174" s="29"/>
      <c r="AR174" s="29"/>
      <c r="AS174" s="5"/>
      <c r="AT174" s="5"/>
      <c r="AU174" s="5"/>
      <c r="AV174" s="5"/>
      <c r="AW174" s="5"/>
      <c r="AX174" s="5"/>
      <c r="AY174" s="214"/>
      <c r="AZ174" s="83"/>
      <c r="BA174" s="83"/>
      <c r="BB174" s="83"/>
      <c r="BC174" s="5"/>
    </row>
    <row r="175" spans="37:55" x14ac:dyDescent="0.25">
      <c r="AK175" s="83"/>
      <c r="AL175" s="186"/>
      <c r="AM175" s="29"/>
      <c r="AN175" s="29"/>
      <c r="AO175" s="29"/>
      <c r="AP175" s="29"/>
      <c r="AQ175" s="29"/>
      <c r="AR175" s="29"/>
      <c r="AS175" s="5"/>
      <c r="AT175" s="5"/>
      <c r="AU175" s="5"/>
      <c r="AV175" s="5"/>
      <c r="AW175" s="5"/>
      <c r="AX175" s="5"/>
      <c r="AY175" s="214"/>
      <c r="AZ175" s="83"/>
      <c r="BA175" s="83"/>
      <c r="BB175" s="83"/>
      <c r="BC175" s="5"/>
    </row>
    <row r="176" spans="37:55" x14ac:dyDescent="0.25">
      <c r="AK176" s="83"/>
      <c r="AL176" s="186"/>
      <c r="AM176" s="29"/>
      <c r="AN176" s="29"/>
      <c r="AO176" s="29"/>
      <c r="AP176" s="29"/>
      <c r="AQ176" s="29"/>
      <c r="AR176" s="29"/>
      <c r="AS176" s="5"/>
      <c r="AT176" s="5"/>
      <c r="AU176" s="5"/>
      <c r="AV176" s="5"/>
      <c r="AW176" s="5"/>
      <c r="AX176" s="5"/>
      <c r="AY176" s="214"/>
      <c r="AZ176" s="83"/>
      <c r="BA176" s="83"/>
      <c r="BB176" s="83"/>
      <c r="BC176" s="5"/>
    </row>
    <row r="177" spans="37:55" x14ac:dyDescent="0.25">
      <c r="AK177" s="83"/>
      <c r="AL177" s="186"/>
      <c r="AM177" s="29"/>
      <c r="AN177" s="29"/>
      <c r="AO177" s="29"/>
      <c r="AP177" s="29"/>
      <c r="AQ177" s="29"/>
      <c r="AR177" s="29"/>
      <c r="AS177" s="5"/>
      <c r="AT177" s="5"/>
      <c r="AU177" s="5"/>
      <c r="AV177" s="5"/>
      <c r="AW177" s="5"/>
      <c r="AX177" s="5"/>
      <c r="AY177" s="214"/>
      <c r="AZ177" s="83"/>
      <c r="BA177" s="83"/>
      <c r="BB177" s="83"/>
      <c r="BC177" s="5"/>
    </row>
    <row r="178" spans="37:55" x14ac:dyDescent="0.25">
      <c r="AK178" s="83"/>
      <c r="AL178" s="186"/>
      <c r="AM178" s="29"/>
      <c r="AN178" s="29"/>
      <c r="AO178" s="29"/>
      <c r="AP178" s="29"/>
      <c r="AQ178" s="29"/>
      <c r="AR178" s="29"/>
      <c r="AS178" s="5"/>
      <c r="AT178" s="5"/>
      <c r="AU178" s="5"/>
      <c r="AV178" s="5"/>
      <c r="AW178" s="5"/>
      <c r="AX178" s="5"/>
      <c r="AY178" s="214"/>
      <c r="AZ178" s="83"/>
      <c r="BA178" s="83"/>
      <c r="BB178" s="83"/>
      <c r="BC178" s="5"/>
    </row>
    <row r="179" spans="37:55" x14ac:dyDescent="0.25">
      <c r="AK179" s="83"/>
      <c r="AL179" s="186"/>
      <c r="AM179" s="29"/>
      <c r="AN179" s="29"/>
      <c r="AO179" s="29"/>
      <c r="AP179" s="29"/>
      <c r="AQ179" s="29"/>
      <c r="AR179" s="29"/>
      <c r="AS179" s="5"/>
      <c r="AT179" s="5"/>
      <c r="AU179" s="5"/>
      <c r="AV179" s="5"/>
      <c r="AW179" s="5"/>
      <c r="AX179" s="5"/>
      <c r="AY179" s="214"/>
      <c r="AZ179" s="83"/>
      <c r="BA179" s="83"/>
      <c r="BB179" s="83"/>
      <c r="BC179" s="5"/>
    </row>
    <row r="180" spans="37:55" x14ac:dyDescent="0.25">
      <c r="AK180" s="83"/>
      <c r="AL180" s="186"/>
      <c r="AM180" s="29"/>
      <c r="AN180" s="29"/>
      <c r="AO180" s="29"/>
      <c r="AP180" s="29"/>
      <c r="AQ180" s="29"/>
      <c r="AR180" s="29"/>
      <c r="AS180" s="5"/>
      <c r="AT180" s="5"/>
      <c r="AU180" s="5"/>
      <c r="AV180" s="5"/>
      <c r="AW180" s="5"/>
      <c r="AX180" s="5"/>
      <c r="AY180" s="214"/>
      <c r="AZ180" s="83"/>
      <c r="BA180" s="83"/>
      <c r="BB180" s="83"/>
      <c r="BC180" s="5"/>
    </row>
    <row r="181" spans="37:55" x14ac:dyDescent="0.25">
      <c r="AK181" s="83"/>
      <c r="AL181" s="186"/>
      <c r="AM181" s="29"/>
      <c r="AN181" s="29"/>
      <c r="AO181" s="29"/>
      <c r="AP181" s="29"/>
      <c r="AQ181" s="29"/>
      <c r="AR181" s="29"/>
      <c r="AS181" s="5"/>
      <c r="AT181" s="5"/>
      <c r="AU181" s="5"/>
      <c r="AV181" s="5"/>
      <c r="AW181" s="5"/>
      <c r="AX181" s="5"/>
      <c r="AY181" s="214"/>
      <c r="AZ181" s="83"/>
      <c r="BA181" s="83"/>
      <c r="BB181" s="83"/>
      <c r="BC181" s="5"/>
    </row>
    <row r="182" spans="37:55" x14ac:dyDescent="0.25">
      <c r="AK182" s="83"/>
      <c r="AL182" s="186"/>
      <c r="AM182" s="29"/>
      <c r="AN182" s="29"/>
      <c r="AO182" s="29"/>
      <c r="AP182" s="29"/>
      <c r="AQ182" s="29"/>
      <c r="AR182" s="29"/>
      <c r="AS182" s="5"/>
      <c r="AT182" s="5"/>
      <c r="AU182" s="5"/>
      <c r="AV182" s="5"/>
      <c r="AW182" s="5"/>
      <c r="AX182" s="5"/>
      <c r="AY182" s="214"/>
      <c r="AZ182" s="83"/>
      <c r="BA182" s="83"/>
      <c r="BB182" s="83"/>
      <c r="BC182" s="5"/>
    </row>
    <row r="183" spans="37:55" x14ac:dyDescent="0.25">
      <c r="AK183" s="83"/>
      <c r="AL183" s="186"/>
      <c r="AM183" s="29"/>
      <c r="AN183" s="29"/>
      <c r="AO183" s="29"/>
      <c r="AP183" s="29"/>
      <c r="AQ183" s="29"/>
      <c r="AR183" s="29"/>
      <c r="AS183" s="5"/>
      <c r="AT183" s="5"/>
      <c r="AU183" s="5"/>
      <c r="AV183" s="5"/>
      <c r="AW183" s="5"/>
      <c r="AX183" s="5"/>
      <c r="AY183" s="214"/>
      <c r="AZ183" s="83"/>
      <c r="BA183" s="83"/>
      <c r="BB183" s="83"/>
      <c r="BC183" s="5"/>
    </row>
    <row r="184" spans="37:55" x14ac:dyDescent="0.25">
      <c r="AK184" s="83"/>
      <c r="AL184" s="186"/>
      <c r="AM184" s="29"/>
      <c r="AN184" s="29"/>
      <c r="AO184" s="29"/>
      <c r="AP184" s="29"/>
      <c r="AQ184" s="29"/>
      <c r="AR184" s="29"/>
      <c r="AS184" s="5"/>
      <c r="AT184" s="5"/>
      <c r="AU184" s="5"/>
      <c r="AV184" s="5"/>
      <c r="AW184" s="5"/>
      <c r="AX184" s="5"/>
      <c r="AY184" s="214"/>
      <c r="AZ184" s="83"/>
      <c r="BA184" s="83"/>
      <c r="BB184" s="83"/>
      <c r="BC184" s="5"/>
    </row>
    <row r="185" spans="37:55" x14ac:dyDescent="0.25">
      <c r="AK185" s="83"/>
      <c r="AL185" s="186"/>
      <c r="AM185" s="29"/>
      <c r="AN185" s="29"/>
      <c r="AO185" s="29"/>
      <c r="AP185" s="29"/>
      <c r="AQ185" s="29"/>
      <c r="AR185" s="29"/>
      <c r="AS185" s="5"/>
      <c r="AT185" s="5"/>
      <c r="AU185" s="5"/>
      <c r="AV185" s="5"/>
      <c r="AW185" s="5"/>
      <c r="AX185" s="5"/>
      <c r="AY185" s="214"/>
      <c r="AZ185" s="83"/>
      <c r="BA185" s="83"/>
      <c r="BB185" s="83"/>
      <c r="BC185" s="5"/>
    </row>
    <row r="186" spans="37:55" x14ac:dyDescent="0.25">
      <c r="AK186" s="83"/>
      <c r="AL186" s="186"/>
      <c r="AM186" s="29"/>
      <c r="AN186" s="29"/>
      <c r="AO186" s="29"/>
      <c r="AP186" s="29"/>
      <c r="AQ186" s="29"/>
      <c r="AR186" s="29"/>
      <c r="AS186" s="5"/>
      <c r="AT186" s="5"/>
      <c r="AU186" s="5"/>
      <c r="AV186" s="5"/>
      <c r="AW186" s="5"/>
      <c r="AX186" s="5"/>
      <c r="AY186" s="214"/>
      <c r="AZ186" s="83"/>
      <c r="BA186" s="83"/>
      <c r="BB186" s="83"/>
      <c r="BC186" s="5"/>
    </row>
    <row r="187" spans="37:55" x14ac:dyDescent="0.25">
      <c r="AK187" s="83"/>
      <c r="AL187" s="186"/>
      <c r="AM187" s="29"/>
      <c r="AN187" s="29"/>
      <c r="AO187" s="29"/>
      <c r="AP187" s="29"/>
      <c r="AQ187" s="29"/>
      <c r="AR187" s="29"/>
      <c r="AS187" s="5"/>
      <c r="AT187" s="5"/>
      <c r="AU187" s="5"/>
      <c r="AV187" s="5"/>
      <c r="AW187" s="5"/>
      <c r="AX187" s="5"/>
      <c r="AY187" s="214"/>
      <c r="AZ187" s="83"/>
      <c r="BA187" s="83"/>
      <c r="BB187" s="83"/>
      <c r="BC187" s="5"/>
    </row>
    <row r="188" spans="37:55" x14ac:dyDescent="0.25">
      <c r="AK188" s="83"/>
      <c r="AL188" s="186"/>
      <c r="AM188" s="29"/>
      <c r="AN188" s="29"/>
      <c r="AO188" s="29"/>
      <c r="AP188" s="29"/>
      <c r="AQ188" s="29"/>
      <c r="AR188" s="29"/>
      <c r="AS188" s="5"/>
      <c r="AT188" s="5"/>
      <c r="AU188" s="5"/>
      <c r="AV188" s="5"/>
      <c r="AW188" s="5"/>
      <c r="AX188" s="5"/>
      <c r="AY188" s="214"/>
      <c r="AZ188" s="83"/>
      <c r="BA188" s="83"/>
      <c r="BB188" s="83"/>
      <c r="BC188" s="5"/>
    </row>
    <row r="189" spans="37:55" x14ac:dyDescent="0.25">
      <c r="AK189" s="83"/>
      <c r="AL189" s="186"/>
      <c r="AM189" s="29"/>
      <c r="AN189" s="29"/>
      <c r="AO189" s="29"/>
      <c r="AP189" s="29"/>
      <c r="AQ189" s="29"/>
      <c r="AR189" s="29"/>
      <c r="AS189" s="5"/>
      <c r="AT189" s="5"/>
      <c r="AU189" s="5"/>
      <c r="AV189" s="5"/>
      <c r="AW189" s="5"/>
      <c r="AX189" s="5"/>
      <c r="AY189" s="214"/>
      <c r="AZ189" s="83"/>
      <c r="BA189" s="83"/>
      <c r="BB189" s="83"/>
      <c r="BC189" s="5"/>
    </row>
    <row r="190" spans="37:55" x14ac:dyDescent="0.25">
      <c r="AK190" s="83"/>
      <c r="AL190" s="186"/>
      <c r="AM190" s="29"/>
      <c r="AN190" s="29"/>
      <c r="AO190" s="29"/>
      <c r="AP190" s="29"/>
      <c r="AQ190" s="29"/>
      <c r="AR190" s="29"/>
      <c r="AS190" s="5"/>
      <c r="AT190" s="5"/>
      <c r="AU190" s="5"/>
      <c r="AV190" s="5"/>
      <c r="AW190" s="5"/>
      <c r="AX190" s="5"/>
      <c r="AY190" s="214"/>
      <c r="AZ190" s="83"/>
      <c r="BA190" s="83"/>
      <c r="BB190" s="83"/>
      <c r="BC190" s="5"/>
    </row>
    <row r="191" spans="37:55" x14ac:dyDescent="0.25">
      <c r="AK191" s="83"/>
      <c r="AL191" s="186"/>
      <c r="AM191" s="29"/>
      <c r="AN191" s="29"/>
      <c r="AO191" s="29"/>
      <c r="AP191" s="29"/>
      <c r="AQ191" s="29"/>
      <c r="AR191" s="29"/>
      <c r="AS191" s="5"/>
      <c r="AT191" s="5"/>
      <c r="AU191" s="5"/>
      <c r="AV191" s="5"/>
      <c r="AW191" s="5"/>
      <c r="AX191" s="5"/>
      <c r="AY191" s="214"/>
      <c r="AZ191" s="83"/>
      <c r="BA191" s="83"/>
      <c r="BB191" s="83"/>
      <c r="BC191" s="5"/>
    </row>
    <row r="192" spans="37:55" x14ac:dyDescent="0.25">
      <c r="AK192" s="83"/>
      <c r="AL192" s="186"/>
      <c r="AM192" s="29"/>
      <c r="AN192" s="29"/>
      <c r="AO192" s="29"/>
      <c r="AP192" s="29"/>
      <c r="AQ192" s="29"/>
      <c r="AR192" s="29"/>
      <c r="AS192" s="5"/>
      <c r="AT192" s="5"/>
      <c r="AU192" s="5"/>
      <c r="AV192" s="5"/>
      <c r="AW192" s="5"/>
      <c r="AX192" s="5"/>
      <c r="AY192" s="214"/>
      <c r="AZ192" s="83"/>
      <c r="BA192" s="83"/>
      <c r="BB192" s="83"/>
      <c r="BC192" s="5"/>
    </row>
    <row r="193" spans="37:55" x14ac:dyDescent="0.25">
      <c r="AK193" s="83"/>
      <c r="AL193" s="186"/>
      <c r="AM193" s="29"/>
      <c r="AN193" s="29"/>
      <c r="AO193" s="29"/>
      <c r="AP193" s="29"/>
      <c r="AQ193" s="29"/>
      <c r="AR193" s="29"/>
      <c r="AS193" s="5"/>
      <c r="AT193" s="5"/>
      <c r="AU193" s="5"/>
      <c r="AV193" s="5"/>
      <c r="AW193" s="5"/>
      <c r="AX193" s="5"/>
      <c r="AY193" s="214"/>
      <c r="AZ193" s="83"/>
      <c r="BA193" s="83"/>
      <c r="BB193" s="83"/>
      <c r="BC193" s="5"/>
    </row>
    <row r="194" spans="37:55" x14ac:dyDescent="0.25">
      <c r="AK194" s="83"/>
      <c r="AL194" s="186"/>
      <c r="AM194" s="29"/>
      <c r="AN194" s="29"/>
      <c r="AO194" s="29"/>
      <c r="AP194" s="29"/>
      <c r="AQ194" s="29"/>
      <c r="AR194" s="29"/>
      <c r="AS194" s="5"/>
      <c r="AT194" s="5"/>
      <c r="AU194" s="5"/>
      <c r="AV194" s="5"/>
      <c r="AW194" s="5"/>
      <c r="AX194" s="5"/>
      <c r="AY194" s="214"/>
      <c r="AZ194" s="83"/>
      <c r="BA194" s="83"/>
      <c r="BB194" s="83"/>
      <c r="BC194" s="5"/>
    </row>
    <row r="195" spans="37:55" x14ac:dyDescent="0.25">
      <c r="AK195" s="83"/>
      <c r="AL195" s="186"/>
      <c r="AM195" s="29"/>
      <c r="AN195" s="29"/>
      <c r="AO195" s="29"/>
      <c r="AP195" s="29"/>
      <c r="AQ195" s="29"/>
      <c r="AR195" s="29"/>
      <c r="AS195" s="5"/>
      <c r="AT195" s="5"/>
      <c r="AU195" s="5"/>
      <c r="AV195" s="5"/>
      <c r="AW195" s="5"/>
      <c r="AX195" s="5"/>
      <c r="AY195" s="214"/>
      <c r="AZ195" s="83"/>
      <c r="BA195" s="83"/>
      <c r="BB195" s="83"/>
      <c r="BC195" s="5"/>
    </row>
    <row r="196" spans="37:55" x14ac:dyDescent="0.25">
      <c r="AK196" s="83"/>
      <c r="AL196" s="186"/>
      <c r="AM196" s="29"/>
      <c r="AN196" s="29"/>
      <c r="AO196" s="29"/>
      <c r="AP196" s="29"/>
      <c r="AQ196" s="29"/>
      <c r="AR196" s="29"/>
      <c r="AS196" s="5"/>
      <c r="AT196" s="5"/>
      <c r="AU196" s="5"/>
      <c r="AV196" s="5"/>
      <c r="AW196" s="5"/>
      <c r="AX196" s="5"/>
      <c r="AY196" s="214"/>
      <c r="AZ196" s="83"/>
      <c r="BA196" s="83"/>
      <c r="BB196" s="83"/>
      <c r="BC196" s="5"/>
    </row>
    <row r="197" spans="37:55" x14ac:dyDescent="0.25">
      <c r="AK197" s="83"/>
      <c r="AL197" s="186"/>
      <c r="AM197" s="29"/>
      <c r="AN197" s="29"/>
      <c r="AO197" s="29"/>
      <c r="AP197" s="29"/>
      <c r="AQ197" s="29"/>
      <c r="AR197" s="29"/>
      <c r="AS197" s="5"/>
      <c r="AT197" s="5"/>
      <c r="AU197" s="5"/>
      <c r="AV197" s="5"/>
      <c r="AW197" s="5"/>
      <c r="AX197" s="5"/>
      <c r="AY197" s="214"/>
      <c r="AZ197" s="83"/>
      <c r="BA197" s="83"/>
      <c r="BB197" s="83"/>
      <c r="BC197" s="5"/>
    </row>
    <row r="198" spans="37:55" x14ac:dyDescent="0.25">
      <c r="AK198" s="83"/>
      <c r="AL198" s="186"/>
      <c r="AM198" s="29"/>
      <c r="AN198" s="29"/>
      <c r="AO198" s="29"/>
      <c r="AP198" s="29"/>
      <c r="AQ198" s="29"/>
      <c r="AR198" s="29"/>
      <c r="AS198" s="5"/>
      <c r="AT198" s="5"/>
      <c r="AU198" s="5"/>
      <c r="AV198" s="5"/>
      <c r="AW198" s="5"/>
      <c r="AX198" s="5"/>
      <c r="AY198" s="214"/>
      <c r="AZ198" s="83"/>
      <c r="BA198" s="83"/>
      <c r="BB198" s="83"/>
      <c r="BC198" s="5"/>
    </row>
    <row r="199" spans="37:55" x14ac:dyDescent="0.25">
      <c r="AK199" s="83"/>
      <c r="AL199" s="186"/>
      <c r="AM199" s="29"/>
      <c r="AN199" s="29"/>
      <c r="AO199" s="29"/>
      <c r="AP199" s="29"/>
      <c r="AQ199" s="29"/>
      <c r="AR199" s="29"/>
      <c r="AS199" s="5"/>
      <c r="AT199" s="5"/>
      <c r="AU199" s="5"/>
      <c r="AV199" s="5"/>
      <c r="AW199" s="5"/>
      <c r="AX199" s="5"/>
      <c r="AY199" s="214"/>
      <c r="AZ199" s="83"/>
      <c r="BA199" s="83"/>
      <c r="BB199" s="83"/>
      <c r="BC199" s="5"/>
    </row>
    <row r="200" spans="37:55" x14ac:dyDescent="0.25">
      <c r="AK200" s="83"/>
      <c r="AL200" s="186"/>
      <c r="AM200" s="29"/>
      <c r="AN200" s="29"/>
      <c r="AO200" s="29"/>
      <c r="AP200" s="29"/>
      <c r="AQ200" s="29"/>
      <c r="AR200" s="29"/>
      <c r="AS200" s="5"/>
      <c r="AT200" s="5"/>
      <c r="AU200" s="5"/>
      <c r="AV200" s="5"/>
      <c r="AW200" s="5"/>
      <c r="AX200" s="5"/>
      <c r="AY200" s="214"/>
      <c r="AZ200" s="83"/>
      <c r="BA200" s="83"/>
      <c r="BB200" s="83"/>
      <c r="BC200" s="5"/>
    </row>
    <row r="201" spans="37:55" x14ac:dyDescent="0.25">
      <c r="AK201" s="83"/>
      <c r="AL201" s="186"/>
      <c r="AM201" s="29"/>
      <c r="AN201" s="29"/>
      <c r="AO201" s="29"/>
      <c r="AP201" s="29"/>
      <c r="AQ201" s="29"/>
      <c r="AR201" s="29"/>
      <c r="AS201" s="5"/>
      <c r="AT201" s="5"/>
      <c r="AU201" s="5"/>
      <c r="AV201" s="5"/>
      <c r="AW201" s="5"/>
      <c r="AX201" s="5"/>
      <c r="AY201" s="214"/>
      <c r="AZ201" s="83"/>
      <c r="BA201" s="83"/>
      <c r="BB201" s="83"/>
      <c r="BC201" s="5"/>
    </row>
    <row r="202" spans="37:55" x14ac:dyDescent="0.25">
      <c r="AK202" s="83"/>
      <c r="AL202" s="186"/>
      <c r="AM202" s="29"/>
      <c r="AN202" s="29"/>
      <c r="AO202" s="29"/>
      <c r="AP202" s="29"/>
      <c r="AQ202" s="29"/>
      <c r="AR202" s="29"/>
      <c r="AS202" s="5"/>
      <c r="AT202" s="5"/>
      <c r="AU202" s="5"/>
      <c r="AV202" s="5"/>
      <c r="AW202" s="5"/>
      <c r="AX202" s="5"/>
      <c r="AY202" s="214"/>
      <c r="AZ202" s="83"/>
      <c r="BA202" s="83"/>
      <c r="BB202" s="83"/>
      <c r="BC202" s="5"/>
    </row>
    <row r="203" spans="37:55" x14ac:dyDescent="0.25">
      <c r="AK203" s="83"/>
      <c r="AL203" s="186"/>
      <c r="AM203" s="29"/>
      <c r="AN203" s="29"/>
      <c r="AO203" s="29"/>
      <c r="AP203" s="29"/>
      <c r="AQ203" s="29"/>
      <c r="AR203" s="29"/>
      <c r="AS203" s="5"/>
      <c r="AT203" s="5"/>
      <c r="AU203" s="5"/>
      <c r="AV203" s="5"/>
      <c r="AW203" s="5"/>
      <c r="AX203" s="5"/>
      <c r="AY203" s="214"/>
      <c r="AZ203" s="83"/>
      <c r="BA203" s="83"/>
      <c r="BB203" s="83"/>
      <c r="BC203" s="5"/>
    </row>
    <row r="204" spans="37:55" x14ac:dyDescent="0.25">
      <c r="AK204" s="83"/>
      <c r="AL204" s="186"/>
      <c r="AM204" s="29"/>
      <c r="AN204" s="29"/>
      <c r="AO204" s="29"/>
      <c r="AP204" s="29"/>
      <c r="AQ204" s="29"/>
      <c r="AR204" s="29"/>
      <c r="AS204" s="5"/>
      <c r="AT204" s="5"/>
      <c r="AU204" s="5"/>
      <c r="AV204" s="5"/>
      <c r="AW204" s="5"/>
      <c r="AX204" s="5"/>
      <c r="AY204" s="214"/>
      <c r="AZ204" s="83"/>
      <c r="BA204" s="83"/>
      <c r="BB204" s="83"/>
      <c r="BC204" s="5"/>
    </row>
    <row r="205" spans="37:55" x14ac:dyDescent="0.25">
      <c r="AK205" s="83"/>
      <c r="AL205" s="186"/>
      <c r="AM205" s="29"/>
      <c r="AN205" s="29"/>
      <c r="AO205" s="29"/>
      <c r="AP205" s="29"/>
      <c r="AQ205" s="29"/>
      <c r="AR205" s="29"/>
      <c r="AS205" s="5"/>
      <c r="AT205" s="5"/>
      <c r="AU205" s="5"/>
      <c r="AV205" s="5"/>
      <c r="AW205" s="5"/>
      <c r="AX205" s="5"/>
      <c r="AY205" s="214"/>
      <c r="AZ205" s="83"/>
      <c r="BA205" s="83"/>
      <c r="BB205" s="83"/>
      <c r="BC205" s="5"/>
    </row>
    <row r="206" spans="37:55" x14ac:dyDescent="0.25">
      <c r="AK206" s="83"/>
      <c r="AL206" s="186"/>
      <c r="AM206" s="29"/>
      <c r="AN206" s="29"/>
      <c r="AO206" s="29"/>
      <c r="AP206" s="29"/>
      <c r="AQ206" s="29"/>
      <c r="AR206" s="29"/>
      <c r="AS206" s="5"/>
      <c r="AT206" s="5"/>
      <c r="AU206" s="5"/>
      <c r="AV206" s="5"/>
      <c r="AW206" s="5"/>
      <c r="AX206" s="5"/>
      <c r="AY206" s="214"/>
      <c r="AZ206" s="83"/>
      <c r="BA206" s="83"/>
      <c r="BB206" s="83"/>
      <c r="BC206" s="5"/>
    </row>
    <row r="207" spans="37:55" x14ac:dyDescent="0.25">
      <c r="AK207" s="83"/>
      <c r="AL207" s="186"/>
      <c r="AM207" s="29"/>
      <c r="AN207" s="29"/>
      <c r="AO207" s="29"/>
      <c r="AP207" s="29"/>
      <c r="AQ207" s="29"/>
      <c r="AR207" s="29"/>
      <c r="AS207" s="5"/>
      <c r="AT207" s="5"/>
      <c r="AU207" s="5"/>
      <c r="AV207" s="5"/>
      <c r="AW207" s="5"/>
      <c r="AX207" s="5"/>
      <c r="AY207" s="214"/>
      <c r="AZ207" s="83"/>
      <c r="BA207" s="83"/>
      <c r="BB207" s="83"/>
      <c r="BC207" s="5"/>
    </row>
    <row r="208" spans="37:55" x14ac:dyDescent="0.25">
      <c r="AK208" s="83"/>
      <c r="AL208" s="186"/>
      <c r="AM208" s="29"/>
      <c r="AN208" s="29"/>
      <c r="AO208" s="29"/>
      <c r="AP208" s="29"/>
      <c r="AQ208" s="29"/>
      <c r="AR208" s="29"/>
      <c r="AS208" s="5"/>
      <c r="AT208" s="5"/>
      <c r="AU208" s="5"/>
      <c r="AV208" s="5"/>
      <c r="AW208" s="5"/>
      <c r="AX208" s="5"/>
      <c r="AY208" s="214"/>
      <c r="AZ208" s="83"/>
      <c r="BA208" s="83"/>
      <c r="BB208" s="83"/>
      <c r="BC208" s="5"/>
    </row>
    <row r="209" spans="37:55" x14ac:dyDescent="0.25">
      <c r="AK209" s="83"/>
      <c r="AL209" s="186"/>
      <c r="AM209" s="29"/>
      <c r="AN209" s="29"/>
      <c r="AO209" s="29"/>
      <c r="AP209" s="29"/>
      <c r="AQ209" s="29"/>
      <c r="AR209" s="29"/>
      <c r="AS209" s="5"/>
      <c r="AT209" s="5"/>
      <c r="AU209" s="5"/>
      <c r="AV209" s="5"/>
      <c r="AW209" s="5"/>
      <c r="AX209" s="5"/>
      <c r="AY209" s="214"/>
      <c r="AZ209" s="83"/>
      <c r="BA209" s="83"/>
      <c r="BB209" s="83"/>
      <c r="BC209" s="5"/>
    </row>
    <row r="210" spans="37:55" x14ac:dyDescent="0.25">
      <c r="AK210" s="83"/>
      <c r="AL210" s="186"/>
      <c r="AM210" s="29"/>
      <c r="AN210" s="29"/>
      <c r="AO210" s="29"/>
      <c r="AP210" s="29"/>
      <c r="AQ210" s="29"/>
      <c r="AR210" s="29"/>
      <c r="AS210" s="5"/>
      <c r="AT210" s="5"/>
      <c r="AU210" s="5"/>
      <c r="AV210" s="5"/>
      <c r="AW210" s="5"/>
      <c r="AX210" s="5"/>
      <c r="AY210" s="214"/>
      <c r="AZ210" s="83"/>
      <c r="BA210" s="83"/>
      <c r="BB210" s="83"/>
      <c r="BC210" s="5"/>
    </row>
    <row r="211" spans="37:55" x14ac:dyDescent="0.25">
      <c r="AK211" s="83"/>
      <c r="AL211" s="186"/>
      <c r="AM211" s="29"/>
      <c r="AN211" s="29"/>
      <c r="AO211" s="29"/>
      <c r="AP211" s="29"/>
      <c r="AQ211" s="29"/>
      <c r="AR211" s="29"/>
      <c r="AS211" s="5"/>
      <c r="AT211" s="5"/>
      <c r="AU211" s="5"/>
      <c r="AV211" s="5"/>
      <c r="AW211" s="5"/>
      <c r="AX211" s="5"/>
      <c r="AY211" s="214"/>
      <c r="AZ211" s="83"/>
      <c r="BA211" s="83"/>
      <c r="BB211" s="83"/>
      <c r="BC211" s="5"/>
    </row>
    <row r="212" spans="37:55" x14ac:dyDescent="0.25">
      <c r="AK212" s="83"/>
      <c r="AL212" s="186"/>
      <c r="AM212" s="29"/>
      <c r="AN212" s="29"/>
      <c r="AO212" s="29"/>
      <c r="AP212" s="29"/>
      <c r="AQ212" s="29"/>
      <c r="AR212" s="29"/>
      <c r="AS212" s="5"/>
      <c r="AT212" s="5"/>
      <c r="AU212" s="5"/>
      <c r="AV212" s="5"/>
      <c r="AW212" s="5"/>
      <c r="AX212" s="5"/>
      <c r="AY212" s="214"/>
      <c r="AZ212" s="83"/>
      <c r="BA212" s="83"/>
      <c r="BB212" s="83"/>
      <c r="BC212" s="5"/>
    </row>
    <row r="213" spans="37:55" x14ac:dyDescent="0.25">
      <c r="AK213" s="83"/>
      <c r="AL213" s="186"/>
      <c r="AM213" s="29"/>
      <c r="AN213" s="29"/>
      <c r="AO213" s="29"/>
      <c r="AP213" s="29"/>
      <c r="AQ213" s="29"/>
      <c r="AR213" s="29"/>
      <c r="AS213" s="5"/>
      <c r="AT213" s="5"/>
      <c r="AU213" s="5"/>
      <c r="AV213" s="5"/>
      <c r="AW213" s="5"/>
      <c r="AX213" s="5"/>
      <c r="AY213" s="214"/>
      <c r="AZ213" s="83"/>
      <c r="BA213" s="83"/>
      <c r="BB213" s="83"/>
      <c r="BC213" s="5"/>
    </row>
    <row r="214" spans="37:55" x14ac:dyDescent="0.25">
      <c r="AK214" s="83"/>
      <c r="AL214" s="186"/>
      <c r="AM214" s="29"/>
      <c r="AN214" s="29"/>
      <c r="AO214" s="29"/>
      <c r="AP214" s="29"/>
      <c r="AQ214" s="29"/>
      <c r="AR214" s="29"/>
      <c r="AS214" s="5"/>
      <c r="AT214" s="5"/>
      <c r="AU214" s="5"/>
      <c r="AV214" s="5"/>
      <c r="AW214" s="5"/>
      <c r="AX214" s="5"/>
      <c r="AY214" s="214"/>
      <c r="AZ214" s="83"/>
      <c r="BA214" s="83"/>
      <c r="BB214" s="83"/>
      <c r="BC214" s="5"/>
    </row>
    <row r="215" spans="37:55" x14ac:dyDescent="0.25">
      <c r="AK215" s="83"/>
      <c r="AL215" s="186"/>
      <c r="AM215" s="29"/>
      <c r="AN215" s="29"/>
      <c r="AO215" s="29"/>
      <c r="AP215" s="29"/>
      <c r="AQ215" s="29"/>
      <c r="AR215" s="29"/>
      <c r="AS215" s="5"/>
      <c r="AT215" s="5"/>
      <c r="AU215" s="5"/>
      <c r="AV215" s="5"/>
      <c r="AW215" s="5"/>
      <c r="AX215" s="5"/>
      <c r="AY215" s="214"/>
      <c r="AZ215" s="83"/>
      <c r="BA215" s="83"/>
      <c r="BB215" s="83"/>
      <c r="BC215" s="5"/>
    </row>
    <row r="216" spans="37:55" x14ac:dyDescent="0.25">
      <c r="AK216" s="83"/>
      <c r="AL216" s="186"/>
      <c r="AM216" s="29"/>
      <c r="AN216" s="29"/>
      <c r="AO216" s="29"/>
      <c r="AP216" s="29"/>
      <c r="AQ216" s="29"/>
      <c r="AR216" s="29"/>
      <c r="AS216" s="5"/>
      <c r="AT216" s="5"/>
      <c r="AU216" s="5"/>
      <c r="AV216" s="5"/>
      <c r="AW216" s="5"/>
      <c r="AX216" s="5"/>
      <c r="AY216" s="214"/>
      <c r="AZ216" s="83"/>
      <c r="BA216" s="83"/>
      <c r="BB216" s="83"/>
      <c r="BC216" s="5"/>
    </row>
    <row r="217" spans="37:55" x14ac:dyDescent="0.25">
      <c r="AK217" s="83"/>
      <c r="AL217" s="186"/>
      <c r="AM217" s="29"/>
      <c r="AN217" s="29"/>
      <c r="AO217" s="29"/>
      <c r="AP217" s="29"/>
      <c r="AQ217" s="29"/>
      <c r="AR217" s="29"/>
      <c r="AS217" s="5"/>
      <c r="AT217" s="5"/>
      <c r="AU217" s="5"/>
      <c r="AV217" s="5"/>
      <c r="AW217" s="5"/>
      <c r="AX217" s="5"/>
      <c r="AY217" s="214"/>
      <c r="AZ217" s="83"/>
      <c r="BA217" s="83"/>
      <c r="BB217" s="83"/>
      <c r="BC217" s="5"/>
    </row>
    <row r="218" spans="37:55" x14ac:dyDescent="0.25">
      <c r="AK218" s="83"/>
      <c r="AL218" s="186"/>
      <c r="AM218" s="29"/>
      <c r="AN218" s="29"/>
      <c r="AO218" s="29"/>
      <c r="AP218" s="29"/>
      <c r="AQ218" s="29"/>
      <c r="AR218" s="29"/>
      <c r="AS218" s="5"/>
      <c r="AT218" s="5"/>
      <c r="AU218" s="5"/>
      <c r="AV218" s="5"/>
      <c r="AW218" s="5"/>
      <c r="AX218" s="5"/>
      <c r="AY218" s="214"/>
      <c r="AZ218" s="83"/>
      <c r="BA218" s="83"/>
      <c r="BB218" s="83"/>
      <c r="BC218" s="5"/>
    </row>
    <row r="219" spans="37:55" x14ac:dyDescent="0.25">
      <c r="AK219" s="83"/>
      <c r="AL219" s="186"/>
      <c r="AM219" s="29"/>
      <c r="AN219" s="29"/>
      <c r="AO219" s="29"/>
      <c r="AP219" s="29"/>
      <c r="AQ219" s="29"/>
      <c r="AR219" s="29"/>
      <c r="AS219" s="5"/>
      <c r="AT219" s="5"/>
      <c r="AU219" s="5"/>
      <c r="AV219" s="5"/>
      <c r="AW219" s="5"/>
      <c r="AX219" s="5"/>
      <c r="AY219" s="214"/>
      <c r="AZ219" s="83"/>
      <c r="BA219" s="83"/>
      <c r="BB219" s="83"/>
      <c r="BC219" s="5"/>
    </row>
    <row r="220" spans="37:55" x14ac:dyDescent="0.25">
      <c r="AK220" s="83"/>
      <c r="AL220" s="186"/>
      <c r="AM220" s="29"/>
      <c r="AN220" s="29"/>
      <c r="AO220" s="29"/>
      <c r="AP220" s="29"/>
      <c r="AQ220" s="29"/>
      <c r="AR220" s="29"/>
      <c r="AS220" s="5"/>
      <c r="AT220" s="5"/>
      <c r="AU220" s="5"/>
      <c r="AV220" s="5"/>
      <c r="AW220" s="5"/>
      <c r="AX220" s="5"/>
      <c r="AY220" s="214"/>
      <c r="AZ220" s="83"/>
      <c r="BA220" s="83"/>
      <c r="BB220" s="83"/>
      <c r="BC220" s="5"/>
    </row>
    <row r="221" spans="37:55" x14ac:dyDescent="0.25">
      <c r="AK221" s="83"/>
      <c r="AL221" s="186"/>
      <c r="AM221" s="29"/>
      <c r="AN221" s="29"/>
      <c r="AO221" s="29"/>
      <c r="AP221" s="29"/>
      <c r="AQ221" s="29"/>
      <c r="AR221" s="29"/>
      <c r="AS221" s="5"/>
      <c r="AT221" s="5"/>
      <c r="AU221" s="5"/>
      <c r="AV221" s="5"/>
      <c r="AW221" s="5"/>
      <c r="AX221" s="5"/>
      <c r="AY221" s="214"/>
      <c r="AZ221" s="83"/>
      <c r="BA221" s="83"/>
      <c r="BB221" s="83"/>
      <c r="BC221" s="5"/>
    </row>
    <row r="222" spans="37:55" x14ac:dyDescent="0.25">
      <c r="AK222" s="83"/>
      <c r="AL222" s="186"/>
      <c r="AM222" s="29"/>
      <c r="AN222" s="29"/>
      <c r="AO222" s="29"/>
      <c r="AP222" s="29"/>
      <c r="AQ222" s="29"/>
      <c r="AR222" s="29"/>
      <c r="AS222" s="5"/>
      <c r="AT222" s="5"/>
      <c r="AU222" s="5"/>
      <c r="AV222" s="5"/>
      <c r="AW222" s="5"/>
      <c r="AX222" s="5"/>
      <c r="AY222" s="214"/>
      <c r="AZ222" s="83"/>
      <c r="BA222" s="83"/>
      <c r="BB222" s="83"/>
      <c r="BC222" s="5"/>
    </row>
    <row r="223" spans="37:55" x14ac:dyDescent="0.25">
      <c r="AK223" s="83"/>
      <c r="AL223" s="186"/>
      <c r="AM223" s="29"/>
      <c r="AN223" s="29"/>
      <c r="AO223" s="29"/>
      <c r="AP223" s="29"/>
      <c r="AQ223" s="29"/>
      <c r="AR223" s="29"/>
      <c r="AS223" s="5"/>
      <c r="AT223" s="5"/>
      <c r="AU223" s="5"/>
      <c r="AV223" s="5"/>
      <c r="AW223" s="5"/>
      <c r="AX223" s="5"/>
      <c r="AY223" s="214"/>
      <c r="AZ223" s="83"/>
      <c r="BA223" s="83"/>
      <c r="BB223" s="83"/>
      <c r="BC223" s="5"/>
    </row>
    <row r="224" spans="37:55" x14ac:dyDescent="0.25">
      <c r="AK224" s="83"/>
      <c r="AL224" s="186"/>
      <c r="AM224" s="29"/>
      <c r="AN224" s="29"/>
      <c r="AO224" s="29"/>
      <c r="AP224" s="29"/>
      <c r="AQ224" s="29"/>
      <c r="AR224" s="29"/>
      <c r="AS224" s="5"/>
      <c r="AT224" s="5"/>
      <c r="AU224" s="5"/>
      <c r="AV224" s="5"/>
      <c r="AW224" s="5"/>
      <c r="AX224" s="5"/>
      <c r="AY224" s="214"/>
      <c r="AZ224" s="83"/>
      <c r="BA224" s="83"/>
      <c r="BB224" s="83"/>
      <c r="BC224" s="5"/>
    </row>
    <row r="225" spans="37:55" x14ac:dyDescent="0.25">
      <c r="AK225" s="83"/>
      <c r="AL225" s="186"/>
      <c r="AM225" s="29"/>
      <c r="AN225" s="29"/>
      <c r="AO225" s="29"/>
      <c r="AP225" s="29"/>
      <c r="AQ225" s="29"/>
      <c r="AR225" s="29"/>
      <c r="AS225" s="5"/>
      <c r="AT225" s="5"/>
      <c r="AU225" s="5"/>
      <c r="AV225" s="5"/>
      <c r="AW225" s="5"/>
      <c r="AX225" s="5"/>
      <c r="AY225" s="214"/>
      <c r="AZ225" s="83"/>
      <c r="BA225" s="83"/>
      <c r="BB225" s="83"/>
      <c r="BC225" s="5"/>
    </row>
    <row r="226" spans="37:55" x14ac:dyDescent="0.25">
      <c r="AK226" s="83"/>
      <c r="AL226" s="186"/>
      <c r="AM226" s="29"/>
      <c r="AN226" s="29"/>
      <c r="AO226" s="29"/>
      <c r="AP226" s="29"/>
      <c r="AQ226" s="29"/>
      <c r="AR226" s="29"/>
      <c r="AS226" s="5"/>
      <c r="AT226" s="5"/>
      <c r="AU226" s="5"/>
      <c r="AV226" s="5"/>
      <c r="AW226" s="5"/>
      <c r="AX226" s="5"/>
      <c r="AY226" s="214"/>
      <c r="AZ226" s="83"/>
      <c r="BA226" s="83"/>
      <c r="BB226" s="83"/>
      <c r="BC226" s="5"/>
    </row>
    <row r="227" spans="37:55" x14ac:dyDescent="0.25">
      <c r="AK227" s="83"/>
      <c r="AL227" s="186"/>
      <c r="AM227" s="29"/>
      <c r="AN227" s="29"/>
      <c r="AO227" s="29"/>
      <c r="AP227" s="29"/>
      <c r="AQ227" s="29"/>
      <c r="AR227" s="29"/>
      <c r="AS227" s="5"/>
      <c r="AT227" s="5"/>
      <c r="AU227" s="5"/>
      <c r="AV227" s="5"/>
      <c r="AW227" s="5"/>
      <c r="AX227" s="5"/>
      <c r="AY227" s="214"/>
      <c r="AZ227" s="83"/>
      <c r="BA227" s="83"/>
      <c r="BB227" s="83"/>
      <c r="BC227" s="5"/>
    </row>
    <row r="228" spans="37:55" x14ac:dyDescent="0.25">
      <c r="AK228" s="83"/>
      <c r="AL228" s="186"/>
      <c r="AM228" s="29"/>
      <c r="AN228" s="29"/>
      <c r="AO228" s="29"/>
      <c r="AP228" s="29"/>
      <c r="AQ228" s="29"/>
      <c r="AR228" s="29"/>
      <c r="AS228" s="5"/>
      <c r="AT228" s="5"/>
      <c r="AU228" s="5"/>
      <c r="AV228" s="5"/>
      <c r="AW228" s="5"/>
      <c r="AX228" s="5"/>
      <c r="AY228" s="214"/>
      <c r="AZ228" s="83"/>
      <c r="BA228" s="83"/>
      <c r="BB228" s="83"/>
      <c r="BC228" s="5"/>
    </row>
    <row r="229" spans="37:55" x14ac:dyDescent="0.25">
      <c r="AK229" s="83"/>
      <c r="AL229" s="186"/>
      <c r="AM229" s="29"/>
      <c r="AN229" s="29"/>
      <c r="AO229" s="29"/>
      <c r="AP229" s="29"/>
      <c r="AQ229" s="29"/>
      <c r="AR229" s="29"/>
      <c r="AS229" s="5"/>
      <c r="AT229" s="5"/>
      <c r="AU229" s="5"/>
      <c r="AV229" s="5"/>
      <c r="AW229" s="5"/>
      <c r="AX229" s="5"/>
      <c r="AY229" s="214"/>
      <c r="AZ229" s="83"/>
      <c r="BA229" s="83"/>
      <c r="BB229" s="83"/>
      <c r="BC229" s="5"/>
    </row>
    <row r="230" spans="37:55" x14ac:dyDescent="0.25">
      <c r="AK230" s="83"/>
      <c r="AL230" s="186"/>
      <c r="AM230" s="29"/>
      <c r="AN230" s="29"/>
      <c r="AO230" s="29"/>
      <c r="AP230" s="29"/>
      <c r="AQ230" s="29"/>
      <c r="AR230" s="29"/>
      <c r="AS230" s="5"/>
      <c r="AT230" s="5"/>
      <c r="AU230" s="5"/>
      <c r="AV230" s="5"/>
      <c r="AW230" s="5"/>
      <c r="AX230" s="5"/>
      <c r="AY230" s="214"/>
      <c r="AZ230" s="83"/>
      <c r="BA230" s="83"/>
      <c r="BB230" s="83"/>
      <c r="BC230" s="5"/>
    </row>
    <row r="231" spans="37:55" x14ac:dyDescent="0.25">
      <c r="AK231" s="83"/>
      <c r="AL231" s="186"/>
      <c r="AM231" s="29"/>
      <c r="AN231" s="29"/>
      <c r="AO231" s="29"/>
      <c r="AP231" s="29"/>
      <c r="AQ231" s="29"/>
      <c r="AR231" s="29"/>
      <c r="AS231" s="5"/>
      <c r="AT231" s="5"/>
      <c r="AU231" s="5"/>
      <c r="AV231" s="5"/>
      <c r="AW231" s="5"/>
      <c r="AX231" s="5"/>
      <c r="AY231" s="214"/>
      <c r="AZ231" s="83"/>
      <c r="BA231" s="83"/>
      <c r="BB231" s="83"/>
      <c r="BC231" s="5"/>
    </row>
    <row r="232" spans="37:55" x14ac:dyDescent="0.25">
      <c r="AK232" s="83"/>
      <c r="AL232" s="186"/>
      <c r="AM232" s="29"/>
      <c r="AN232" s="29"/>
      <c r="AO232" s="29"/>
      <c r="AP232" s="29"/>
      <c r="AQ232" s="29"/>
      <c r="AR232" s="29"/>
      <c r="AS232" s="5"/>
      <c r="AT232" s="5"/>
      <c r="AU232" s="5"/>
      <c r="AV232" s="5"/>
      <c r="AW232" s="5"/>
      <c r="AX232" s="5"/>
      <c r="AY232" s="214"/>
      <c r="AZ232" s="83"/>
      <c r="BA232" s="83"/>
      <c r="BB232" s="83"/>
      <c r="BC232" s="5"/>
    </row>
    <row r="233" spans="37:55" x14ac:dyDescent="0.25">
      <c r="AK233" s="83"/>
      <c r="AL233" s="186"/>
      <c r="AM233" s="29"/>
      <c r="AN233" s="29"/>
      <c r="AO233" s="29"/>
      <c r="AP233" s="29"/>
      <c r="AQ233" s="29"/>
      <c r="AR233" s="29"/>
      <c r="AS233" s="5"/>
      <c r="AT233" s="5"/>
      <c r="AU233" s="5"/>
      <c r="AV233" s="5"/>
      <c r="AW233" s="5"/>
      <c r="AX233" s="5"/>
      <c r="AY233" s="214"/>
      <c r="AZ233" s="83"/>
      <c r="BA233" s="83"/>
      <c r="BB233" s="83"/>
      <c r="BC233" s="5"/>
    </row>
    <row r="234" spans="37:55" x14ac:dyDescent="0.25">
      <c r="AK234" s="83"/>
      <c r="AL234" s="186"/>
      <c r="AM234" s="29"/>
      <c r="AN234" s="29"/>
      <c r="AO234" s="29"/>
      <c r="AP234" s="29"/>
      <c r="AQ234" s="29"/>
      <c r="AR234" s="29"/>
      <c r="AS234" s="5"/>
      <c r="AT234" s="5"/>
      <c r="AU234" s="5"/>
      <c r="AV234" s="5"/>
      <c r="AW234" s="5"/>
      <c r="AX234" s="5"/>
      <c r="AY234" s="214"/>
      <c r="AZ234" s="83"/>
      <c r="BA234" s="83"/>
      <c r="BB234" s="83"/>
      <c r="BC234" s="5"/>
    </row>
    <row r="235" spans="37:55" x14ac:dyDescent="0.25">
      <c r="AK235" s="83"/>
      <c r="AL235" s="186"/>
      <c r="AM235" s="29"/>
      <c r="AN235" s="29"/>
      <c r="AO235" s="29"/>
      <c r="AP235" s="29"/>
      <c r="AQ235" s="29"/>
      <c r="AR235" s="29"/>
      <c r="AS235" s="5"/>
      <c r="AT235" s="5"/>
      <c r="AU235" s="5"/>
      <c r="AV235" s="5"/>
      <c r="AW235" s="5"/>
      <c r="AX235" s="5"/>
      <c r="AY235" s="214"/>
      <c r="AZ235" s="83"/>
      <c r="BA235" s="83"/>
      <c r="BB235" s="83"/>
      <c r="BC235" s="5"/>
    </row>
    <row r="236" spans="37:55" x14ac:dyDescent="0.25">
      <c r="AK236" s="83"/>
      <c r="AL236" s="186"/>
      <c r="AM236" s="29"/>
      <c r="AN236" s="29"/>
      <c r="AO236" s="29"/>
      <c r="AP236" s="29"/>
      <c r="AQ236" s="29"/>
      <c r="AR236" s="29"/>
      <c r="AS236" s="5"/>
      <c r="AT236" s="5"/>
      <c r="AU236" s="5"/>
      <c r="AV236" s="5"/>
      <c r="AW236" s="5"/>
      <c r="AX236" s="5"/>
      <c r="AY236" s="214"/>
      <c r="AZ236" s="83"/>
      <c r="BA236" s="83"/>
      <c r="BB236" s="83"/>
      <c r="BC236" s="5"/>
    </row>
    <row r="237" spans="37:55" x14ac:dyDescent="0.25">
      <c r="AK237" s="83"/>
      <c r="AL237" s="186"/>
      <c r="AM237" s="29"/>
      <c r="AN237" s="29"/>
      <c r="AO237" s="29"/>
      <c r="AP237" s="29"/>
      <c r="AQ237" s="29"/>
      <c r="AR237" s="29"/>
      <c r="AS237" s="5"/>
      <c r="AT237" s="5"/>
      <c r="AU237" s="5"/>
      <c r="AV237" s="5"/>
      <c r="AW237" s="5"/>
      <c r="AX237" s="5"/>
      <c r="AY237" s="214"/>
      <c r="AZ237" s="83"/>
      <c r="BA237" s="83"/>
      <c r="BB237" s="83"/>
      <c r="BC237" s="5"/>
    </row>
    <row r="238" spans="37:55" x14ac:dyDescent="0.25">
      <c r="AK238" s="83"/>
      <c r="AL238" s="186"/>
      <c r="AM238" s="29"/>
      <c r="AN238" s="29"/>
      <c r="AO238" s="29"/>
      <c r="AP238" s="29"/>
      <c r="AQ238" s="29"/>
      <c r="AR238" s="29"/>
      <c r="AS238" s="5"/>
      <c r="AT238" s="5"/>
      <c r="AU238" s="5"/>
      <c r="AV238" s="5"/>
      <c r="AW238" s="5"/>
      <c r="AX238" s="5"/>
      <c r="AY238" s="214"/>
      <c r="AZ238" s="83"/>
      <c r="BA238" s="83"/>
      <c r="BB238" s="83"/>
      <c r="BC238" s="5"/>
    </row>
    <row r="239" spans="37:55" x14ac:dyDescent="0.25">
      <c r="AK239" s="83"/>
      <c r="AL239" s="186"/>
      <c r="AM239" s="29"/>
      <c r="AN239" s="29"/>
      <c r="AO239" s="29"/>
      <c r="AP239" s="29"/>
      <c r="AQ239" s="29"/>
      <c r="AR239" s="29"/>
      <c r="AS239" s="5"/>
      <c r="AT239" s="5"/>
      <c r="AU239" s="5"/>
      <c r="AV239" s="5"/>
      <c r="AW239" s="5"/>
      <c r="AX239" s="5"/>
      <c r="AY239" s="214"/>
      <c r="AZ239" s="83"/>
      <c r="BA239" s="83"/>
      <c r="BB239" s="83"/>
      <c r="BC239" s="5"/>
    </row>
    <row r="240" spans="37:55" x14ac:dyDescent="0.25">
      <c r="AK240" s="83"/>
      <c r="AL240" s="186"/>
      <c r="AM240" s="29"/>
      <c r="AN240" s="29"/>
      <c r="AO240" s="29"/>
      <c r="AP240" s="29"/>
      <c r="AQ240" s="29"/>
      <c r="AR240" s="29"/>
      <c r="AS240" s="5"/>
      <c r="AT240" s="5"/>
      <c r="AU240" s="5"/>
      <c r="AV240" s="5"/>
      <c r="AW240" s="5"/>
      <c r="AX240" s="5"/>
      <c r="AY240" s="214"/>
      <c r="AZ240" s="83"/>
      <c r="BA240" s="83"/>
      <c r="BB240" s="83"/>
      <c r="BC240" s="5"/>
    </row>
    <row r="241" spans="37:55" x14ac:dyDescent="0.25">
      <c r="AK241" s="83"/>
      <c r="AL241" s="186"/>
      <c r="AM241" s="29"/>
      <c r="AN241" s="29"/>
      <c r="AO241" s="29"/>
      <c r="AP241" s="29"/>
      <c r="AQ241" s="29"/>
      <c r="AR241" s="29"/>
      <c r="AS241" s="5"/>
      <c r="AT241" s="5"/>
      <c r="AU241" s="5"/>
      <c r="AV241" s="5"/>
      <c r="AW241" s="5"/>
      <c r="AX241" s="5"/>
      <c r="AY241" s="214"/>
      <c r="AZ241" s="83"/>
      <c r="BA241" s="83"/>
      <c r="BB241" s="83"/>
      <c r="BC241" s="5"/>
    </row>
    <row r="242" spans="37:55" x14ac:dyDescent="0.25">
      <c r="AK242" s="83"/>
      <c r="AL242" s="186"/>
      <c r="AM242" s="29"/>
      <c r="AN242" s="29"/>
      <c r="AO242" s="29"/>
      <c r="AP242" s="29"/>
      <c r="AQ242" s="29"/>
      <c r="AR242" s="29"/>
      <c r="AS242" s="5"/>
      <c r="AT242" s="5"/>
      <c r="AU242" s="5"/>
      <c r="AV242" s="5"/>
      <c r="AW242" s="5"/>
      <c r="AX242" s="5"/>
      <c r="AY242" s="214"/>
      <c r="AZ242" s="83"/>
      <c r="BA242" s="83"/>
      <c r="BB242" s="83"/>
      <c r="BC242" s="5"/>
    </row>
    <row r="243" spans="37:55" x14ac:dyDescent="0.25">
      <c r="AK243" s="83"/>
      <c r="AL243" s="186"/>
      <c r="AM243" s="29"/>
      <c r="AN243" s="29"/>
      <c r="AO243" s="29"/>
      <c r="AP243" s="29"/>
      <c r="AQ243" s="29"/>
      <c r="AR243" s="29"/>
      <c r="AS243" s="5"/>
      <c r="AT243" s="5"/>
      <c r="AU243" s="5"/>
      <c r="AV243" s="5"/>
      <c r="AW243" s="5"/>
      <c r="AX243" s="5"/>
      <c r="AY243" s="214"/>
      <c r="AZ243" s="83"/>
      <c r="BA243" s="83"/>
      <c r="BB243" s="83"/>
      <c r="BC243" s="5"/>
    </row>
    <row r="244" spans="37:55" x14ac:dyDescent="0.25">
      <c r="AK244" s="83"/>
      <c r="AL244" s="186"/>
      <c r="AM244" s="29"/>
      <c r="AN244" s="29"/>
      <c r="AO244" s="29"/>
      <c r="AP244" s="29"/>
      <c r="AQ244" s="29"/>
      <c r="AR244" s="29"/>
      <c r="AS244" s="5"/>
      <c r="AT244" s="5"/>
      <c r="AU244" s="5"/>
      <c r="AV244" s="5"/>
      <c r="AW244" s="5"/>
      <c r="AX244" s="5"/>
      <c r="AY244" s="214"/>
      <c r="AZ244" s="83"/>
      <c r="BA244" s="83"/>
      <c r="BB244" s="83"/>
      <c r="BC244" s="5"/>
    </row>
    <row r="245" spans="37:55" x14ac:dyDescent="0.25">
      <c r="AK245" s="83"/>
      <c r="AL245" s="186"/>
      <c r="AM245" s="29"/>
      <c r="AN245" s="29"/>
      <c r="AO245" s="29"/>
      <c r="AP245" s="29"/>
      <c r="AQ245" s="29"/>
      <c r="AR245" s="29"/>
      <c r="AS245" s="5"/>
      <c r="AT245" s="5"/>
      <c r="AU245" s="5"/>
      <c r="AV245" s="5"/>
      <c r="AW245" s="5"/>
      <c r="AX245" s="5"/>
      <c r="AY245" s="214"/>
      <c r="AZ245" s="83"/>
      <c r="BA245" s="83"/>
      <c r="BB245" s="83"/>
      <c r="BC245" s="5"/>
    </row>
    <row r="246" spans="37:55" x14ac:dyDescent="0.25">
      <c r="AK246" s="83"/>
      <c r="AL246" s="186"/>
      <c r="AM246" s="29"/>
      <c r="AN246" s="29"/>
      <c r="AO246" s="29"/>
      <c r="AP246" s="29"/>
      <c r="AQ246" s="29"/>
      <c r="AR246" s="29"/>
      <c r="AS246" s="5"/>
      <c r="AT246" s="5"/>
      <c r="AU246" s="5"/>
      <c r="AV246" s="5"/>
      <c r="AW246" s="5"/>
      <c r="AX246" s="5"/>
      <c r="AY246" s="214"/>
      <c r="AZ246" s="83"/>
      <c r="BA246" s="83"/>
      <c r="BB246" s="83"/>
      <c r="BC246" s="5"/>
    </row>
    <row r="247" spans="37:55" x14ac:dyDescent="0.25">
      <c r="AK247" s="83"/>
      <c r="AL247" s="186"/>
      <c r="AM247" s="29"/>
      <c r="AN247" s="29"/>
      <c r="AO247" s="29"/>
      <c r="AP247" s="29"/>
      <c r="AQ247" s="29"/>
      <c r="AR247" s="29"/>
      <c r="AS247" s="5"/>
      <c r="AT247" s="5"/>
      <c r="AU247" s="5"/>
      <c r="AV247" s="5"/>
      <c r="AW247" s="5"/>
      <c r="AX247" s="5"/>
      <c r="AY247" s="214"/>
      <c r="AZ247" s="83"/>
      <c r="BA247" s="83"/>
      <c r="BB247" s="83"/>
      <c r="BC247" s="5"/>
    </row>
    <row r="248" spans="37:55" x14ac:dyDescent="0.25">
      <c r="AK248" s="83"/>
      <c r="AL248" s="186"/>
      <c r="AM248" s="29"/>
      <c r="AN248" s="29"/>
      <c r="AO248" s="29"/>
      <c r="AP248" s="29"/>
      <c r="AQ248" s="29"/>
      <c r="AR248" s="29"/>
      <c r="AS248" s="5"/>
      <c r="AT248" s="5"/>
      <c r="AU248" s="5"/>
      <c r="AV248" s="5"/>
      <c r="AW248" s="5"/>
      <c r="AX248" s="5"/>
      <c r="AY248" s="214"/>
      <c r="AZ248" s="83"/>
      <c r="BA248" s="83"/>
      <c r="BB248" s="83"/>
      <c r="BC248" s="5"/>
    </row>
    <row r="249" spans="37:55" x14ac:dyDescent="0.25">
      <c r="AK249" s="83"/>
      <c r="AL249" s="186"/>
      <c r="AM249" s="29"/>
      <c r="AN249" s="29"/>
      <c r="AO249" s="29"/>
      <c r="AP249" s="29"/>
      <c r="AQ249" s="29"/>
      <c r="AR249" s="29"/>
      <c r="AS249" s="5"/>
      <c r="AT249" s="5"/>
      <c r="AU249" s="5"/>
      <c r="AV249" s="5"/>
      <c r="AW249" s="5"/>
      <c r="AX249" s="5"/>
      <c r="AY249" s="214"/>
      <c r="AZ249" s="83"/>
      <c r="BA249" s="83"/>
      <c r="BB249" s="83"/>
      <c r="BC249" s="5"/>
    </row>
    <row r="250" spans="37:55" x14ac:dyDescent="0.25">
      <c r="AK250" s="83"/>
      <c r="AL250" s="186"/>
      <c r="AM250" s="29"/>
      <c r="AN250" s="29"/>
      <c r="AO250" s="29"/>
      <c r="AP250" s="29"/>
      <c r="AQ250" s="29"/>
      <c r="AR250" s="29"/>
      <c r="AS250" s="5"/>
      <c r="AT250" s="5"/>
      <c r="AU250" s="5"/>
      <c r="AV250" s="5"/>
      <c r="AW250" s="5"/>
      <c r="AX250" s="5"/>
      <c r="AY250" s="214"/>
      <c r="AZ250" s="83"/>
      <c r="BA250" s="83"/>
      <c r="BB250" s="83"/>
      <c r="BC250" s="5"/>
    </row>
    <row r="251" spans="37:55" x14ac:dyDescent="0.25">
      <c r="AK251" s="83"/>
      <c r="AL251" s="186"/>
      <c r="AM251" s="29"/>
      <c r="AN251" s="29"/>
      <c r="AO251" s="29"/>
      <c r="AP251" s="29"/>
      <c r="AQ251" s="29"/>
      <c r="AR251" s="29"/>
      <c r="AS251" s="5"/>
      <c r="AT251" s="5"/>
      <c r="AU251" s="5"/>
      <c r="AV251" s="5"/>
      <c r="AW251" s="5"/>
      <c r="AX251" s="5"/>
      <c r="AY251" s="214"/>
      <c r="AZ251" s="83"/>
      <c r="BA251" s="83"/>
      <c r="BB251" s="83"/>
      <c r="BC251" s="5"/>
    </row>
    <row r="252" spans="37:55" x14ac:dyDescent="0.25">
      <c r="AK252" s="83"/>
      <c r="AL252" s="186"/>
      <c r="AM252" s="29"/>
      <c r="AN252" s="29"/>
      <c r="AO252" s="29"/>
      <c r="AP252" s="29"/>
      <c r="AQ252" s="29"/>
      <c r="AR252" s="29"/>
      <c r="AS252" s="5"/>
      <c r="AT252" s="5"/>
      <c r="AU252" s="5"/>
      <c r="AV252" s="5"/>
      <c r="AW252" s="5"/>
      <c r="AX252" s="5"/>
      <c r="AY252" s="214"/>
      <c r="AZ252" s="83"/>
      <c r="BA252" s="83"/>
      <c r="BB252" s="83"/>
      <c r="BC252" s="5"/>
    </row>
    <row r="253" spans="37:55" x14ac:dyDescent="0.25">
      <c r="AK253" s="83"/>
      <c r="AL253" s="186"/>
      <c r="AM253" s="29"/>
      <c r="AN253" s="29"/>
      <c r="AO253" s="29"/>
      <c r="AP253" s="29"/>
      <c r="AQ253" s="29"/>
      <c r="AR253" s="29"/>
      <c r="AS253" s="5"/>
      <c r="AT253" s="5"/>
      <c r="AU253" s="5"/>
      <c r="AV253" s="5"/>
      <c r="AW253" s="5"/>
      <c r="AX253" s="5"/>
      <c r="AY253" s="214"/>
      <c r="AZ253" s="83"/>
      <c r="BA253" s="83"/>
      <c r="BB253" s="83"/>
      <c r="BC253" s="5"/>
    </row>
    <row r="254" spans="37:55" x14ac:dyDescent="0.25">
      <c r="AK254" s="83"/>
      <c r="AL254" s="186"/>
      <c r="AM254" s="29"/>
      <c r="AN254" s="29"/>
      <c r="AO254" s="29"/>
      <c r="AP254" s="29"/>
      <c r="AQ254" s="29"/>
      <c r="AR254" s="29"/>
      <c r="AS254" s="5"/>
      <c r="AT254" s="5"/>
      <c r="AU254" s="5"/>
      <c r="AV254" s="5"/>
      <c r="AW254" s="5"/>
      <c r="AX254" s="5"/>
      <c r="AY254" s="214"/>
      <c r="AZ254" s="83"/>
      <c r="BA254" s="83"/>
      <c r="BB254" s="83"/>
      <c r="BC254" s="5"/>
    </row>
    <row r="255" spans="37:55" x14ac:dyDescent="0.25">
      <c r="AK255" s="83"/>
      <c r="AL255" s="186"/>
      <c r="AM255" s="29"/>
      <c r="AN255" s="29"/>
      <c r="AO255" s="29"/>
      <c r="AP255" s="29"/>
      <c r="AQ255" s="29"/>
      <c r="AR255" s="29"/>
      <c r="AS255" s="5"/>
      <c r="AT255" s="5"/>
      <c r="AU255" s="5"/>
      <c r="AV255" s="5"/>
      <c r="AW255" s="5"/>
      <c r="AX255" s="5"/>
      <c r="AY255" s="214"/>
      <c r="AZ255" s="83"/>
      <c r="BA255" s="83"/>
      <c r="BB255" s="83"/>
      <c r="BC255" s="5"/>
    </row>
    <row r="256" spans="37:55" x14ac:dyDescent="0.25">
      <c r="AK256" s="83"/>
      <c r="AL256" s="186"/>
      <c r="AM256" s="29"/>
      <c r="AN256" s="29"/>
      <c r="AO256" s="29"/>
      <c r="AP256" s="29"/>
      <c r="AQ256" s="29"/>
      <c r="AR256" s="29"/>
      <c r="AS256" s="5"/>
      <c r="AT256" s="5"/>
      <c r="AU256" s="5"/>
      <c r="AV256" s="5"/>
      <c r="AW256" s="5"/>
      <c r="AX256" s="5"/>
      <c r="AY256" s="214"/>
      <c r="AZ256" s="83"/>
      <c r="BA256" s="83"/>
      <c r="BB256" s="83"/>
      <c r="BC256" s="5"/>
    </row>
    <row r="257" spans="37:55" x14ac:dyDescent="0.25">
      <c r="AK257" s="83"/>
      <c r="AL257" s="186"/>
      <c r="AM257" s="29"/>
      <c r="AN257" s="29"/>
      <c r="AO257" s="29"/>
      <c r="AP257" s="29"/>
      <c r="AQ257" s="29"/>
      <c r="AR257" s="29"/>
      <c r="AS257" s="5"/>
      <c r="AT257" s="5"/>
      <c r="AU257" s="5"/>
      <c r="AV257" s="5"/>
      <c r="AW257" s="5"/>
      <c r="AX257" s="5"/>
      <c r="AY257" s="214"/>
      <c r="AZ257" s="83"/>
      <c r="BA257" s="83"/>
      <c r="BB257" s="83"/>
      <c r="BC257" s="5"/>
    </row>
    <row r="258" spans="37:55" x14ac:dyDescent="0.25">
      <c r="AK258" s="83"/>
      <c r="AL258" s="186"/>
      <c r="AM258" s="29"/>
      <c r="AN258" s="29"/>
      <c r="AO258" s="29"/>
      <c r="AP258" s="29"/>
      <c r="AQ258" s="29"/>
      <c r="AR258" s="29"/>
      <c r="AS258" s="5"/>
      <c r="AT258" s="5"/>
      <c r="AU258" s="5"/>
      <c r="AV258" s="5"/>
      <c r="AW258" s="5"/>
      <c r="AX258" s="5"/>
      <c r="AY258" s="214"/>
      <c r="AZ258" s="83"/>
      <c r="BA258" s="83"/>
      <c r="BB258" s="83"/>
      <c r="BC258" s="5"/>
    </row>
    <row r="259" spans="37:55" x14ac:dyDescent="0.25">
      <c r="AK259" s="83"/>
      <c r="AL259" s="186"/>
      <c r="AM259" s="29"/>
      <c r="AN259" s="29"/>
      <c r="AO259" s="29"/>
      <c r="AP259" s="29"/>
      <c r="AQ259" s="29"/>
      <c r="AR259" s="29"/>
      <c r="AS259" s="5"/>
      <c r="AT259" s="5"/>
      <c r="AU259" s="5"/>
      <c r="AV259" s="5"/>
      <c r="AW259" s="5"/>
      <c r="AX259" s="5"/>
      <c r="AY259" s="214"/>
      <c r="AZ259" s="83"/>
      <c r="BA259" s="83"/>
      <c r="BB259" s="83"/>
      <c r="BC259" s="5"/>
    </row>
    <row r="260" spans="37:55" x14ac:dyDescent="0.25">
      <c r="AK260" s="83"/>
      <c r="AL260" s="186"/>
      <c r="AM260" s="29"/>
      <c r="AN260" s="29"/>
      <c r="AO260" s="29"/>
      <c r="AP260" s="29"/>
      <c r="AQ260" s="29"/>
      <c r="AR260" s="29"/>
      <c r="AS260" s="5"/>
      <c r="AT260" s="5"/>
      <c r="AU260" s="5"/>
      <c r="AV260" s="5"/>
      <c r="AW260" s="5"/>
      <c r="AX260" s="5"/>
      <c r="AY260" s="214"/>
      <c r="AZ260" s="83"/>
      <c r="BA260" s="83"/>
      <c r="BB260" s="83"/>
      <c r="BC260" s="5"/>
    </row>
    <row r="261" spans="37:55" x14ac:dyDescent="0.25">
      <c r="AK261" s="83"/>
      <c r="AL261" s="186"/>
      <c r="AM261" s="29"/>
      <c r="AN261" s="29"/>
      <c r="AO261" s="29"/>
      <c r="AP261" s="29"/>
      <c r="AQ261" s="29"/>
      <c r="AR261" s="29"/>
      <c r="AS261" s="5"/>
      <c r="AT261" s="5"/>
      <c r="AU261" s="5"/>
      <c r="AV261" s="5"/>
      <c r="AW261" s="5"/>
      <c r="AX261" s="5"/>
      <c r="AY261" s="214"/>
      <c r="AZ261" s="83"/>
      <c r="BA261" s="83"/>
      <c r="BB261" s="83"/>
      <c r="BC261" s="5"/>
    </row>
    <row r="262" spans="37:55" x14ac:dyDescent="0.25">
      <c r="AK262" s="83"/>
      <c r="AL262" s="186"/>
      <c r="AM262" s="29"/>
      <c r="AN262" s="29"/>
      <c r="AO262" s="29"/>
      <c r="AP262" s="29"/>
      <c r="AQ262" s="29"/>
      <c r="AR262" s="29"/>
      <c r="AS262" s="5"/>
      <c r="AT262" s="5"/>
      <c r="AU262" s="5"/>
      <c r="AV262" s="5"/>
      <c r="AW262" s="5"/>
      <c r="AX262" s="5"/>
      <c r="AY262" s="214"/>
      <c r="AZ262" s="83"/>
      <c r="BA262" s="83"/>
      <c r="BB262" s="83"/>
      <c r="BC262" s="5"/>
    </row>
    <row r="263" spans="37:55" x14ac:dyDescent="0.25">
      <c r="AK263" s="83"/>
      <c r="AL263" s="186"/>
      <c r="AM263" s="29"/>
      <c r="AN263" s="29"/>
      <c r="AO263" s="29"/>
      <c r="AP263" s="29"/>
      <c r="AQ263" s="29"/>
      <c r="AR263" s="29"/>
      <c r="AS263" s="5"/>
      <c r="AT263" s="5"/>
      <c r="AU263" s="5"/>
      <c r="AV263" s="5"/>
      <c r="AW263" s="5"/>
      <c r="AX263" s="5"/>
      <c r="AY263" s="214"/>
      <c r="AZ263" s="83"/>
      <c r="BA263" s="83"/>
      <c r="BB263" s="83"/>
      <c r="BC263" s="5"/>
    </row>
    <row r="264" spans="37:55" x14ac:dyDescent="0.25">
      <c r="AK264" s="83"/>
      <c r="AL264" s="186"/>
      <c r="AM264" s="29"/>
      <c r="AN264" s="29"/>
      <c r="AO264" s="29"/>
      <c r="AP264" s="29"/>
      <c r="AQ264" s="29"/>
      <c r="AR264" s="29"/>
      <c r="AS264" s="5"/>
      <c r="AT264" s="5"/>
      <c r="AU264" s="5"/>
      <c r="AV264" s="5"/>
      <c r="AW264" s="5"/>
      <c r="AX264" s="5"/>
      <c r="AY264" s="214"/>
      <c r="AZ264" s="83"/>
      <c r="BA264" s="83"/>
      <c r="BB264" s="83"/>
      <c r="BC264" s="5"/>
    </row>
    <row r="265" spans="37:55" x14ac:dyDescent="0.25">
      <c r="AK265" s="83"/>
      <c r="AL265" s="186"/>
      <c r="AM265" s="29"/>
      <c r="AN265" s="29"/>
      <c r="AO265" s="29"/>
      <c r="AP265" s="29"/>
      <c r="AQ265" s="29"/>
      <c r="AR265" s="29"/>
      <c r="AS265" s="5"/>
      <c r="AT265" s="5"/>
      <c r="AU265" s="5"/>
      <c r="AV265" s="5"/>
      <c r="AW265" s="5"/>
      <c r="AX265" s="5"/>
      <c r="AY265" s="214"/>
      <c r="AZ265" s="83"/>
      <c r="BA265" s="83"/>
      <c r="BB265" s="83"/>
      <c r="BC265" s="5"/>
    </row>
    <row r="266" spans="37:55" x14ac:dyDescent="0.25">
      <c r="AK266" s="83"/>
      <c r="AL266" s="186"/>
      <c r="AM266" s="29"/>
      <c r="AN266" s="29"/>
      <c r="AO266" s="29"/>
      <c r="AP266" s="29"/>
      <c r="AQ266" s="29"/>
      <c r="AR266" s="29"/>
      <c r="AS266" s="5"/>
      <c r="AT266" s="5"/>
      <c r="AU266" s="5"/>
      <c r="AV266" s="5"/>
      <c r="AW266" s="5"/>
      <c r="AX266" s="5"/>
      <c r="AY266" s="214"/>
      <c r="AZ266" s="83"/>
      <c r="BA266" s="83"/>
      <c r="BB266" s="83"/>
      <c r="BC266" s="5"/>
    </row>
    <row r="267" spans="37:55" x14ac:dyDescent="0.25">
      <c r="AK267" s="83"/>
      <c r="AL267" s="186"/>
      <c r="AM267" s="29"/>
      <c r="AN267" s="29"/>
      <c r="AO267" s="29"/>
      <c r="AP267" s="29"/>
      <c r="AQ267" s="29"/>
      <c r="AR267" s="29"/>
      <c r="AS267" s="5"/>
      <c r="AT267" s="5"/>
      <c r="AU267" s="5"/>
      <c r="AV267" s="5"/>
      <c r="AW267" s="5"/>
      <c r="AX267" s="5"/>
      <c r="AY267" s="214"/>
      <c r="AZ267" s="83"/>
      <c r="BA267" s="83"/>
      <c r="BB267" s="83"/>
      <c r="BC267" s="5"/>
    </row>
    <row r="268" spans="37:55" x14ac:dyDescent="0.25">
      <c r="AK268" s="83"/>
      <c r="AL268" s="186"/>
      <c r="AM268" s="29"/>
      <c r="AN268" s="29"/>
      <c r="AO268" s="29"/>
      <c r="AP268" s="29"/>
      <c r="AQ268" s="29"/>
      <c r="AR268" s="29"/>
      <c r="AS268" s="5"/>
      <c r="AT268" s="5"/>
      <c r="AU268" s="5"/>
      <c r="AV268" s="5"/>
      <c r="AW268" s="5"/>
      <c r="AX268" s="5"/>
      <c r="AY268" s="214"/>
      <c r="AZ268" s="83"/>
      <c r="BA268" s="83"/>
      <c r="BB268" s="83"/>
      <c r="BC268" s="5"/>
    </row>
    <row r="269" spans="37:55" x14ac:dyDescent="0.25">
      <c r="AK269" s="83"/>
      <c r="AL269" s="186"/>
      <c r="AM269" s="29"/>
      <c r="AN269" s="29"/>
      <c r="AO269" s="29"/>
      <c r="AP269" s="29"/>
      <c r="AQ269" s="29"/>
      <c r="AR269" s="29"/>
      <c r="AS269" s="5"/>
      <c r="AT269" s="5"/>
      <c r="AU269" s="5"/>
      <c r="AV269" s="5"/>
      <c r="AW269" s="5"/>
      <c r="AX269" s="5"/>
      <c r="AY269" s="214"/>
      <c r="AZ269" s="83"/>
      <c r="BA269" s="83"/>
      <c r="BB269" s="83"/>
      <c r="BC269" s="5"/>
    </row>
    <row r="270" spans="37:55" x14ac:dyDescent="0.25">
      <c r="AK270" s="83"/>
      <c r="AL270" s="186"/>
      <c r="AM270" s="29"/>
      <c r="AN270" s="29"/>
      <c r="AO270" s="29"/>
      <c r="AP270" s="29"/>
      <c r="AQ270" s="29"/>
      <c r="AR270" s="29"/>
      <c r="AS270" s="5"/>
      <c r="AT270" s="5"/>
      <c r="AU270" s="5"/>
      <c r="AV270" s="5"/>
      <c r="AW270" s="5"/>
      <c r="AX270" s="5"/>
      <c r="AY270" s="214"/>
      <c r="AZ270" s="83"/>
      <c r="BA270" s="83"/>
      <c r="BB270" s="83"/>
      <c r="BC270" s="5"/>
    </row>
    <row r="271" spans="37:55" x14ac:dyDescent="0.25">
      <c r="AK271" s="83"/>
      <c r="AL271" s="186"/>
      <c r="AM271" s="29"/>
      <c r="AN271" s="29"/>
      <c r="AO271" s="29"/>
      <c r="AP271" s="29"/>
      <c r="AQ271" s="29"/>
      <c r="AR271" s="29"/>
      <c r="AS271" s="5"/>
      <c r="AT271" s="5"/>
      <c r="AU271" s="5"/>
      <c r="AV271" s="5"/>
      <c r="AW271" s="5"/>
      <c r="AX271" s="5"/>
      <c r="AY271" s="214"/>
      <c r="AZ271" s="83"/>
      <c r="BA271" s="83"/>
      <c r="BB271" s="83"/>
      <c r="BC271" s="5"/>
    </row>
    <row r="272" spans="37:55" x14ac:dyDescent="0.25">
      <c r="AK272" s="83"/>
      <c r="AL272" s="186"/>
      <c r="AM272" s="29"/>
      <c r="AN272" s="29"/>
      <c r="AO272" s="29"/>
      <c r="AP272" s="29"/>
      <c r="AQ272" s="29"/>
      <c r="AR272" s="29"/>
      <c r="AS272" s="5"/>
      <c r="AT272" s="5"/>
      <c r="AU272" s="5"/>
      <c r="AV272" s="5"/>
      <c r="AW272" s="5"/>
      <c r="AX272" s="5"/>
      <c r="AY272" s="214"/>
      <c r="AZ272" s="83"/>
      <c r="BA272" s="83"/>
      <c r="BB272" s="83"/>
      <c r="BC272" s="5"/>
    </row>
    <row r="273" spans="37:55" x14ac:dyDescent="0.25">
      <c r="AK273" s="83"/>
      <c r="AL273" s="186"/>
      <c r="AM273" s="29"/>
      <c r="AN273" s="29"/>
      <c r="AO273" s="29"/>
      <c r="AP273" s="29"/>
      <c r="AQ273" s="29"/>
      <c r="AR273" s="29"/>
      <c r="AS273" s="5"/>
      <c r="AT273" s="5"/>
      <c r="AU273" s="5"/>
      <c r="AV273" s="5"/>
      <c r="AW273" s="5"/>
      <c r="AX273" s="5"/>
      <c r="AY273" s="214"/>
      <c r="AZ273" s="83"/>
      <c r="BA273" s="83"/>
      <c r="BB273" s="83"/>
      <c r="BC273" s="5"/>
    </row>
    <row r="274" spans="37:55" x14ac:dyDescent="0.25">
      <c r="AK274" s="83"/>
      <c r="AL274" s="186"/>
      <c r="AM274" s="29"/>
      <c r="AN274" s="29"/>
      <c r="AO274" s="29"/>
      <c r="AP274" s="29"/>
      <c r="AQ274" s="29"/>
      <c r="AR274" s="29"/>
      <c r="AS274" s="5"/>
      <c r="AT274" s="5"/>
      <c r="AU274" s="5"/>
      <c r="AV274" s="5"/>
      <c r="AW274" s="5"/>
      <c r="AX274" s="5"/>
      <c r="AY274" s="214"/>
      <c r="AZ274" s="83"/>
      <c r="BA274" s="83"/>
      <c r="BB274" s="83"/>
      <c r="BC274" s="5"/>
    </row>
    <row r="275" spans="37:55" x14ac:dyDescent="0.25">
      <c r="AK275" s="83"/>
      <c r="AL275" s="186"/>
      <c r="AM275" s="29"/>
      <c r="AN275" s="29"/>
      <c r="AO275" s="29"/>
      <c r="AP275" s="29"/>
      <c r="AQ275" s="29"/>
      <c r="AR275" s="29"/>
      <c r="AS275" s="5"/>
      <c r="AT275" s="5"/>
      <c r="AU275" s="5"/>
      <c r="AV275" s="5"/>
      <c r="AW275" s="5"/>
      <c r="AX275" s="5"/>
      <c r="AY275" s="214"/>
      <c r="AZ275" s="83"/>
      <c r="BA275" s="83"/>
      <c r="BB275" s="83"/>
      <c r="BC275" s="5"/>
    </row>
    <row r="276" spans="37:55" x14ac:dyDescent="0.25">
      <c r="AK276" s="83"/>
      <c r="AL276" s="186"/>
      <c r="AM276" s="29"/>
      <c r="AN276" s="29"/>
      <c r="AO276" s="29"/>
      <c r="AP276" s="29"/>
      <c r="AQ276" s="29"/>
      <c r="AR276" s="29"/>
      <c r="AS276" s="5"/>
      <c r="AT276" s="5"/>
      <c r="AU276" s="5"/>
      <c r="AV276" s="5"/>
      <c r="AW276" s="5"/>
      <c r="AX276" s="5"/>
      <c r="AY276" s="214"/>
      <c r="AZ276" s="83"/>
      <c r="BA276" s="83"/>
      <c r="BB276" s="83"/>
      <c r="BC276" s="5"/>
    </row>
    <row r="277" spans="37:55" x14ac:dyDescent="0.25">
      <c r="AK277" s="83"/>
      <c r="AL277" s="186"/>
      <c r="AM277" s="29"/>
      <c r="AN277" s="29"/>
      <c r="AO277" s="29"/>
      <c r="AP277" s="29"/>
      <c r="AQ277" s="29"/>
      <c r="AR277" s="29"/>
      <c r="AS277" s="5"/>
      <c r="AT277" s="5"/>
      <c r="AU277" s="5"/>
      <c r="AV277" s="5"/>
      <c r="AW277" s="5"/>
      <c r="AX277" s="5"/>
      <c r="AY277" s="214"/>
      <c r="AZ277" s="83"/>
      <c r="BA277" s="83"/>
      <c r="BB277" s="83"/>
      <c r="BC277" s="5"/>
    </row>
    <row r="278" spans="37:55" x14ac:dyDescent="0.25">
      <c r="AK278" s="83"/>
      <c r="AL278" s="186"/>
      <c r="AM278" s="29"/>
      <c r="AN278" s="29"/>
      <c r="AO278" s="29"/>
      <c r="AP278" s="29"/>
      <c r="AQ278" s="29"/>
      <c r="AR278" s="29"/>
      <c r="AS278" s="5"/>
      <c r="AT278" s="5"/>
      <c r="AU278" s="5"/>
      <c r="AV278" s="5"/>
      <c r="AW278" s="5"/>
      <c r="AX278" s="5"/>
      <c r="AY278" s="214"/>
      <c r="AZ278" s="83"/>
      <c r="BA278" s="83"/>
      <c r="BB278" s="83"/>
      <c r="BC278" s="5"/>
    </row>
    <row r="279" spans="37:55" x14ac:dyDescent="0.25">
      <c r="AK279" s="83"/>
      <c r="AL279" s="186"/>
      <c r="AM279" s="29"/>
      <c r="AN279" s="29"/>
      <c r="AO279" s="29"/>
      <c r="AP279" s="29"/>
      <c r="AQ279" s="29"/>
      <c r="AR279" s="29"/>
      <c r="AS279" s="5"/>
      <c r="AT279" s="5"/>
      <c r="AU279" s="5"/>
      <c r="AV279" s="5"/>
      <c r="AW279" s="5"/>
      <c r="AX279" s="5"/>
      <c r="AY279" s="214"/>
      <c r="AZ279" s="83"/>
      <c r="BA279" s="83"/>
      <c r="BB279" s="83"/>
      <c r="BC279" s="5"/>
    </row>
    <row r="280" spans="37:55" x14ac:dyDescent="0.25">
      <c r="AK280" s="83"/>
      <c r="AL280" s="186"/>
      <c r="AM280" s="29"/>
      <c r="AN280" s="29"/>
      <c r="AO280" s="29"/>
      <c r="AP280" s="29"/>
      <c r="AQ280" s="29"/>
      <c r="AR280" s="29"/>
      <c r="AS280" s="5"/>
      <c r="AT280" s="5"/>
      <c r="AU280" s="5"/>
      <c r="AV280" s="5"/>
      <c r="AW280" s="5"/>
      <c r="AX280" s="5"/>
      <c r="AY280" s="214"/>
      <c r="AZ280" s="83"/>
      <c r="BA280" s="83"/>
      <c r="BB280" s="83"/>
      <c r="BC280" s="5"/>
    </row>
    <row r="281" spans="37:55" x14ac:dyDescent="0.25">
      <c r="AK281" s="83"/>
      <c r="AL281" s="186"/>
      <c r="AM281" s="29"/>
      <c r="AN281" s="29"/>
      <c r="AO281" s="29"/>
      <c r="AP281" s="29"/>
      <c r="AQ281" s="29"/>
      <c r="AR281" s="29"/>
      <c r="AS281" s="5"/>
      <c r="AT281" s="5"/>
      <c r="AU281" s="5"/>
      <c r="AV281" s="5"/>
      <c r="AW281" s="5"/>
      <c r="AX281" s="5"/>
      <c r="AY281" s="214"/>
      <c r="AZ281" s="83"/>
      <c r="BA281" s="83"/>
      <c r="BB281" s="83"/>
      <c r="BC281" s="5"/>
    </row>
    <row r="282" spans="37:55" x14ac:dyDescent="0.25">
      <c r="AK282" s="83"/>
      <c r="AL282" s="186"/>
      <c r="AM282" s="29"/>
      <c r="AN282" s="29"/>
      <c r="AO282" s="29"/>
      <c r="AP282" s="29"/>
      <c r="AQ282" s="29"/>
      <c r="AR282" s="29"/>
      <c r="AS282" s="5"/>
      <c r="AT282" s="5"/>
      <c r="AU282" s="5"/>
      <c r="AV282" s="5"/>
      <c r="AW282" s="5"/>
      <c r="AX282" s="5"/>
      <c r="AY282" s="214"/>
      <c r="AZ282" s="83"/>
      <c r="BA282" s="83"/>
      <c r="BB282" s="83"/>
      <c r="BC282" s="5"/>
    </row>
    <row r="283" spans="37:55" x14ac:dyDescent="0.25">
      <c r="AK283" s="83"/>
      <c r="AL283" s="186"/>
      <c r="AM283" s="29"/>
      <c r="AN283" s="29"/>
      <c r="AO283" s="29"/>
      <c r="AP283" s="29"/>
      <c r="AQ283" s="29"/>
      <c r="AR283" s="29"/>
      <c r="AS283" s="5"/>
      <c r="AT283" s="5"/>
      <c r="AU283" s="5"/>
      <c r="AV283" s="5"/>
      <c r="AW283" s="5"/>
      <c r="AX283" s="5"/>
      <c r="AY283" s="214"/>
      <c r="AZ283" s="83"/>
      <c r="BA283" s="83"/>
      <c r="BB283" s="83"/>
      <c r="BC283" s="5"/>
    </row>
    <row r="284" spans="37:55" x14ac:dyDescent="0.25">
      <c r="AK284" s="83"/>
      <c r="AL284" s="186"/>
      <c r="AM284" s="29"/>
      <c r="AN284" s="29"/>
      <c r="AO284" s="29"/>
      <c r="AP284" s="29"/>
      <c r="AQ284" s="29"/>
      <c r="AR284" s="29"/>
      <c r="AS284" s="5"/>
      <c r="AT284" s="5"/>
      <c r="AU284" s="5"/>
      <c r="AV284" s="5"/>
      <c r="AW284" s="5"/>
      <c r="AX284" s="5"/>
      <c r="AY284" s="214"/>
      <c r="AZ284" s="83"/>
      <c r="BA284" s="83"/>
      <c r="BB284" s="83"/>
      <c r="BC284" s="5"/>
    </row>
    <row r="285" spans="37:55" x14ac:dyDescent="0.25">
      <c r="AK285" s="83"/>
      <c r="AL285" s="186"/>
      <c r="AM285" s="29"/>
      <c r="AN285" s="29"/>
      <c r="AO285" s="29"/>
      <c r="AP285" s="29"/>
      <c r="AQ285" s="29"/>
      <c r="AR285" s="29"/>
      <c r="AS285" s="5"/>
      <c r="AT285" s="5"/>
      <c r="AU285" s="5"/>
      <c r="AV285" s="5"/>
      <c r="AW285" s="5"/>
      <c r="AX285" s="5"/>
      <c r="AY285" s="214"/>
      <c r="AZ285" s="83"/>
      <c r="BA285" s="83"/>
      <c r="BB285" s="83"/>
      <c r="BC285" s="5"/>
    </row>
    <row r="286" spans="37:55" x14ac:dyDescent="0.25">
      <c r="AK286" s="83"/>
      <c r="AL286" s="186"/>
      <c r="AM286" s="29"/>
      <c r="AN286" s="29"/>
      <c r="AO286" s="29"/>
      <c r="AP286" s="29"/>
      <c r="AQ286" s="29"/>
      <c r="AR286" s="29"/>
      <c r="AS286" s="5"/>
      <c r="AT286" s="5"/>
      <c r="AU286" s="5"/>
      <c r="AV286" s="5"/>
      <c r="AW286" s="5"/>
      <c r="AX286" s="5"/>
      <c r="AY286" s="214"/>
      <c r="AZ286" s="83"/>
      <c r="BA286" s="83"/>
      <c r="BB286" s="83"/>
      <c r="BC286" s="5"/>
    </row>
    <row r="287" spans="37:55" x14ac:dyDescent="0.25">
      <c r="AK287" s="83"/>
      <c r="AL287" s="186"/>
      <c r="AM287" s="29"/>
      <c r="AN287" s="29"/>
      <c r="AO287" s="29"/>
      <c r="AP287" s="29"/>
      <c r="AQ287" s="29"/>
      <c r="AR287" s="29"/>
      <c r="AS287" s="5"/>
      <c r="AT287" s="5"/>
      <c r="AU287" s="5"/>
      <c r="AV287" s="5"/>
      <c r="AW287" s="5"/>
      <c r="AX287" s="5"/>
      <c r="AY287" s="214"/>
      <c r="AZ287" s="83"/>
      <c r="BA287" s="83"/>
      <c r="BB287" s="83"/>
      <c r="BC287" s="5"/>
    </row>
    <row r="288" spans="37:55" x14ac:dyDescent="0.25">
      <c r="AK288" s="83"/>
      <c r="AL288" s="186"/>
      <c r="AM288" s="29"/>
      <c r="AN288" s="29"/>
      <c r="AO288" s="29"/>
      <c r="AP288" s="29"/>
      <c r="AQ288" s="29"/>
      <c r="AR288" s="29"/>
      <c r="AS288" s="5"/>
      <c r="AT288" s="5"/>
      <c r="AU288" s="5"/>
      <c r="AV288" s="5"/>
      <c r="AW288" s="5"/>
      <c r="AX288" s="5"/>
      <c r="AY288" s="214"/>
      <c r="AZ288" s="83"/>
      <c r="BA288" s="83"/>
      <c r="BB288" s="83"/>
      <c r="BC288" s="5"/>
    </row>
    <row r="289" spans="36:55" x14ac:dyDescent="0.25">
      <c r="AK289" s="83"/>
      <c r="AL289" s="186"/>
      <c r="AM289" s="29"/>
      <c r="AN289" s="29"/>
      <c r="AO289" s="29"/>
      <c r="AP289" s="29"/>
      <c r="AQ289" s="29"/>
      <c r="AR289" s="29"/>
      <c r="AS289" s="5"/>
      <c r="AT289" s="5"/>
      <c r="AU289" s="5"/>
      <c r="AV289" s="5"/>
      <c r="AW289" s="5"/>
      <c r="AX289" s="5"/>
      <c r="AY289" s="214"/>
      <c r="AZ289" s="83"/>
      <c r="BA289" s="83"/>
      <c r="BB289" s="83"/>
      <c r="BC289" s="5"/>
    </row>
    <row r="290" spans="36:55" x14ac:dyDescent="0.25">
      <c r="AJ290" s="27"/>
      <c r="AK290" s="83"/>
      <c r="AL290" s="186"/>
      <c r="AM290" s="29"/>
      <c r="AN290" s="29"/>
      <c r="AO290" s="29"/>
      <c r="AP290" s="29"/>
      <c r="AQ290" s="29"/>
      <c r="AR290" s="29"/>
      <c r="AS290" s="5"/>
      <c r="AT290" s="5"/>
      <c r="AU290" s="5"/>
      <c r="AV290" s="5"/>
      <c r="AW290" s="5"/>
      <c r="AX290" s="5"/>
      <c r="AY290" s="214"/>
      <c r="AZ290" s="83"/>
      <c r="BA290" s="83"/>
      <c r="BB290" s="83"/>
      <c r="BC290" s="5"/>
    </row>
    <row r="291" spans="36:55" x14ac:dyDescent="0.25">
      <c r="AJ291" s="27"/>
      <c r="AK291" s="83"/>
      <c r="AL291" s="186"/>
      <c r="AM291" s="29"/>
      <c r="AN291" s="29"/>
      <c r="AO291" s="29"/>
      <c r="AP291" s="29"/>
      <c r="AQ291" s="29"/>
      <c r="AR291" s="29"/>
      <c r="AS291" s="5"/>
      <c r="AT291" s="5"/>
      <c r="AU291" s="5"/>
      <c r="AV291" s="5"/>
      <c r="AW291" s="5"/>
      <c r="AX291" s="5"/>
      <c r="AY291" s="214"/>
      <c r="AZ291" s="83"/>
      <c r="BA291" s="83"/>
      <c r="BB291" s="83"/>
      <c r="BC291" s="5"/>
    </row>
    <row r="292" spans="36:55" x14ac:dyDescent="0.25">
      <c r="AK292" s="83"/>
      <c r="AL292" s="186"/>
      <c r="AM292" s="29"/>
      <c r="AN292" s="29"/>
      <c r="AO292" s="29"/>
      <c r="AP292" s="29"/>
      <c r="AQ292" s="29"/>
      <c r="AR292" s="29"/>
      <c r="AS292" s="5"/>
      <c r="AT292" s="5"/>
      <c r="AU292" s="5"/>
      <c r="AV292" s="5"/>
      <c r="AW292" s="5"/>
      <c r="AX292" s="5"/>
      <c r="AY292" s="214"/>
      <c r="AZ292" s="83"/>
      <c r="BA292" s="83"/>
      <c r="BB292" s="83"/>
      <c r="BC292" s="5"/>
    </row>
    <row r="293" spans="36:55" x14ac:dyDescent="0.25">
      <c r="AK293" s="83"/>
      <c r="AL293" s="186"/>
      <c r="AM293" s="29"/>
      <c r="AN293" s="29"/>
      <c r="AO293" s="29"/>
      <c r="AP293" s="29"/>
      <c r="AQ293" s="29"/>
      <c r="AR293" s="29"/>
      <c r="AS293" s="5"/>
      <c r="AT293" s="5"/>
      <c r="AU293" s="5"/>
      <c r="AV293" s="5"/>
      <c r="AW293" s="5"/>
      <c r="AX293" s="5"/>
      <c r="AY293" s="214"/>
      <c r="AZ293" s="83"/>
      <c r="BA293" s="83"/>
      <c r="BB293" s="83"/>
      <c r="BC293" s="5"/>
    </row>
    <row r="294" spans="36:55" x14ac:dyDescent="0.25">
      <c r="AK294" s="83"/>
      <c r="AL294" s="186"/>
      <c r="AM294" s="29"/>
      <c r="AN294" s="29"/>
      <c r="AO294" s="29"/>
      <c r="AP294" s="29"/>
      <c r="AQ294" s="29"/>
      <c r="AR294" s="29"/>
      <c r="AS294" s="5"/>
      <c r="AT294" s="5"/>
      <c r="AU294" s="5"/>
      <c r="AV294" s="5"/>
      <c r="AW294" s="5"/>
      <c r="AX294" s="5"/>
      <c r="AY294" s="214"/>
      <c r="AZ294" s="83"/>
      <c r="BA294" s="83"/>
      <c r="BB294" s="83"/>
      <c r="BC294" s="5"/>
    </row>
    <row r="295" spans="36:55" x14ac:dyDescent="0.25">
      <c r="AK295" s="83"/>
      <c r="AL295" s="186"/>
      <c r="AM295" s="29"/>
      <c r="AN295" s="29"/>
      <c r="AO295" s="29"/>
      <c r="AP295" s="29"/>
      <c r="AQ295" s="29"/>
      <c r="AR295" s="29"/>
      <c r="AS295" s="5"/>
      <c r="AT295" s="5"/>
      <c r="AU295" s="5"/>
      <c r="AV295" s="5"/>
      <c r="AW295" s="5"/>
      <c r="AX295" s="5"/>
      <c r="AY295" s="214"/>
      <c r="AZ295" s="83"/>
      <c r="BA295" s="83"/>
      <c r="BB295" s="83"/>
      <c r="BC295" s="5"/>
    </row>
    <row r="296" spans="36:55" x14ac:dyDescent="0.25">
      <c r="AK296" s="83"/>
      <c r="AL296" s="186"/>
      <c r="AM296" s="29"/>
      <c r="AN296" s="29"/>
      <c r="AO296" s="29"/>
      <c r="AP296" s="29"/>
      <c r="AQ296" s="29"/>
      <c r="AR296" s="29"/>
      <c r="AS296" s="5"/>
      <c r="AT296" s="5"/>
      <c r="AU296" s="5"/>
      <c r="AV296" s="5"/>
      <c r="AW296" s="5"/>
      <c r="AX296" s="5"/>
      <c r="AY296" s="214"/>
      <c r="AZ296" s="83"/>
      <c r="BA296" s="83"/>
      <c r="BB296" s="83"/>
      <c r="BC296" s="5"/>
    </row>
    <row r="297" spans="36:55" x14ac:dyDescent="0.25">
      <c r="AK297" s="83"/>
      <c r="AL297" s="186"/>
      <c r="AM297" s="29"/>
      <c r="AN297" s="29"/>
      <c r="AO297" s="29"/>
      <c r="AP297" s="29"/>
      <c r="AQ297" s="29"/>
      <c r="AR297" s="29"/>
      <c r="AS297" s="5"/>
      <c r="AT297" s="5"/>
      <c r="AU297" s="5"/>
      <c r="AV297" s="5"/>
      <c r="AW297" s="5"/>
      <c r="AX297" s="5"/>
      <c r="AY297" s="214"/>
      <c r="AZ297" s="83"/>
      <c r="BA297" s="83"/>
      <c r="BB297" s="83"/>
      <c r="BC297" s="5"/>
    </row>
    <row r="298" spans="36:55" x14ac:dyDescent="0.25">
      <c r="AK298" s="83"/>
      <c r="AL298" s="186"/>
      <c r="AM298" s="29"/>
      <c r="AN298" s="29"/>
      <c r="AO298" s="29"/>
      <c r="AP298" s="29"/>
      <c r="AQ298" s="29"/>
      <c r="AR298" s="29"/>
      <c r="AS298" s="5"/>
      <c r="AT298" s="5"/>
      <c r="AU298" s="5"/>
      <c r="AV298" s="5"/>
      <c r="AW298" s="5"/>
      <c r="AX298" s="5"/>
      <c r="AY298" s="214"/>
      <c r="AZ298" s="83"/>
      <c r="BA298" s="83"/>
      <c r="BB298" s="83"/>
      <c r="BC298" s="5"/>
    </row>
    <row r="299" spans="36:55" x14ac:dyDescent="0.25">
      <c r="AK299" s="83"/>
      <c r="AL299" s="186"/>
      <c r="AM299" s="29"/>
      <c r="AN299" s="29"/>
      <c r="AO299" s="29"/>
      <c r="AP299" s="29"/>
      <c r="AQ299" s="29"/>
      <c r="AR299" s="29"/>
      <c r="AS299" s="5"/>
      <c r="AT299" s="5"/>
      <c r="AU299" s="5"/>
      <c r="AV299" s="5"/>
      <c r="AW299" s="5"/>
      <c r="AX299" s="5"/>
      <c r="AY299" s="214"/>
      <c r="AZ299" s="83"/>
      <c r="BA299" s="83"/>
      <c r="BB299" s="83"/>
      <c r="BC299" s="5"/>
    </row>
    <row r="300" spans="36:55" x14ac:dyDescent="0.25">
      <c r="AK300" s="83"/>
      <c r="AL300" s="186"/>
      <c r="AM300" s="29"/>
      <c r="AN300" s="29"/>
      <c r="AO300" s="29"/>
      <c r="AP300" s="29"/>
      <c r="AQ300" s="29"/>
      <c r="AR300" s="29"/>
      <c r="AS300" s="5"/>
      <c r="AT300" s="5"/>
      <c r="AU300" s="5"/>
      <c r="AV300" s="5"/>
      <c r="AW300" s="5"/>
      <c r="AX300" s="5"/>
      <c r="AY300" s="214"/>
      <c r="AZ300" s="83"/>
      <c r="BA300" s="83"/>
      <c r="BB300" s="83"/>
      <c r="BC300" s="5"/>
    </row>
    <row r="301" spans="36:55" x14ac:dyDescent="0.25">
      <c r="AK301" s="83"/>
      <c r="AL301" s="186"/>
      <c r="AM301" s="29"/>
      <c r="AN301" s="29"/>
      <c r="AO301" s="29"/>
      <c r="AP301" s="29"/>
      <c r="AQ301" s="29"/>
      <c r="AR301" s="29"/>
      <c r="AS301" s="5"/>
      <c r="AT301" s="5"/>
      <c r="AU301" s="5"/>
      <c r="AV301" s="5"/>
      <c r="AW301" s="5"/>
      <c r="AX301" s="5"/>
      <c r="AY301" s="214"/>
      <c r="AZ301" s="83"/>
      <c r="BA301" s="83"/>
      <c r="BB301" s="83"/>
      <c r="BC301" s="5"/>
    </row>
    <row r="302" spans="36:55" x14ac:dyDescent="0.25">
      <c r="AK302" s="83"/>
      <c r="AL302" s="186"/>
      <c r="AM302" s="29"/>
      <c r="AN302" s="29"/>
      <c r="AO302" s="29"/>
      <c r="AP302" s="29"/>
      <c r="AQ302" s="29"/>
      <c r="AR302" s="29"/>
      <c r="AS302" s="5"/>
      <c r="AT302" s="5"/>
      <c r="AU302" s="5"/>
      <c r="AV302" s="5"/>
      <c r="AW302" s="5"/>
      <c r="AX302" s="5"/>
      <c r="AY302" s="214"/>
      <c r="AZ302" s="83"/>
      <c r="BA302" s="83"/>
      <c r="BB302" s="83"/>
      <c r="BC302" s="5"/>
    </row>
    <row r="303" spans="36:55" x14ac:dyDescent="0.25">
      <c r="AK303" s="83"/>
      <c r="AL303" s="186"/>
      <c r="AM303" s="29"/>
      <c r="AN303" s="29"/>
      <c r="AO303" s="29"/>
      <c r="AP303" s="29"/>
      <c r="AQ303" s="29"/>
      <c r="AR303" s="29"/>
      <c r="AS303" s="5"/>
      <c r="AT303" s="5"/>
      <c r="AU303" s="5"/>
      <c r="AV303" s="5"/>
      <c r="AW303" s="5"/>
      <c r="AX303" s="5"/>
      <c r="AY303" s="214"/>
      <c r="AZ303" s="83"/>
      <c r="BA303" s="83"/>
      <c r="BB303" s="83"/>
      <c r="BC303" s="5"/>
    </row>
    <row r="304" spans="36:55" x14ac:dyDescent="0.25">
      <c r="AK304" s="83"/>
      <c r="AL304" s="186"/>
      <c r="AM304" s="29"/>
      <c r="AN304" s="29"/>
      <c r="AO304" s="29"/>
      <c r="AP304" s="29"/>
      <c r="AQ304" s="29"/>
      <c r="AR304" s="29"/>
      <c r="AS304" s="5"/>
      <c r="AT304" s="5"/>
      <c r="AU304" s="5"/>
      <c r="AV304" s="5"/>
      <c r="AW304" s="5"/>
      <c r="AX304" s="5"/>
      <c r="AY304" s="214"/>
      <c r="AZ304" s="83"/>
      <c r="BA304" s="83"/>
      <c r="BB304" s="83"/>
      <c r="BC304" s="5"/>
    </row>
    <row r="305" spans="37:55" x14ac:dyDescent="0.25">
      <c r="AK305" s="83"/>
      <c r="AL305" s="186"/>
      <c r="AM305" s="29"/>
      <c r="AN305" s="29"/>
      <c r="AO305" s="29"/>
      <c r="AP305" s="29"/>
      <c r="AQ305" s="29"/>
      <c r="AR305" s="29"/>
      <c r="AS305" s="5"/>
      <c r="AT305" s="5"/>
      <c r="AU305" s="5"/>
      <c r="AV305" s="5"/>
      <c r="AW305" s="5"/>
      <c r="AX305" s="5"/>
      <c r="AY305" s="214"/>
      <c r="AZ305" s="83"/>
      <c r="BA305" s="83"/>
      <c r="BB305" s="83"/>
      <c r="BC305" s="5"/>
    </row>
    <row r="306" spans="37:55" x14ac:dyDescent="0.25">
      <c r="AK306" s="83"/>
      <c r="AL306" s="186"/>
      <c r="AM306" s="29"/>
      <c r="AN306" s="29"/>
      <c r="AO306" s="29"/>
      <c r="AP306" s="29"/>
      <c r="AQ306" s="29"/>
      <c r="AR306" s="29"/>
      <c r="AS306" s="5"/>
      <c r="AT306" s="5"/>
      <c r="AU306" s="5"/>
      <c r="AV306" s="5"/>
      <c r="AW306" s="5"/>
      <c r="AX306" s="5"/>
      <c r="AY306" s="214"/>
      <c r="AZ306" s="83"/>
      <c r="BA306" s="83"/>
      <c r="BB306" s="83"/>
      <c r="BC306" s="5"/>
    </row>
    <row r="307" spans="37:55" x14ac:dyDescent="0.25">
      <c r="AK307" s="83"/>
      <c r="AL307" s="186"/>
      <c r="AM307" s="29"/>
      <c r="AN307" s="29"/>
      <c r="AO307" s="29"/>
      <c r="AP307" s="29"/>
      <c r="AQ307" s="29"/>
      <c r="AR307" s="29"/>
      <c r="AS307" s="5"/>
      <c r="AT307" s="5"/>
      <c r="AU307" s="5"/>
      <c r="AV307" s="5"/>
      <c r="AW307" s="5"/>
      <c r="AX307" s="5"/>
      <c r="AY307" s="214"/>
      <c r="AZ307" s="83"/>
      <c r="BA307" s="83"/>
      <c r="BB307" s="83"/>
      <c r="BC307" s="5"/>
    </row>
    <row r="308" spans="37:55" x14ac:dyDescent="0.25">
      <c r="AK308" s="83"/>
      <c r="AL308" s="186"/>
      <c r="AM308" s="29"/>
      <c r="AN308" s="29"/>
      <c r="AO308" s="29"/>
      <c r="AP308" s="29"/>
      <c r="AQ308" s="29"/>
      <c r="AR308" s="29"/>
      <c r="AS308" s="5"/>
      <c r="AT308" s="5"/>
      <c r="AU308" s="5"/>
      <c r="AV308" s="5"/>
      <c r="AW308" s="5"/>
      <c r="AX308" s="5"/>
      <c r="AY308" s="214"/>
      <c r="AZ308" s="83"/>
      <c r="BA308" s="83"/>
      <c r="BB308" s="83"/>
      <c r="BC308" s="5"/>
    </row>
    <row r="309" spans="37:55" x14ac:dyDescent="0.25">
      <c r="AK309" s="83"/>
      <c r="AL309" s="186"/>
      <c r="AM309" s="29"/>
      <c r="AN309" s="29"/>
      <c r="AO309" s="29"/>
      <c r="AP309" s="29"/>
      <c r="AQ309" s="29"/>
      <c r="AR309" s="29"/>
      <c r="AS309" s="5"/>
      <c r="AT309" s="5"/>
      <c r="AU309" s="5"/>
      <c r="AV309" s="5"/>
      <c r="AW309" s="5"/>
      <c r="AX309" s="5"/>
      <c r="AY309" s="214"/>
      <c r="AZ309" s="83"/>
      <c r="BA309" s="83"/>
      <c r="BB309" s="83"/>
      <c r="BC309" s="5"/>
    </row>
    <row r="310" spans="37:55" x14ac:dyDescent="0.25">
      <c r="AK310" s="83"/>
      <c r="AL310" s="186"/>
      <c r="AM310" s="29"/>
      <c r="AN310" s="29"/>
      <c r="AO310" s="29"/>
      <c r="AP310" s="29"/>
      <c r="AQ310" s="29"/>
      <c r="AR310" s="29"/>
      <c r="AS310" s="5"/>
      <c r="AT310" s="5"/>
      <c r="AU310" s="5"/>
      <c r="AV310" s="5"/>
      <c r="AW310" s="5"/>
      <c r="AX310" s="5"/>
      <c r="AY310" s="214"/>
      <c r="AZ310" s="83"/>
      <c r="BA310" s="83"/>
      <c r="BB310" s="83"/>
      <c r="BC310" s="5"/>
    </row>
    <row r="311" spans="37:55" x14ac:dyDescent="0.25">
      <c r="AK311" s="83"/>
      <c r="AL311" s="186"/>
      <c r="AM311" s="29"/>
      <c r="AN311" s="29"/>
      <c r="AO311" s="29"/>
      <c r="AP311" s="29"/>
      <c r="AQ311" s="29"/>
      <c r="AR311" s="29"/>
      <c r="AS311" s="5"/>
      <c r="AT311" s="5"/>
      <c r="AU311" s="5"/>
      <c r="AV311" s="5"/>
      <c r="AW311" s="5"/>
      <c r="AX311" s="5"/>
      <c r="AY311" s="214"/>
      <c r="AZ311" s="83"/>
      <c r="BA311" s="83"/>
      <c r="BB311" s="83"/>
      <c r="BC311" s="5"/>
    </row>
    <row r="312" spans="37:55" x14ac:dyDescent="0.25">
      <c r="AK312" s="83"/>
      <c r="AL312" s="186"/>
      <c r="AM312" s="29"/>
      <c r="AN312" s="29"/>
      <c r="AO312" s="29"/>
      <c r="AP312" s="29"/>
      <c r="AQ312" s="29"/>
      <c r="AR312" s="29"/>
      <c r="AS312" s="5"/>
      <c r="AT312" s="5"/>
      <c r="AU312" s="5"/>
      <c r="AV312" s="5"/>
      <c r="AW312" s="5"/>
      <c r="AX312" s="5"/>
      <c r="AY312" s="214"/>
      <c r="AZ312" s="83"/>
      <c r="BA312" s="83"/>
      <c r="BB312" s="83"/>
      <c r="BC312" s="5"/>
    </row>
    <row r="313" spans="37:55" x14ac:dyDescent="0.25">
      <c r="AK313" s="83"/>
      <c r="AL313" s="186"/>
      <c r="AM313" s="29"/>
      <c r="AN313" s="29"/>
      <c r="AO313" s="29"/>
      <c r="AP313" s="29"/>
      <c r="AQ313" s="29"/>
      <c r="AR313" s="29"/>
      <c r="AS313" s="5"/>
      <c r="AT313" s="5"/>
      <c r="AU313" s="5"/>
      <c r="AV313" s="5"/>
      <c r="AW313" s="5"/>
      <c r="AX313" s="5"/>
      <c r="AY313" s="214"/>
      <c r="AZ313" s="83"/>
      <c r="BA313" s="83"/>
      <c r="BB313" s="83"/>
      <c r="BC313" s="5"/>
    </row>
    <row r="314" spans="37:55" x14ac:dyDescent="0.25">
      <c r="AK314" s="83"/>
      <c r="AL314" s="186"/>
      <c r="AM314" s="29"/>
      <c r="AN314" s="29"/>
      <c r="AO314" s="29"/>
      <c r="AP314" s="29"/>
      <c r="AQ314" s="29"/>
      <c r="AR314" s="29"/>
      <c r="AS314" s="5"/>
      <c r="AT314" s="5"/>
      <c r="AU314" s="5"/>
      <c r="AV314" s="5"/>
      <c r="AW314" s="5"/>
      <c r="AX314" s="5"/>
      <c r="AY314" s="214"/>
      <c r="AZ314" s="83"/>
      <c r="BA314" s="83"/>
      <c r="BB314" s="83"/>
      <c r="BC314" s="5"/>
    </row>
    <row r="315" spans="37:55" x14ac:dyDescent="0.25">
      <c r="AK315" s="83"/>
      <c r="AL315" s="186"/>
      <c r="AM315" s="29"/>
      <c r="AN315" s="29"/>
      <c r="AO315" s="29"/>
      <c r="AP315" s="29"/>
      <c r="AQ315" s="29"/>
      <c r="AR315" s="29"/>
      <c r="AS315" s="5"/>
      <c r="AT315" s="5"/>
      <c r="AU315" s="5"/>
      <c r="AV315" s="5"/>
      <c r="AW315" s="5"/>
      <c r="AX315" s="5"/>
      <c r="AY315" s="214"/>
      <c r="AZ315" s="83"/>
      <c r="BA315" s="83"/>
      <c r="BB315" s="83"/>
      <c r="BC315" s="5"/>
    </row>
    <row r="316" spans="37:55" x14ac:dyDescent="0.25">
      <c r="AK316" s="83"/>
      <c r="AL316" s="186"/>
      <c r="AM316" s="29"/>
      <c r="AN316" s="29"/>
      <c r="AO316" s="29"/>
      <c r="AP316" s="29"/>
      <c r="AQ316" s="29"/>
      <c r="AR316" s="29"/>
      <c r="AS316" s="5"/>
      <c r="AT316" s="5"/>
      <c r="AU316" s="5"/>
      <c r="AV316" s="5"/>
      <c r="AW316" s="5"/>
      <c r="AX316" s="5"/>
      <c r="AY316" s="214"/>
      <c r="AZ316" s="83"/>
      <c r="BA316" s="83"/>
      <c r="BB316" s="83"/>
      <c r="BC316" s="5"/>
    </row>
    <row r="317" spans="37:55" x14ac:dyDescent="0.25">
      <c r="AK317" s="83"/>
      <c r="AL317" s="186"/>
      <c r="AM317" s="29"/>
      <c r="AN317" s="29"/>
      <c r="AO317" s="29"/>
      <c r="AP317" s="29"/>
      <c r="AQ317" s="29"/>
      <c r="AR317" s="29"/>
      <c r="AS317" s="5"/>
      <c r="AT317" s="5"/>
      <c r="AU317" s="5"/>
      <c r="AV317" s="5"/>
      <c r="AW317" s="5"/>
      <c r="AX317" s="5"/>
      <c r="AY317" s="214"/>
      <c r="AZ317" s="83"/>
      <c r="BA317" s="83"/>
      <c r="BB317" s="83"/>
      <c r="BC317" s="5"/>
    </row>
    <row r="318" spans="37:55" x14ac:dyDescent="0.25">
      <c r="AK318" s="83"/>
      <c r="AL318" s="186"/>
      <c r="AM318" s="29"/>
      <c r="AN318" s="29"/>
      <c r="AO318" s="29"/>
      <c r="AP318" s="29"/>
      <c r="AQ318" s="29"/>
      <c r="AR318" s="29"/>
      <c r="AS318" s="5"/>
      <c r="AT318" s="5"/>
      <c r="AU318" s="5"/>
      <c r="AV318" s="5"/>
      <c r="AW318" s="5"/>
      <c r="AX318" s="5"/>
      <c r="AY318" s="214"/>
      <c r="AZ318" s="83"/>
      <c r="BA318" s="83"/>
      <c r="BB318" s="83"/>
      <c r="BC318" s="5"/>
    </row>
    <row r="319" spans="37:55" x14ac:dyDescent="0.25">
      <c r="AK319" s="83"/>
      <c r="AL319" s="186"/>
      <c r="AM319" s="29"/>
      <c r="AN319" s="29"/>
      <c r="AO319" s="29"/>
      <c r="AP319" s="29"/>
      <c r="AQ319" s="29"/>
      <c r="AR319" s="29"/>
      <c r="AS319" s="5"/>
      <c r="AT319" s="5"/>
      <c r="AU319" s="5"/>
      <c r="AV319" s="5"/>
      <c r="AW319" s="5"/>
      <c r="AX319" s="5"/>
      <c r="AY319" s="214"/>
      <c r="AZ319" s="83"/>
      <c r="BA319" s="83"/>
      <c r="BB319" s="83"/>
      <c r="BC319" s="5"/>
    </row>
    <row r="320" spans="37:55" x14ac:dyDescent="0.25">
      <c r="AK320" s="83"/>
      <c r="AL320" s="186"/>
      <c r="AM320" s="29"/>
      <c r="AN320" s="29"/>
      <c r="AO320" s="29"/>
      <c r="AP320" s="29"/>
      <c r="AQ320" s="29"/>
      <c r="AR320" s="29"/>
      <c r="AS320" s="5"/>
      <c r="AT320" s="5"/>
      <c r="AU320" s="5"/>
      <c r="AV320" s="5"/>
      <c r="AW320" s="5"/>
      <c r="AX320" s="5"/>
      <c r="AY320" s="214"/>
      <c r="AZ320" s="83"/>
      <c r="BA320" s="83"/>
      <c r="BB320" s="83"/>
      <c r="BC320" s="5"/>
    </row>
    <row r="321" spans="37:55" x14ac:dyDescent="0.25">
      <c r="AK321" s="83"/>
      <c r="AL321" s="186"/>
      <c r="AM321" s="29"/>
      <c r="AN321" s="29"/>
      <c r="AO321" s="29"/>
      <c r="AP321" s="29"/>
      <c r="AQ321" s="29"/>
      <c r="AR321" s="29"/>
      <c r="AS321" s="5"/>
      <c r="AT321" s="5"/>
      <c r="AU321" s="5"/>
      <c r="AV321" s="5"/>
      <c r="AW321" s="5"/>
      <c r="AX321" s="5"/>
      <c r="AY321" s="214"/>
      <c r="AZ321" s="83"/>
      <c r="BA321" s="83"/>
      <c r="BB321" s="83"/>
      <c r="BC321" s="5"/>
    </row>
    <row r="322" spans="37:55" x14ac:dyDescent="0.25">
      <c r="AK322" s="83"/>
      <c r="AL322" s="186"/>
      <c r="AM322" s="29"/>
      <c r="AN322" s="29"/>
      <c r="AO322" s="29"/>
      <c r="AP322" s="29"/>
      <c r="AQ322" s="29"/>
      <c r="AR322" s="29"/>
      <c r="AS322" s="5"/>
      <c r="AT322" s="5"/>
      <c r="AU322" s="5"/>
      <c r="AV322" s="5"/>
      <c r="AW322" s="5"/>
      <c r="AX322" s="5"/>
      <c r="AY322" s="214"/>
      <c r="AZ322" s="83"/>
      <c r="BA322" s="83"/>
      <c r="BB322" s="83"/>
      <c r="BC322" s="5"/>
    </row>
    <row r="323" spans="37:55" x14ac:dyDescent="0.25">
      <c r="AK323" s="83"/>
      <c r="AL323" s="186"/>
      <c r="AM323" s="29"/>
      <c r="AN323" s="29"/>
      <c r="AO323" s="29"/>
      <c r="AP323" s="29"/>
      <c r="AQ323" s="29"/>
      <c r="AR323" s="29"/>
      <c r="AS323" s="5"/>
      <c r="AT323" s="5"/>
      <c r="AU323" s="5"/>
      <c r="AV323" s="5"/>
      <c r="AW323" s="5"/>
      <c r="AX323" s="5"/>
      <c r="AY323" s="214"/>
      <c r="AZ323" s="83"/>
      <c r="BA323" s="83"/>
      <c r="BB323" s="83"/>
      <c r="BC323" s="5"/>
    </row>
    <row r="324" spans="37:55" x14ac:dyDescent="0.25">
      <c r="AK324" s="83"/>
      <c r="AL324" s="186"/>
      <c r="AM324" s="29"/>
      <c r="AN324" s="29"/>
      <c r="AO324" s="29"/>
      <c r="AP324" s="29"/>
      <c r="AQ324" s="29"/>
      <c r="AR324" s="29"/>
      <c r="AS324" s="5"/>
      <c r="AT324" s="5"/>
      <c r="AU324" s="5"/>
      <c r="AV324" s="5"/>
      <c r="AW324" s="5"/>
      <c r="AX324" s="5"/>
      <c r="AY324" s="214"/>
      <c r="AZ324" s="83"/>
      <c r="BA324" s="83"/>
      <c r="BB324" s="83"/>
      <c r="BC324" s="5"/>
    </row>
    <row r="325" spans="37:55" x14ac:dyDescent="0.25">
      <c r="AK325" s="83"/>
      <c r="AL325" s="186"/>
      <c r="AM325" s="29"/>
      <c r="AN325" s="29"/>
      <c r="AO325" s="29"/>
      <c r="AP325" s="29"/>
      <c r="AQ325" s="29"/>
      <c r="AR325" s="29"/>
      <c r="AS325" s="5"/>
      <c r="AT325" s="5"/>
      <c r="AU325" s="5"/>
      <c r="AV325" s="5"/>
      <c r="AW325" s="5"/>
      <c r="AX325" s="5"/>
      <c r="AY325" s="214"/>
      <c r="AZ325" s="83"/>
      <c r="BA325" s="83"/>
      <c r="BB325" s="83"/>
      <c r="BC325" s="5"/>
    </row>
    <row r="326" spans="37:55" x14ac:dyDescent="0.25">
      <c r="AK326" s="83"/>
      <c r="AL326" s="186"/>
      <c r="AM326" s="29"/>
      <c r="AN326" s="29"/>
      <c r="AO326" s="29"/>
      <c r="AP326" s="29"/>
      <c r="AQ326" s="29"/>
      <c r="AR326" s="29"/>
      <c r="AS326" s="5"/>
      <c r="AT326" s="5"/>
      <c r="AU326" s="5"/>
      <c r="AV326" s="5"/>
      <c r="AW326" s="5"/>
      <c r="AX326" s="5"/>
      <c r="AY326" s="214"/>
      <c r="AZ326" s="83"/>
      <c r="BA326" s="83"/>
      <c r="BB326" s="83"/>
      <c r="BC326" s="5"/>
    </row>
    <row r="327" spans="37:55" x14ac:dyDescent="0.25">
      <c r="AK327" s="83"/>
      <c r="AL327" s="186"/>
      <c r="AM327" s="29"/>
      <c r="AN327" s="29"/>
      <c r="AO327" s="29"/>
      <c r="AP327" s="29"/>
      <c r="AQ327" s="29"/>
      <c r="AR327" s="29"/>
      <c r="AS327" s="5"/>
      <c r="AT327" s="5"/>
      <c r="AU327" s="5"/>
      <c r="AV327" s="5"/>
      <c r="AW327" s="5"/>
      <c r="AX327" s="5"/>
      <c r="AY327" s="214"/>
      <c r="AZ327" s="83"/>
      <c r="BA327" s="83"/>
      <c r="BB327" s="83"/>
      <c r="BC327" s="5"/>
    </row>
    <row r="328" spans="37:55" x14ac:dyDescent="0.25">
      <c r="AK328" s="83"/>
      <c r="AL328" s="186"/>
      <c r="AM328" s="29"/>
      <c r="AN328" s="29"/>
      <c r="AO328" s="29"/>
      <c r="AP328" s="29"/>
      <c r="AQ328" s="29"/>
      <c r="AR328" s="29"/>
      <c r="AS328" s="5"/>
      <c r="AT328" s="5"/>
      <c r="AU328" s="5"/>
      <c r="AV328" s="5"/>
      <c r="AW328" s="5"/>
      <c r="AX328" s="5"/>
      <c r="AY328" s="214"/>
      <c r="AZ328" s="83"/>
      <c r="BA328" s="83"/>
      <c r="BB328" s="83"/>
      <c r="BC328" s="5"/>
    </row>
    <row r="329" spans="37:55" x14ac:dyDescent="0.25">
      <c r="AK329" s="83"/>
      <c r="AL329" s="186"/>
      <c r="AM329" s="29"/>
      <c r="AN329" s="29"/>
      <c r="AO329" s="29"/>
      <c r="AP329" s="29"/>
      <c r="AQ329" s="29"/>
      <c r="AR329" s="29"/>
      <c r="AS329" s="5"/>
      <c r="AT329" s="5"/>
      <c r="AU329" s="5"/>
      <c r="AV329" s="5"/>
      <c r="AW329" s="5"/>
      <c r="AX329" s="5"/>
      <c r="AY329" s="214"/>
      <c r="AZ329" s="83"/>
      <c r="BA329" s="83"/>
      <c r="BB329" s="83"/>
      <c r="BC329" s="5"/>
    </row>
    <row r="330" spans="37:55" x14ac:dyDescent="0.25">
      <c r="AK330" s="83"/>
      <c r="AL330" s="186"/>
      <c r="AM330" s="29"/>
      <c r="AN330" s="29"/>
      <c r="AO330" s="29"/>
      <c r="AP330" s="29"/>
      <c r="AQ330" s="29"/>
      <c r="AR330" s="29"/>
      <c r="AS330" s="5"/>
      <c r="AT330" s="5"/>
      <c r="AU330" s="5"/>
      <c r="AV330" s="5"/>
      <c r="AW330" s="5"/>
      <c r="AX330" s="5"/>
      <c r="AY330" s="214"/>
      <c r="AZ330" s="83"/>
      <c r="BA330" s="83"/>
      <c r="BB330" s="83"/>
      <c r="BC330" s="5"/>
    </row>
    <row r="331" spans="37:55" x14ac:dyDescent="0.25">
      <c r="AK331" s="83"/>
      <c r="AL331" s="186"/>
      <c r="AM331" s="29"/>
      <c r="AN331" s="29"/>
      <c r="AO331" s="29"/>
      <c r="AP331" s="29"/>
      <c r="AQ331" s="29"/>
      <c r="AR331" s="29"/>
      <c r="AS331" s="5"/>
      <c r="AT331" s="5"/>
      <c r="AU331" s="5"/>
      <c r="AV331" s="5"/>
      <c r="AW331" s="5"/>
      <c r="AX331" s="5"/>
      <c r="AY331" s="214"/>
      <c r="AZ331" s="83"/>
      <c r="BA331" s="83"/>
      <c r="BB331" s="83"/>
      <c r="BC331" s="5"/>
    </row>
    <row r="332" spans="37:55" x14ac:dyDescent="0.25">
      <c r="AK332" s="83"/>
      <c r="AL332" s="186"/>
      <c r="AM332" s="29"/>
      <c r="AN332" s="29"/>
      <c r="AO332" s="29"/>
      <c r="AP332" s="29"/>
      <c r="AQ332" s="29"/>
      <c r="AR332" s="29"/>
      <c r="AS332" s="5"/>
      <c r="AT332" s="5"/>
      <c r="AU332" s="5"/>
      <c r="AV332" s="5"/>
      <c r="AW332" s="5"/>
      <c r="AX332" s="5"/>
      <c r="AY332" s="214"/>
      <c r="AZ332" s="83"/>
      <c r="BA332" s="83"/>
      <c r="BB332" s="83"/>
      <c r="BC332" s="5"/>
    </row>
    <row r="333" spans="37:55" x14ac:dyDescent="0.25">
      <c r="AK333" s="83"/>
      <c r="AL333" s="186"/>
      <c r="AM333" s="29"/>
      <c r="AN333" s="29"/>
      <c r="AO333" s="29"/>
      <c r="AP333" s="29"/>
      <c r="AQ333" s="29"/>
      <c r="AR333" s="29"/>
      <c r="AS333" s="5"/>
      <c r="AT333" s="5"/>
      <c r="AU333" s="5"/>
      <c r="AV333" s="5"/>
      <c r="AW333" s="5"/>
      <c r="AX333" s="5"/>
      <c r="AY333" s="214"/>
      <c r="AZ333" s="83"/>
      <c r="BA333" s="83"/>
      <c r="BB333" s="83"/>
      <c r="BC333" s="5"/>
    </row>
    <row r="334" spans="37:55" x14ac:dyDescent="0.25">
      <c r="AK334" s="83"/>
      <c r="AL334" s="186"/>
      <c r="AM334" s="29"/>
      <c r="AN334" s="29"/>
      <c r="AO334" s="29"/>
      <c r="AP334" s="29"/>
      <c r="AQ334" s="29"/>
      <c r="AR334" s="29"/>
      <c r="AS334" s="5"/>
      <c r="AT334" s="5"/>
      <c r="AU334" s="5"/>
      <c r="AV334" s="5"/>
      <c r="AW334" s="5"/>
      <c r="AX334" s="5"/>
      <c r="AY334" s="214"/>
      <c r="AZ334" s="83"/>
      <c r="BA334" s="83"/>
      <c r="BB334" s="83"/>
      <c r="BC334" s="5"/>
    </row>
    <row r="335" spans="37:55" x14ac:dyDescent="0.25">
      <c r="AK335" s="83"/>
      <c r="AL335" s="186"/>
      <c r="AM335" s="29"/>
      <c r="AN335" s="29"/>
      <c r="AO335" s="29"/>
      <c r="AP335" s="29"/>
      <c r="AQ335" s="29"/>
      <c r="AR335" s="29"/>
      <c r="AS335" s="5"/>
      <c r="AT335" s="5"/>
      <c r="AU335" s="5"/>
      <c r="AV335" s="5"/>
      <c r="AW335" s="5"/>
      <c r="AX335" s="5"/>
      <c r="AY335" s="214"/>
      <c r="AZ335" s="83"/>
      <c r="BA335" s="83"/>
      <c r="BB335" s="83"/>
      <c r="BC335" s="5"/>
    </row>
    <row r="336" spans="37:55" x14ac:dyDescent="0.25">
      <c r="AK336" s="83"/>
      <c r="AL336" s="186"/>
      <c r="AM336" s="29"/>
      <c r="AN336" s="29"/>
      <c r="AO336" s="29"/>
      <c r="AP336" s="29"/>
      <c r="AQ336" s="29"/>
      <c r="AR336" s="29"/>
      <c r="AS336" s="5"/>
      <c r="AT336" s="5"/>
      <c r="AU336" s="5"/>
      <c r="AV336" s="5"/>
      <c r="AW336" s="5"/>
      <c r="AX336" s="5"/>
      <c r="AY336" s="214"/>
      <c r="AZ336" s="83"/>
      <c r="BA336" s="83"/>
      <c r="BB336" s="83"/>
      <c r="BC336" s="5"/>
    </row>
    <row r="337" spans="37:55" x14ac:dyDescent="0.25">
      <c r="AK337" s="83"/>
      <c r="AL337" s="186"/>
      <c r="AM337" s="29"/>
      <c r="AN337" s="29"/>
      <c r="AO337" s="29"/>
      <c r="AP337" s="29"/>
      <c r="AQ337" s="29"/>
      <c r="AR337" s="29"/>
      <c r="AS337" s="5"/>
      <c r="AT337" s="5"/>
      <c r="AU337" s="5"/>
      <c r="AV337" s="5"/>
      <c r="AW337" s="5"/>
      <c r="AX337" s="5"/>
      <c r="AY337" s="214"/>
      <c r="AZ337" s="83"/>
      <c r="BA337" s="83"/>
      <c r="BB337" s="83"/>
      <c r="BC337" s="5"/>
    </row>
    <row r="338" spans="37:55" x14ac:dyDescent="0.25">
      <c r="AK338" s="83"/>
      <c r="AL338" s="186"/>
      <c r="AM338" s="29"/>
      <c r="AN338" s="29"/>
      <c r="AO338" s="29"/>
      <c r="AP338" s="29"/>
      <c r="AQ338" s="29"/>
      <c r="AR338" s="29"/>
      <c r="AS338" s="5"/>
      <c r="AT338" s="5"/>
      <c r="AU338" s="5"/>
      <c r="AV338" s="5"/>
      <c r="AW338" s="5"/>
      <c r="AX338" s="5"/>
      <c r="AY338" s="214"/>
      <c r="AZ338" s="83"/>
      <c r="BA338" s="83"/>
      <c r="BB338" s="83"/>
      <c r="BC338" s="5"/>
    </row>
    <row r="339" spans="37:55" x14ac:dyDescent="0.25">
      <c r="AK339" s="83"/>
      <c r="AL339" s="186"/>
      <c r="AM339" s="29"/>
      <c r="AN339" s="29"/>
      <c r="AO339" s="29"/>
      <c r="AP339" s="29"/>
      <c r="AQ339" s="29"/>
      <c r="AR339" s="29"/>
      <c r="AS339" s="5"/>
      <c r="AT339" s="5"/>
      <c r="AU339" s="5"/>
      <c r="AV339" s="5"/>
      <c r="AW339" s="5"/>
      <c r="AX339" s="5"/>
      <c r="AY339" s="214"/>
      <c r="AZ339" s="83"/>
      <c r="BA339" s="83"/>
      <c r="BB339" s="83"/>
      <c r="BC339" s="5"/>
    </row>
    <row r="340" spans="37:55" x14ac:dyDescent="0.25">
      <c r="AK340" s="83"/>
      <c r="AL340" s="186"/>
      <c r="AM340" s="29"/>
      <c r="AN340" s="29"/>
      <c r="AO340" s="29"/>
      <c r="AP340" s="29"/>
      <c r="AQ340" s="29"/>
      <c r="AR340" s="29"/>
      <c r="AS340" s="5"/>
      <c r="AT340" s="5"/>
      <c r="AU340" s="5"/>
      <c r="AV340" s="5"/>
      <c r="AW340" s="5"/>
      <c r="AX340" s="5"/>
      <c r="AY340" s="214"/>
      <c r="AZ340" s="83"/>
      <c r="BA340" s="83"/>
      <c r="BB340" s="83"/>
      <c r="BC340" s="5"/>
    </row>
    <row r="341" spans="37:55" x14ac:dyDescent="0.25">
      <c r="AK341" s="83"/>
      <c r="AL341" s="186"/>
      <c r="AM341" s="29"/>
      <c r="AN341" s="29"/>
      <c r="AO341" s="29"/>
      <c r="AP341" s="29"/>
      <c r="AQ341" s="29"/>
      <c r="AR341" s="29"/>
      <c r="AS341" s="5"/>
      <c r="AT341" s="5"/>
      <c r="AU341" s="5"/>
      <c r="AV341" s="5"/>
      <c r="AW341" s="5"/>
      <c r="AX341" s="5"/>
      <c r="AY341" s="214"/>
      <c r="AZ341" s="83"/>
      <c r="BA341" s="83"/>
      <c r="BB341" s="83"/>
      <c r="BC341" s="5"/>
    </row>
    <row r="342" spans="37:55" x14ac:dyDescent="0.25">
      <c r="AK342" s="83"/>
      <c r="AL342" s="186"/>
      <c r="AM342" s="29"/>
      <c r="AN342" s="29"/>
      <c r="AO342" s="29"/>
      <c r="AP342" s="29"/>
      <c r="AQ342" s="29"/>
      <c r="AR342" s="29"/>
      <c r="AS342" s="5"/>
      <c r="AT342" s="5"/>
      <c r="AU342" s="5"/>
      <c r="AV342" s="5"/>
      <c r="AW342" s="5"/>
      <c r="AX342" s="5"/>
      <c r="AY342" s="214"/>
      <c r="AZ342" s="83"/>
      <c r="BA342" s="83"/>
      <c r="BB342" s="83"/>
      <c r="BC342" s="5"/>
    </row>
    <row r="343" spans="37:55" x14ac:dyDescent="0.25">
      <c r="AK343" s="83"/>
      <c r="AL343" s="186"/>
      <c r="AM343" s="29"/>
      <c r="AN343" s="29"/>
      <c r="AO343" s="29"/>
      <c r="AP343" s="29"/>
      <c r="AQ343" s="29"/>
      <c r="AR343" s="29"/>
      <c r="AS343" s="5"/>
      <c r="AT343" s="5"/>
      <c r="AU343" s="5"/>
      <c r="AV343" s="5"/>
      <c r="AW343" s="5"/>
      <c r="AX343" s="5"/>
      <c r="AY343" s="214"/>
      <c r="AZ343" s="83"/>
      <c r="BA343" s="83"/>
      <c r="BB343" s="83"/>
      <c r="BC343" s="5"/>
    </row>
    <row r="344" spans="37:55" x14ac:dyDescent="0.25">
      <c r="AK344" s="83"/>
      <c r="AL344" s="186"/>
      <c r="AM344" s="29"/>
      <c r="AN344" s="29"/>
      <c r="AO344" s="29"/>
      <c r="AP344" s="29"/>
      <c r="AQ344" s="29"/>
      <c r="AR344" s="29"/>
      <c r="AS344" s="5"/>
      <c r="AT344" s="5"/>
      <c r="AU344" s="5"/>
      <c r="AV344" s="5"/>
      <c r="AW344" s="5"/>
      <c r="AX344" s="5"/>
      <c r="AY344" s="214"/>
      <c r="AZ344" s="83"/>
      <c r="BA344" s="83"/>
      <c r="BB344" s="83"/>
      <c r="BC344" s="5"/>
    </row>
    <row r="345" spans="37:55" x14ac:dyDescent="0.25">
      <c r="AK345" s="83"/>
      <c r="AL345" s="186"/>
      <c r="AM345" s="29"/>
      <c r="AN345" s="29"/>
      <c r="AO345" s="29"/>
      <c r="AP345" s="29"/>
      <c r="AQ345" s="29"/>
      <c r="AR345" s="29"/>
      <c r="AS345" s="5"/>
      <c r="AT345" s="5"/>
      <c r="AU345" s="5"/>
      <c r="AV345" s="5"/>
      <c r="AW345" s="5"/>
      <c r="AX345" s="5"/>
      <c r="AY345" s="214"/>
      <c r="AZ345" s="83"/>
      <c r="BA345" s="83"/>
      <c r="BB345" s="83"/>
      <c r="BC345" s="5"/>
    </row>
    <row r="346" spans="37:55" x14ac:dyDescent="0.25">
      <c r="AK346" s="83"/>
      <c r="AL346" s="186"/>
      <c r="AM346" s="29"/>
      <c r="AN346" s="29"/>
      <c r="AO346" s="29"/>
      <c r="AP346" s="29"/>
      <c r="AQ346" s="29"/>
      <c r="AR346" s="29"/>
      <c r="AS346" s="5"/>
      <c r="AT346" s="5"/>
      <c r="AU346" s="5"/>
      <c r="AV346" s="5"/>
      <c r="AW346" s="5"/>
      <c r="AX346" s="5"/>
      <c r="AY346" s="214"/>
      <c r="AZ346" s="83"/>
      <c r="BA346" s="83"/>
      <c r="BB346" s="83"/>
      <c r="BC346" s="5"/>
    </row>
    <row r="347" spans="37:55" x14ac:dyDescent="0.25">
      <c r="AK347" s="83"/>
      <c r="AL347" s="186"/>
      <c r="AM347" s="29"/>
      <c r="AN347" s="29"/>
      <c r="AO347" s="29"/>
      <c r="AP347" s="29"/>
      <c r="AQ347" s="29"/>
      <c r="AR347" s="29"/>
      <c r="AS347" s="5"/>
      <c r="AT347" s="5"/>
      <c r="AU347" s="5"/>
      <c r="AV347" s="5"/>
      <c r="AW347" s="5"/>
      <c r="AX347" s="5"/>
      <c r="AY347" s="214"/>
      <c r="AZ347" s="83"/>
      <c r="BA347" s="83"/>
      <c r="BB347" s="83"/>
      <c r="BC347" s="5"/>
    </row>
    <row r="348" spans="37:55" x14ac:dyDescent="0.25">
      <c r="AK348" s="83"/>
      <c r="AL348" s="186"/>
      <c r="AM348" s="29"/>
      <c r="AN348" s="29"/>
      <c r="AO348" s="29"/>
      <c r="AP348" s="29"/>
      <c r="AQ348" s="29"/>
      <c r="AR348" s="29"/>
      <c r="AS348" s="5"/>
      <c r="AT348" s="5"/>
      <c r="AU348" s="5"/>
      <c r="AV348" s="5"/>
      <c r="AW348" s="5"/>
      <c r="AX348" s="5"/>
      <c r="AY348" s="214"/>
      <c r="AZ348" s="83"/>
      <c r="BA348" s="83"/>
      <c r="BB348" s="83"/>
      <c r="BC348" s="5"/>
    </row>
    <row r="349" spans="37:55" x14ac:dyDescent="0.25">
      <c r="AK349" s="83"/>
      <c r="AL349" s="186"/>
      <c r="AM349" s="29"/>
      <c r="AN349" s="29"/>
      <c r="AO349" s="29"/>
      <c r="AP349" s="29"/>
      <c r="AQ349" s="29"/>
      <c r="AR349" s="29"/>
      <c r="AS349" s="5"/>
      <c r="AT349" s="5"/>
      <c r="AU349" s="5"/>
      <c r="AV349" s="5"/>
      <c r="AW349" s="5"/>
      <c r="AX349" s="5"/>
      <c r="AY349" s="214"/>
      <c r="AZ349" s="83"/>
      <c r="BA349" s="83"/>
      <c r="BB349" s="83"/>
      <c r="BC349" s="5"/>
    </row>
    <row r="350" spans="37:55" x14ac:dyDescent="0.25">
      <c r="AK350" s="83"/>
      <c r="AL350" s="186"/>
      <c r="AM350" s="29"/>
      <c r="AN350" s="29"/>
      <c r="AO350" s="29"/>
      <c r="AP350" s="29"/>
      <c r="AQ350" s="29"/>
      <c r="AR350" s="29"/>
      <c r="AS350" s="5"/>
      <c r="AT350" s="5"/>
      <c r="AU350" s="5"/>
      <c r="AV350" s="5"/>
      <c r="AW350" s="5"/>
      <c r="AX350" s="5"/>
      <c r="AY350" s="214"/>
      <c r="AZ350" s="83"/>
      <c r="BA350" s="83"/>
      <c r="BB350" s="83"/>
      <c r="BC350" s="5"/>
    </row>
    <row r="351" spans="37:55" x14ac:dyDescent="0.25">
      <c r="AK351" s="83"/>
      <c r="AL351" s="186"/>
      <c r="AM351" s="29"/>
      <c r="AN351" s="29"/>
      <c r="AO351" s="29"/>
      <c r="AP351" s="29"/>
      <c r="AQ351" s="29"/>
      <c r="AR351" s="29"/>
      <c r="AS351" s="5"/>
      <c r="AT351" s="5"/>
      <c r="AU351" s="5"/>
      <c r="AV351" s="5"/>
      <c r="AW351" s="5"/>
      <c r="AX351" s="5"/>
      <c r="AY351" s="214"/>
      <c r="AZ351" s="83"/>
      <c r="BA351" s="83"/>
      <c r="BB351" s="83"/>
      <c r="BC351" s="5"/>
    </row>
    <row r="352" spans="37:55" x14ac:dyDescent="0.25">
      <c r="AK352" s="83"/>
      <c r="AL352" s="186"/>
      <c r="AM352" s="29"/>
      <c r="AN352" s="29"/>
      <c r="AO352" s="29"/>
      <c r="AP352" s="29"/>
      <c r="AQ352" s="29"/>
      <c r="AR352" s="29"/>
      <c r="AS352" s="5"/>
      <c r="AT352" s="5"/>
      <c r="AU352" s="5"/>
      <c r="AV352" s="5"/>
      <c r="AW352" s="5"/>
      <c r="AX352" s="5"/>
      <c r="AY352" s="214"/>
      <c r="AZ352" s="83"/>
      <c r="BA352" s="83"/>
      <c r="BB352" s="83"/>
      <c r="BC352" s="5"/>
    </row>
    <row r="353" spans="37:55" x14ac:dyDescent="0.25">
      <c r="AK353" s="83"/>
      <c r="AL353" s="186"/>
      <c r="AM353" s="29"/>
      <c r="AN353" s="29"/>
      <c r="AO353" s="29"/>
      <c r="AP353" s="29"/>
      <c r="AQ353" s="29"/>
      <c r="AR353" s="29"/>
      <c r="AS353" s="5"/>
      <c r="AT353" s="5"/>
      <c r="AU353" s="5"/>
      <c r="AV353" s="5"/>
      <c r="AW353" s="5"/>
      <c r="AX353" s="5"/>
      <c r="AY353" s="214"/>
      <c r="AZ353" s="83"/>
      <c r="BA353" s="83"/>
      <c r="BB353" s="83"/>
      <c r="BC353" s="5"/>
    </row>
    <row r="354" spans="37:55" x14ac:dyDescent="0.25">
      <c r="AK354" s="83"/>
      <c r="AL354" s="186"/>
      <c r="AM354" s="29"/>
      <c r="AN354" s="29"/>
      <c r="AO354" s="29"/>
      <c r="AP354" s="29"/>
      <c r="AQ354" s="29"/>
      <c r="AR354" s="29"/>
      <c r="AS354" s="5"/>
      <c r="AT354" s="5"/>
      <c r="AU354" s="5"/>
      <c r="AV354" s="5"/>
      <c r="AW354" s="5"/>
      <c r="AX354" s="5"/>
      <c r="AY354" s="214"/>
      <c r="AZ354" s="83"/>
      <c r="BA354" s="83"/>
      <c r="BB354" s="83"/>
      <c r="BC354" s="5"/>
    </row>
    <row r="355" spans="37:55" x14ac:dyDescent="0.25">
      <c r="AK355" s="83"/>
      <c r="AL355" s="186"/>
      <c r="AM355" s="29"/>
      <c r="AN355" s="29"/>
      <c r="AO355" s="29"/>
      <c r="AP355" s="29"/>
      <c r="AQ355" s="29"/>
      <c r="AR355" s="29"/>
      <c r="AS355" s="5"/>
      <c r="AT355" s="5"/>
      <c r="AU355" s="5"/>
      <c r="AV355" s="5"/>
      <c r="AW355" s="5"/>
      <c r="AX355" s="5"/>
      <c r="AY355" s="214"/>
      <c r="AZ355" s="83"/>
      <c r="BA355" s="83"/>
      <c r="BB355" s="83"/>
      <c r="BC355" s="5"/>
    </row>
    <row r="356" spans="37:55" x14ac:dyDescent="0.25">
      <c r="AK356" s="83"/>
      <c r="AL356" s="186"/>
      <c r="AM356" s="29"/>
      <c r="AN356" s="29"/>
      <c r="AO356" s="29"/>
      <c r="AP356" s="29"/>
      <c r="AQ356" s="29"/>
      <c r="AR356" s="29"/>
      <c r="AS356" s="5"/>
      <c r="AT356" s="5"/>
      <c r="AU356" s="5"/>
      <c r="AV356" s="5"/>
      <c r="AW356" s="5"/>
      <c r="AX356" s="5"/>
      <c r="AY356" s="214"/>
      <c r="AZ356" s="83"/>
      <c r="BA356" s="83"/>
      <c r="BB356" s="83"/>
      <c r="BC356" s="5"/>
    </row>
    <row r="357" spans="37:55" x14ac:dyDescent="0.25">
      <c r="AK357" s="83"/>
      <c r="AL357" s="186"/>
      <c r="AM357" s="29"/>
      <c r="AN357" s="29"/>
      <c r="AO357" s="29"/>
      <c r="AP357" s="29"/>
      <c r="AQ357" s="29"/>
      <c r="AR357" s="29"/>
      <c r="AS357" s="5"/>
      <c r="AT357" s="5"/>
      <c r="AU357" s="5"/>
      <c r="AV357" s="5"/>
      <c r="AW357" s="5"/>
      <c r="AX357" s="5"/>
      <c r="AY357" s="214"/>
      <c r="AZ357" s="83"/>
      <c r="BA357" s="83"/>
      <c r="BB357" s="83"/>
      <c r="BC357" s="5"/>
    </row>
    <row r="358" spans="37:55" x14ac:dyDescent="0.25">
      <c r="AK358" s="83"/>
      <c r="AL358" s="186"/>
      <c r="AM358" s="29"/>
      <c r="AN358" s="29"/>
      <c r="AO358" s="29"/>
      <c r="AP358" s="29"/>
      <c r="AQ358" s="29"/>
      <c r="AR358" s="29"/>
      <c r="AS358" s="5"/>
      <c r="AT358" s="5"/>
      <c r="AU358" s="5"/>
      <c r="AV358" s="5"/>
      <c r="AW358" s="5"/>
      <c r="AX358" s="5"/>
      <c r="AY358" s="214"/>
      <c r="AZ358" s="83"/>
      <c r="BA358" s="83"/>
      <c r="BB358" s="83"/>
      <c r="BC358" s="5"/>
    </row>
    <row r="359" spans="37:55" x14ac:dyDescent="0.25">
      <c r="AK359" s="83"/>
      <c r="AL359" s="186"/>
      <c r="AM359" s="29"/>
      <c r="AN359" s="29"/>
      <c r="AO359" s="29"/>
      <c r="AP359" s="29"/>
      <c r="AQ359" s="29"/>
      <c r="AR359" s="29"/>
      <c r="AS359" s="5"/>
      <c r="AT359" s="5"/>
      <c r="AU359" s="5"/>
      <c r="AV359" s="5"/>
      <c r="AW359" s="5"/>
      <c r="AX359" s="5"/>
      <c r="AY359" s="214"/>
      <c r="AZ359" s="83"/>
      <c r="BA359" s="83"/>
      <c r="BB359" s="83"/>
      <c r="BC359" s="5"/>
    </row>
    <row r="360" spans="37:55" x14ac:dyDescent="0.25">
      <c r="AK360" s="83"/>
      <c r="AL360" s="186"/>
      <c r="AM360" s="29"/>
      <c r="AN360" s="29"/>
      <c r="AO360" s="29"/>
      <c r="AP360" s="29"/>
      <c r="AQ360" s="29"/>
      <c r="AR360" s="29"/>
      <c r="AS360" s="5"/>
      <c r="AT360" s="5"/>
      <c r="AU360" s="5"/>
      <c r="AV360" s="5"/>
      <c r="AW360" s="5"/>
      <c r="AX360" s="5"/>
      <c r="AY360" s="214"/>
      <c r="AZ360" s="83"/>
      <c r="BA360" s="83"/>
      <c r="BB360" s="83"/>
      <c r="BC360" s="5"/>
    </row>
    <row r="361" spans="37:55" x14ac:dyDescent="0.25">
      <c r="AK361" s="83"/>
      <c r="AL361" s="186"/>
      <c r="AM361" s="29"/>
      <c r="AN361" s="29"/>
      <c r="AO361" s="29"/>
      <c r="AP361" s="29"/>
      <c r="AQ361" s="29"/>
      <c r="AR361" s="29"/>
      <c r="AS361" s="5"/>
      <c r="AT361" s="5"/>
      <c r="AU361" s="5"/>
      <c r="AV361" s="5"/>
      <c r="AW361" s="5"/>
      <c r="AX361" s="5"/>
      <c r="AY361" s="214"/>
      <c r="AZ361" s="83"/>
      <c r="BA361" s="83"/>
      <c r="BB361" s="83"/>
      <c r="BC361" s="5"/>
    </row>
    <row r="362" spans="37:55" x14ac:dyDescent="0.25">
      <c r="AK362" s="83"/>
      <c r="AL362" s="186"/>
      <c r="AM362" s="29"/>
      <c r="AN362" s="29"/>
      <c r="AO362" s="29"/>
      <c r="AP362" s="29"/>
      <c r="AQ362" s="29"/>
      <c r="AR362" s="29"/>
      <c r="AS362" s="5"/>
      <c r="AT362" s="5"/>
      <c r="AU362" s="5"/>
      <c r="AV362" s="5"/>
      <c r="AW362" s="5"/>
      <c r="AX362" s="5"/>
      <c r="AY362" s="214"/>
      <c r="AZ362" s="83"/>
      <c r="BA362" s="83"/>
      <c r="BB362" s="83"/>
      <c r="BC362" s="5"/>
    </row>
    <row r="363" spans="37:55" x14ac:dyDescent="0.25">
      <c r="AK363" s="83"/>
      <c r="AL363" s="186"/>
      <c r="AM363" s="29"/>
      <c r="AN363" s="29"/>
      <c r="AO363" s="29"/>
      <c r="AP363" s="29"/>
      <c r="AQ363" s="29"/>
      <c r="AR363" s="29"/>
      <c r="AS363" s="5"/>
      <c r="AT363" s="5"/>
      <c r="AU363" s="5"/>
      <c r="AV363" s="5"/>
      <c r="AW363" s="5"/>
      <c r="AX363" s="5"/>
      <c r="AY363" s="214"/>
      <c r="AZ363" s="83"/>
      <c r="BA363" s="83"/>
      <c r="BB363" s="83"/>
      <c r="BC363" s="5"/>
    </row>
    <row r="364" spans="37:55" x14ac:dyDescent="0.25">
      <c r="AK364" s="83"/>
      <c r="AL364" s="186"/>
      <c r="AM364" s="29"/>
      <c r="AN364" s="29"/>
      <c r="AO364" s="29"/>
      <c r="AP364" s="29"/>
      <c r="AQ364" s="29"/>
      <c r="AR364" s="29"/>
      <c r="AS364" s="5"/>
      <c r="AT364" s="5"/>
      <c r="AU364" s="5"/>
      <c r="AV364" s="5"/>
      <c r="AW364" s="5"/>
      <c r="AX364" s="5"/>
      <c r="AY364" s="214"/>
      <c r="AZ364" s="83"/>
      <c r="BA364" s="83"/>
      <c r="BB364" s="83"/>
      <c r="BC364" s="5"/>
    </row>
    <row r="365" spans="37:55" x14ac:dyDescent="0.25">
      <c r="AK365" s="83"/>
      <c r="AL365" s="186"/>
      <c r="AM365" s="29"/>
      <c r="AN365" s="29"/>
      <c r="AO365" s="29"/>
      <c r="AP365" s="29"/>
      <c r="AQ365" s="29"/>
      <c r="AR365" s="29"/>
      <c r="AS365" s="5"/>
      <c r="AT365" s="5"/>
      <c r="AU365" s="5"/>
      <c r="AV365" s="5"/>
      <c r="AW365" s="5"/>
      <c r="AX365" s="5"/>
      <c r="AY365" s="214"/>
      <c r="AZ365" s="83"/>
      <c r="BA365" s="83"/>
      <c r="BB365" s="83"/>
      <c r="BC365" s="5"/>
    </row>
    <row r="366" spans="37:55" x14ac:dyDescent="0.25">
      <c r="AK366" s="83"/>
      <c r="AL366" s="186"/>
      <c r="AM366" s="29"/>
      <c r="AN366" s="29"/>
      <c r="AO366" s="29"/>
      <c r="AP366" s="29"/>
      <c r="AQ366" s="29"/>
      <c r="AR366" s="29"/>
      <c r="AS366" s="5"/>
      <c r="AT366" s="5"/>
      <c r="AU366" s="5"/>
      <c r="AV366" s="5"/>
      <c r="AW366" s="5"/>
      <c r="AX366" s="5"/>
      <c r="AY366" s="214"/>
      <c r="AZ366" s="83"/>
      <c r="BA366" s="83"/>
      <c r="BB366" s="83"/>
      <c r="BC366" s="5"/>
    </row>
    <row r="367" spans="37:55" x14ac:dyDescent="0.25">
      <c r="AK367" s="83"/>
      <c r="AL367" s="186"/>
      <c r="AM367" s="29"/>
      <c r="AN367" s="29"/>
      <c r="AO367" s="29"/>
      <c r="AP367" s="29"/>
      <c r="AQ367" s="29"/>
      <c r="AR367" s="29"/>
      <c r="AS367" s="5"/>
      <c r="AT367" s="5"/>
      <c r="AU367" s="5"/>
      <c r="AV367" s="5"/>
      <c r="AW367" s="5"/>
      <c r="AX367" s="5"/>
      <c r="AY367" s="214"/>
      <c r="AZ367" s="83"/>
      <c r="BA367" s="83"/>
      <c r="BB367" s="83"/>
      <c r="BC367" s="5"/>
    </row>
    <row r="368" spans="37:55" x14ac:dyDescent="0.25">
      <c r="AK368" s="83"/>
      <c r="AL368" s="186"/>
      <c r="AM368" s="29"/>
      <c r="AN368" s="29"/>
      <c r="AO368" s="29"/>
      <c r="AP368" s="29"/>
      <c r="AQ368" s="29"/>
      <c r="AR368" s="29"/>
      <c r="AS368" s="5"/>
      <c r="AT368" s="5"/>
      <c r="AU368" s="5"/>
      <c r="AV368" s="5"/>
      <c r="AW368" s="5"/>
      <c r="AX368" s="5"/>
      <c r="AY368" s="214"/>
      <c r="AZ368" s="83"/>
      <c r="BA368" s="83"/>
      <c r="BB368" s="83"/>
      <c r="BC368" s="5"/>
    </row>
    <row r="369" spans="37:55" x14ac:dyDescent="0.25">
      <c r="AK369" s="83"/>
      <c r="AL369" s="186"/>
      <c r="AM369" s="29"/>
      <c r="AN369" s="29"/>
      <c r="AO369" s="29"/>
      <c r="AP369" s="29"/>
      <c r="AQ369" s="29"/>
      <c r="AR369" s="29"/>
      <c r="AS369" s="5"/>
      <c r="AT369" s="5"/>
      <c r="AU369" s="5"/>
      <c r="AV369" s="5"/>
      <c r="AW369" s="5"/>
      <c r="AX369" s="5"/>
      <c r="AY369" s="214"/>
      <c r="AZ369" s="83"/>
      <c r="BA369" s="83"/>
      <c r="BB369" s="83"/>
      <c r="BC369" s="5"/>
    </row>
    <row r="370" spans="37:55" x14ac:dyDescent="0.25">
      <c r="AK370" s="83"/>
      <c r="AL370" s="186"/>
      <c r="AM370" s="29"/>
      <c r="AN370" s="29"/>
      <c r="AO370" s="29"/>
      <c r="AP370" s="29"/>
      <c r="AQ370" s="29"/>
      <c r="AR370" s="29"/>
      <c r="AS370" s="5"/>
      <c r="AT370" s="5"/>
      <c r="AU370" s="5"/>
      <c r="AV370" s="5"/>
      <c r="AW370" s="5"/>
      <c r="AX370" s="5"/>
      <c r="AY370" s="214"/>
      <c r="AZ370" s="83"/>
      <c r="BA370" s="83"/>
      <c r="BB370" s="83"/>
      <c r="BC370" s="5"/>
    </row>
    <row r="371" spans="37:55" x14ac:dyDescent="0.25">
      <c r="AK371" s="83"/>
      <c r="AL371" s="186"/>
      <c r="AM371" s="29"/>
      <c r="AN371" s="29"/>
      <c r="AO371" s="29"/>
      <c r="AP371" s="29"/>
      <c r="AQ371" s="29"/>
      <c r="AR371" s="29"/>
      <c r="AS371" s="5"/>
      <c r="AT371" s="5"/>
      <c r="AU371" s="5"/>
      <c r="AV371" s="5"/>
      <c r="AW371" s="5"/>
      <c r="AX371" s="5"/>
      <c r="AY371" s="214"/>
      <c r="AZ371" s="83"/>
      <c r="BA371" s="83"/>
      <c r="BB371" s="83"/>
      <c r="BC371" s="5"/>
    </row>
    <row r="372" spans="37:55" x14ac:dyDescent="0.25">
      <c r="AK372" s="83"/>
      <c r="AL372" s="186"/>
      <c r="AM372" s="29"/>
      <c r="AN372" s="29"/>
      <c r="AO372" s="29"/>
      <c r="AP372" s="29"/>
      <c r="AQ372" s="29"/>
      <c r="AR372" s="29"/>
      <c r="AS372" s="5"/>
      <c r="AT372" s="5"/>
      <c r="AU372" s="5"/>
      <c r="AV372" s="5"/>
      <c r="AW372" s="5"/>
      <c r="AX372" s="5"/>
      <c r="AY372" s="214"/>
      <c r="AZ372" s="83"/>
      <c r="BA372" s="83"/>
      <c r="BB372" s="83"/>
      <c r="BC372" s="5"/>
    </row>
    <row r="373" spans="37:55" x14ac:dyDescent="0.25">
      <c r="AK373" s="83"/>
      <c r="AL373" s="186"/>
      <c r="AM373" s="29"/>
      <c r="AN373" s="29"/>
      <c r="AO373" s="29"/>
      <c r="AP373" s="29"/>
      <c r="AQ373" s="29"/>
      <c r="AR373" s="29"/>
      <c r="AS373" s="5"/>
      <c r="AT373" s="5"/>
      <c r="AU373" s="5"/>
      <c r="AV373" s="5"/>
      <c r="AW373" s="5"/>
      <c r="AX373" s="5"/>
      <c r="AY373" s="214"/>
      <c r="AZ373" s="83"/>
      <c r="BA373" s="83"/>
      <c r="BB373" s="83"/>
      <c r="BC373" s="5"/>
    </row>
    <row r="374" spans="37:55" x14ac:dyDescent="0.25">
      <c r="AK374" s="83"/>
      <c r="AL374" s="186"/>
      <c r="AM374" s="29"/>
      <c r="AN374" s="29"/>
      <c r="AO374" s="29"/>
      <c r="AP374" s="29"/>
      <c r="AQ374" s="29"/>
      <c r="AR374" s="29"/>
      <c r="AS374" s="5"/>
      <c r="AT374" s="5"/>
      <c r="AU374" s="5"/>
      <c r="AV374" s="5"/>
      <c r="AW374" s="5"/>
      <c r="AX374" s="5"/>
      <c r="AY374" s="214"/>
      <c r="AZ374" s="83"/>
      <c r="BA374" s="83"/>
      <c r="BB374" s="83"/>
      <c r="BC374" s="5"/>
    </row>
    <row r="375" spans="37:55" x14ac:dyDescent="0.25">
      <c r="AK375" s="83"/>
      <c r="AL375" s="186"/>
      <c r="AM375" s="29"/>
      <c r="AN375" s="29"/>
      <c r="AO375" s="29"/>
      <c r="AP375" s="29"/>
      <c r="AQ375" s="29"/>
      <c r="AR375" s="29"/>
      <c r="AS375" s="5"/>
      <c r="AT375" s="5"/>
      <c r="AU375" s="5"/>
      <c r="AV375" s="5"/>
      <c r="AW375" s="5"/>
      <c r="AX375" s="5"/>
      <c r="AY375" s="214"/>
      <c r="AZ375" s="83"/>
      <c r="BA375" s="83"/>
      <c r="BB375" s="83"/>
      <c r="BC375" s="5"/>
    </row>
    <row r="376" spans="37:55" x14ac:dyDescent="0.25">
      <c r="AK376" s="83"/>
      <c r="AL376" s="186"/>
      <c r="AM376" s="29"/>
      <c r="AN376" s="29"/>
      <c r="AO376" s="29"/>
      <c r="AP376" s="29"/>
      <c r="AQ376" s="29"/>
      <c r="AR376" s="29"/>
      <c r="AS376" s="5"/>
      <c r="AT376" s="5"/>
      <c r="AU376" s="5"/>
      <c r="AV376" s="5"/>
      <c r="AW376" s="5"/>
      <c r="AX376" s="5"/>
      <c r="AY376" s="214"/>
      <c r="AZ376" s="83"/>
      <c r="BA376" s="83"/>
      <c r="BB376" s="83"/>
      <c r="BC376" s="5"/>
    </row>
    <row r="377" spans="37:55" x14ac:dyDescent="0.25">
      <c r="AK377" s="83"/>
      <c r="AL377" s="186"/>
      <c r="AM377" s="29"/>
      <c r="AN377" s="29"/>
      <c r="AO377" s="29"/>
      <c r="AP377" s="29"/>
      <c r="AQ377" s="29"/>
      <c r="AR377" s="29"/>
      <c r="AS377" s="5"/>
      <c r="AT377" s="5"/>
      <c r="AU377" s="5"/>
      <c r="AV377" s="5"/>
      <c r="AW377" s="5"/>
      <c r="AX377" s="5"/>
      <c r="AY377" s="214"/>
      <c r="AZ377" s="83"/>
      <c r="BA377" s="83"/>
      <c r="BB377" s="83"/>
      <c r="BC377" s="5"/>
    </row>
    <row r="378" spans="37:55" x14ac:dyDescent="0.25">
      <c r="AK378" s="83"/>
      <c r="AL378" s="186"/>
      <c r="AM378" s="29"/>
      <c r="AN378" s="29"/>
      <c r="AO378" s="29"/>
      <c r="AP378" s="29"/>
      <c r="AQ378" s="29"/>
      <c r="AR378" s="29"/>
      <c r="AS378" s="5"/>
      <c r="AT378" s="5"/>
      <c r="AU378" s="5"/>
      <c r="AV378" s="5"/>
      <c r="AW378" s="5"/>
      <c r="AX378" s="5"/>
      <c r="AY378" s="214"/>
      <c r="AZ378" s="83"/>
      <c r="BA378" s="83"/>
      <c r="BB378" s="83"/>
      <c r="BC378" s="5"/>
    </row>
    <row r="379" spans="37:55" x14ac:dyDescent="0.25">
      <c r="AK379" s="83"/>
      <c r="AL379" s="186"/>
      <c r="AM379" s="29"/>
      <c r="AN379" s="29"/>
      <c r="AO379" s="29"/>
      <c r="AP379" s="29"/>
      <c r="AQ379" s="29"/>
      <c r="AR379" s="29"/>
      <c r="AS379" s="5"/>
      <c r="AT379" s="5"/>
      <c r="AU379" s="5"/>
      <c r="AV379" s="5"/>
      <c r="AW379" s="5"/>
      <c r="AX379" s="5"/>
      <c r="AY379" s="214"/>
      <c r="AZ379" s="83"/>
      <c r="BA379" s="83"/>
      <c r="BB379" s="83"/>
      <c r="BC379" s="5"/>
    </row>
    <row r="380" spans="37:55" x14ac:dyDescent="0.25">
      <c r="AK380" s="83"/>
      <c r="AL380" s="186"/>
      <c r="AM380" s="29"/>
      <c r="AN380" s="29"/>
      <c r="AO380" s="29"/>
      <c r="AP380" s="29"/>
      <c r="AQ380" s="29"/>
      <c r="AR380" s="29"/>
      <c r="AS380" s="5"/>
      <c r="AT380" s="5"/>
      <c r="AU380" s="5"/>
      <c r="AV380" s="5"/>
      <c r="AW380" s="5"/>
      <c r="AX380" s="5"/>
      <c r="AY380" s="214"/>
      <c r="AZ380" s="83"/>
      <c r="BA380" s="83"/>
      <c r="BB380" s="83"/>
      <c r="BC380" s="5"/>
    </row>
    <row r="381" spans="37:55" x14ac:dyDescent="0.25">
      <c r="AK381" s="83"/>
      <c r="AL381" s="186"/>
      <c r="AM381" s="29"/>
      <c r="AN381" s="29"/>
      <c r="AO381" s="29"/>
      <c r="AP381" s="29"/>
      <c r="AQ381" s="29"/>
      <c r="AR381" s="29"/>
      <c r="AS381" s="5"/>
      <c r="AT381" s="5"/>
      <c r="AU381" s="5"/>
      <c r="AV381" s="5"/>
      <c r="AW381" s="5"/>
      <c r="AX381" s="5"/>
      <c r="AY381" s="214"/>
      <c r="AZ381" s="83"/>
      <c r="BA381" s="83"/>
      <c r="BB381" s="83"/>
      <c r="BC381" s="5"/>
    </row>
    <row r="382" spans="37:55" x14ac:dyDescent="0.25">
      <c r="AK382" s="83"/>
      <c r="AL382" s="186"/>
      <c r="AM382" s="29"/>
      <c r="AN382" s="29"/>
      <c r="AO382" s="29"/>
      <c r="AP382" s="29"/>
      <c r="AQ382" s="29"/>
      <c r="AR382" s="29"/>
      <c r="AS382" s="5"/>
      <c r="AT382" s="5"/>
      <c r="AU382" s="5"/>
      <c r="AV382" s="5"/>
      <c r="AW382" s="5"/>
      <c r="AX382" s="5"/>
      <c r="AY382" s="214"/>
      <c r="AZ382" s="83"/>
      <c r="BA382" s="83"/>
      <c r="BB382" s="83"/>
      <c r="BC382" s="5"/>
    </row>
    <row r="383" spans="37:55" x14ac:dyDescent="0.25">
      <c r="AK383" s="83"/>
      <c r="AL383" s="186"/>
      <c r="AM383" s="29"/>
      <c r="AN383" s="29"/>
      <c r="AO383" s="29"/>
      <c r="AP383" s="29"/>
      <c r="AQ383" s="29"/>
      <c r="AR383" s="29"/>
      <c r="AS383" s="5"/>
      <c r="AT383" s="5"/>
      <c r="AU383" s="5"/>
      <c r="AV383" s="5"/>
      <c r="AW383" s="5"/>
      <c r="AX383" s="5"/>
      <c r="AY383" s="214"/>
      <c r="AZ383" s="83"/>
      <c r="BA383" s="83"/>
      <c r="BB383" s="83"/>
      <c r="BC383" s="5"/>
    </row>
    <row r="384" spans="37:55" x14ac:dyDescent="0.25">
      <c r="AK384" s="83"/>
      <c r="AL384" s="186"/>
      <c r="AM384" s="29"/>
      <c r="AN384" s="29"/>
      <c r="AO384" s="29"/>
      <c r="AP384" s="29"/>
      <c r="AQ384" s="29"/>
      <c r="AR384" s="29"/>
      <c r="AS384" s="5"/>
      <c r="AT384" s="5"/>
      <c r="AU384" s="5"/>
      <c r="AV384" s="5"/>
      <c r="AW384" s="5"/>
      <c r="AX384" s="5"/>
      <c r="AY384" s="214"/>
      <c r="AZ384" s="83"/>
      <c r="BA384" s="83"/>
      <c r="BB384" s="83"/>
      <c r="BC384" s="5"/>
    </row>
    <row r="385" spans="37:55" x14ac:dyDescent="0.25">
      <c r="AK385" s="83"/>
      <c r="AL385" s="186"/>
      <c r="AM385" s="29"/>
      <c r="AN385" s="29"/>
      <c r="AO385" s="29"/>
      <c r="AP385" s="29"/>
      <c r="AQ385" s="29"/>
      <c r="AR385" s="29"/>
      <c r="AS385" s="5"/>
      <c r="AT385" s="5"/>
      <c r="AU385" s="5"/>
      <c r="AV385" s="5"/>
      <c r="AW385" s="5"/>
      <c r="AX385" s="5"/>
      <c r="AY385" s="214"/>
      <c r="AZ385" s="83"/>
      <c r="BA385" s="83"/>
      <c r="BB385" s="83"/>
      <c r="BC385" s="5"/>
    </row>
    <row r="386" spans="37:55" x14ac:dyDescent="0.25">
      <c r="AK386" s="83"/>
      <c r="AL386" s="186"/>
      <c r="AM386" s="29"/>
      <c r="AN386" s="29"/>
      <c r="AO386" s="29"/>
      <c r="AP386" s="29"/>
      <c r="AQ386" s="29"/>
      <c r="AR386" s="29"/>
      <c r="AS386" s="5"/>
      <c r="AT386" s="5"/>
      <c r="AU386" s="5"/>
      <c r="AV386" s="5"/>
      <c r="AW386" s="5"/>
      <c r="AX386" s="5"/>
      <c r="AY386" s="214"/>
      <c r="AZ386" s="83"/>
      <c r="BA386" s="83"/>
      <c r="BB386" s="83"/>
      <c r="BC386" s="5"/>
    </row>
    <row r="387" spans="37:55" x14ac:dyDescent="0.25">
      <c r="AK387" s="83"/>
      <c r="AL387" s="186"/>
      <c r="AM387" s="29"/>
      <c r="AN387" s="29"/>
      <c r="AO387" s="29"/>
      <c r="AP387" s="29"/>
      <c r="AQ387" s="29"/>
      <c r="AR387" s="29"/>
      <c r="AS387" s="5"/>
      <c r="AT387" s="5"/>
      <c r="AU387" s="5"/>
      <c r="AV387" s="5"/>
      <c r="AW387" s="5"/>
      <c r="AX387" s="5"/>
      <c r="AY387" s="214"/>
      <c r="AZ387" s="83"/>
      <c r="BA387" s="83"/>
      <c r="BB387" s="83"/>
      <c r="BC387" s="5"/>
    </row>
    <row r="388" spans="37:55" x14ac:dyDescent="0.25">
      <c r="AK388" s="83"/>
      <c r="AL388" s="186"/>
      <c r="AM388" s="29"/>
      <c r="AN388" s="29"/>
      <c r="AO388" s="29"/>
      <c r="AP388" s="29"/>
      <c r="AQ388" s="29"/>
      <c r="AR388" s="29"/>
      <c r="AS388" s="5"/>
      <c r="AT388" s="5"/>
      <c r="AU388" s="5"/>
      <c r="AV388" s="5"/>
      <c r="AW388" s="5"/>
      <c r="AX388" s="5"/>
      <c r="AY388" s="214"/>
      <c r="AZ388" s="83"/>
      <c r="BA388" s="83"/>
      <c r="BB388" s="83"/>
      <c r="BC388" s="5"/>
    </row>
    <row r="389" spans="37:55" x14ac:dyDescent="0.25">
      <c r="AK389" s="83"/>
      <c r="AL389" s="186"/>
      <c r="AM389" s="29"/>
      <c r="AN389" s="29"/>
      <c r="AO389" s="29"/>
      <c r="AP389" s="29"/>
      <c r="AQ389" s="29"/>
      <c r="AR389" s="29"/>
      <c r="AS389" s="5"/>
      <c r="AT389" s="5"/>
      <c r="AU389" s="5"/>
      <c r="AV389" s="5"/>
      <c r="AW389" s="5"/>
      <c r="AX389" s="5"/>
      <c r="AY389" s="214"/>
      <c r="AZ389" s="83"/>
      <c r="BA389" s="83"/>
      <c r="BB389" s="83"/>
      <c r="BC389" s="5"/>
    </row>
    <row r="390" spans="37:55" x14ac:dyDescent="0.25">
      <c r="AK390" s="83"/>
      <c r="AL390" s="186"/>
      <c r="AM390" s="29"/>
      <c r="AN390" s="29"/>
      <c r="AO390" s="29"/>
      <c r="AP390" s="29"/>
      <c r="AQ390" s="29"/>
      <c r="AR390" s="29"/>
      <c r="AS390" s="5"/>
      <c r="AT390" s="5"/>
      <c r="AU390" s="5"/>
      <c r="AV390" s="5"/>
      <c r="AW390" s="5"/>
      <c r="AX390" s="5"/>
      <c r="AY390" s="214"/>
      <c r="AZ390" s="83"/>
      <c r="BA390" s="83"/>
      <c r="BB390" s="83"/>
      <c r="BC390" s="5"/>
    </row>
    <row r="391" spans="37:55" x14ac:dyDescent="0.25">
      <c r="AK391" s="83"/>
      <c r="AL391" s="186"/>
      <c r="AM391" s="29"/>
      <c r="AN391" s="29"/>
      <c r="AO391" s="29"/>
      <c r="AP391" s="29"/>
      <c r="AQ391" s="29"/>
      <c r="AR391" s="29"/>
      <c r="AS391" s="5"/>
      <c r="AT391" s="5"/>
      <c r="AU391" s="5"/>
      <c r="AV391" s="5"/>
      <c r="AW391" s="5"/>
      <c r="AX391" s="5"/>
      <c r="AY391" s="214"/>
      <c r="AZ391" s="83"/>
      <c r="BA391" s="83"/>
      <c r="BB391" s="83"/>
      <c r="BC391" s="5"/>
    </row>
    <row r="392" spans="37:55" x14ac:dyDescent="0.25">
      <c r="AK392" s="83"/>
      <c r="AL392" s="186"/>
      <c r="AM392" s="29"/>
      <c r="AN392" s="29"/>
      <c r="AO392" s="29"/>
      <c r="AP392" s="29"/>
      <c r="AQ392" s="29"/>
      <c r="AR392" s="29"/>
      <c r="AS392" s="5"/>
      <c r="AT392" s="5"/>
      <c r="AU392" s="5"/>
      <c r="AV392" s="5"/>
      <c r="AW392" s="5"/>
      <c r="AX392" s="5"/>
      <c r="AY392" s="214"/>
      <c r="AZ392" s="83"/>
      <c r="BA392" s="83"/>
      <c r="BB392" s="83"/>
      <c r="BC392" s="5"/>
    </row>
    <row r="393" spans="37:55" x14ac:dyDescent="0.25">
      <c r="AK393" s="83"/>
      <c r="AL393" s="186"/>
      <c r="AM393" s="29"/>
      <c r="AN393" s="29"/>
      <c r="AO393" s="29"/>
      <c r="AP393" s="29"/>
      <c r="AQ393" s="29"/>
      <c r="AR393" s="29"/>
      <c r="AS393" s="5"/>
      <c r="AT393" s="5"/>
      <c r="AU393" s="5"/>
      <c r="AV393" s="5"/>
      <c r="AW393" s="5"/>
      <c r="AX393" s="5"/>
      <c r="AY393" s="214"/>
      <c r="AZ393" s="83"/>
      <c r="BA393" s="83"/>
      <c r="BB393" s="83"/>
      <c r="BC393" s="5"/>
    </row>
    <row r="394" spans="37:55" x14ac:dyDescent="0.25">
      <c r="AK394" s="83"/>
      <c r="AL394" s="186"/>
      <c r="AM394" s="29"/>
      <c r="AN394" s="29"/>
      <c r="AO394" s="29"/>
      <c r="AP394" s="29"/>
      <c r="AQ394" s="29"/>
      <c r="AR394" s="29"/>
      <c r="AS394" s="5"/>
      <c r="AT394" s="5"/>
      <c r="AU394" s="5"/>
      <c r="AV394" s="5"/>
      <c r="AW394" s="5"/>
      <c r="AX394" s="5"/>
      <c r="AY394" s="214"/>
      <c r="AZ394" s="83"/>
      <c r="BA394" s="83"/>
      <c r="BB394" s="83"/>
      <c r="BC394" s="5"/>
    </row>
    <row r="395" spans="37:55" x14ac:dyDescent="0.25">
      <c r="AK395" s="83"/>
      <c r="AL395" s="186"/>
      <c r="AM395" s="29"/>
      <c r="AN395" s="29"/>
      <c r="AO395" s="29"/>
      <c r="AP395" s="29"/>
      <c r="AQ395" s="29"/>
      <c r="AR395" s="29"/>
      <c r="AS395" s="5"/>
      <c r="AT395" s="5"/>
      <c r="AU395" s="5"/>
      <c r="AV395" s="5"/>
      <c r="AW395" s="5"/>
      <c r="AX395" s="5"/>
      <c r="AY395" s="214"/>
      <c r="AZ395" s="83"/>
      <c r="BA395" s="83"/>
      <c r="BB395" s="83"/>
      <c r="BC395" s="5"/>
    </row>
    <row r="396" spans="37:55" x14ac:dyDescent="0.25">
      <c r="AK396" s="83"/>
      <c r="AL396" s="186"/>
      <c r="AM396" s="29"/>
      <c r="AN396" s="29"/>
      <c r="AO396" s="29"/>
      <c r="AP396" s="29"/>
      <c r="AQ396" s="29"/>
      <c r="AR396" s="29"/>
      <c r="AS396" s="5"/>
      <c r="AT396" s="5"/>
      <c r="AU396" s="5"/>
      <c r="AV396" s="5"/>
      <c r="AW396" s="5"/>
      <c r="AX396" s="5"/>
      <c r="AY396" s="214"/>
      <c r="AZ396" s="83"/>
      <c r="BA396" s="83"/>
      <c r="BB396" s="83"/>
      <c r="BC396" s="5"/>
    </row>
    <row r="397" spans="37:55" x14ac:dyDescent="0.25">
      <c r="AK397" s="83"/>
      <c r="AL397" s="186"/>
      <c r="AM397" s="29"/>
      <c r="AN397" s="29"/>
      <c r="AO397" s="29"/>
      <c r="AP397" s="29"/>
      <c r="AQ397" s="29"/>
      <c r="AR397" s="29"/>
      <c r="AS397" s="5"/>
      <c r="AT397" s="5"/>
      <c r="AU397" s="5"/>
      <c r="AV397" s="5"/>
      <c r="AW397" s="5"/>
      <c r="AX397" s="5"/>
      <c r="AY397" s="214"/>
      <c r="AZ397" s="83"/>
      <c r="BA397" s="83"/>
      <c r="BB397" s="83"/>
      <c r="BC397" s="5"/>
    </row>
    <row r="398" spans="37:55" x14ac:dyDescent="0.25">
      <c r="AK398" s="83"/>
      <c r="AL398" s="186"/>
      <c r="AM398" s="29"/>
      <c r="AN398" s="29"/>
      <c r="AO398" s="29"/>
      <c r="AP398" s="29"/>
      <c r="AQ398" s="29"/>
      <c r="AR398" s="29"/>
      <c r="AS398" s="5"/>
      <c r="AT398" s="5"/>
      <c r="AU398" s="5"/>
      <c r="AV398" s="5"/>
      <c r="AW398" s="5"/>
      <c r="AX398" s="5"/>
      <c r="AY398" s="214"/>
      <c r="AZ398" s="83"/>
      <c r="BA398" s="83"/>
      <c r="BB398" s="83"/>
      <c r="BC398" s="5"/>
    </row>
    <row r="399" spans="37:55" x14ac:dyDescent="0.25">
      <c r="AK399" s="83"/>
      <c r="AL399" s="186"/>
      <c r="AM399" s="29"/>
      <c r="AN399" s="29"/>
      <c r="AO399" s="29"/>
      <c r="AP399" s="29"/>
      <c r="AQ399" s="29"/>
      <c r="AR399" s="29"/>
      <c r="AS399" s="5"/>
      <c r="AT399" s="5"/>
      <c r="AU399" s="5"/>
      <c r="AV399" s="5"/>
      <c r="AW399" s="5"/>
      <c r="AX399" s="5"/>
      <c r="AY399" s="214"/>
      <c r="AZ399" s="83"/>
      <c r="BA399" s="83"/>
      <c r="BB399" s="83"/>
      <c r="BC399" s="5"/>
    </row>
    <row r="400" spans="37:55" x14ac:dyDescent="0.25">
      <c r="AK400" s="83"/>
      <c r="AL400" s="186"/>
      <c r="AM400" s="29"/>
      <c r="AN400" s="29"/>
      <c r="AO400" s="29"/>
      <c r="AP400" s="29"/>
      <c r="AQ400" s="29"/>
      <c r="AR400" s="29"/>
      <c r="AS400" s="5"/>
      <c r="AT400" s="5"/>
      <c r="AU400" s="5"/>
      <c r="AV400" s="5"/>
      <c r="AW400" s="5"/>
      <c r="AX400" s="5"/>
      <c r="AY400" s="214"/>
      <c r="AZ400" s="83"/>
      <c r="BA400" s="83"/>
      <c r="BB400" s="83"/>
      <c r="BC400" s="5"/>
    </row>
    <row r="401" spans="37:55" x14ac:dyDescent="0.25">
      <c r="AK401" s="83"/>
      <c r="AL401" s="186"/>
      <c r="AM401" s="29"/>
      <c r="AN401" s="29"/>
      <c r="AO401" s="29"/>
      <c r="AP401" s="29"/>
      <c r="AQ401" s="29"/>
      <c r="AR401" s="29"/>
      <c r="AS401" s="5"/>
      <c r="AT401" s="5"/>
      <c r="AU401" s="5"/>
      <c r="AV401" s="5"/>
      <c r="AW401" s="5"/>
      <c r="AX401" s="5"/>
      <c r="AY401" s="214"/>
      <c r="AZ401" s="83"/>
      <c r="BA401" s="83"/>
      <c r="BB401" s="83"/>
      <c r="BC401" s="5"/>
    </row>
    <row r="402" spans="37:55" x14ac:dyDescent="0.25">
      <c r="AK402" s="83"/>
      <c r="AL402" s="186"/>
      <c r="AM402" s="29"/>
      <c r="AN402" s="29"/>
      <c r="AO402" s="29"/>
      <c r="AP402" s="29"/>
      <c r="AQ402" s="29"/>
      <c r="AR402" s="29"/>
      <c r="AS402" s="5"/>
      <c r="AT402" s="5"/>
      <c r="AU402" s="5"/>
      <c r="AV402" s="5"/>
      <c r="AW402" s="5"/>
      <c r="AX402" s="5"/>
      <c r="AY402" s="214"/>
      <c r="AZ402" s="83"/>
      <c r="BA402" s="83"/>
      <c r="BB402" s="83"/>
      <c r="BC402" s="5"/>
    </row>
    <row r="403" spans="37:55" x14ac:dyDescent="0.25">
      <c r="AK403" s="83"/>
      <c r="AL403" s="186"/>
      <c r="AM403" s="29"/>
      <c r="AN403" s="29"/>
      <c r="AO403" s="29"/>
      <c r="AP403" s="29"/>
      <c r="AQ403" s="29"/>
      <c r="AR403" s="29"/>
      <c r="AS403" s="5"/>
      <c r="AT403" s="5"/>
      <c r="AU403" s="5"/>
      <c r="AV403" s="5"/>
      <c r="AW403" s="5"/>
      <c r="AX403" s="5"/>
      <c r="AY403" s="214"/>
      <c r="AZ403" s="83"/>
      <c r="BA403" s="83"/>
      <c r="BB403" s="83"/>
      <c r="BC403" s="5"/>
    </row>
    <row r="404" spans="37:55" x14ac:dyDescent="0.25">
      <c r="AK404" s="83"/>
      <c r="AL404" s="186"/>
      <c r="AM404" s="29"/>
      <c r="AN404" s="29"/>
      <c r="AO404" s="29"/>
      <c r="AP404" s="29"/>
      <c r="AQ404" s="29"/>
      <c r="AR404" s="29"/>
      <c r="AS404" s="5"/>
      <c r="AT404" s="5"/>
      <c r="AU404" s="5"/>
      <c r="AV404" s="5"/>
      <c r="AW404" s="5"/>
      <c r="AX404" s="5"/>
      <c r="AY404" s="214"/>
      <c r="AZ404" s="83"/>
      <c r="BA404" s="83"/>
      <c r="BB404" s="83"/>
      <c r="BC404" s="5"/>
    </row>
    <row r="405" spans="37:55" x14ac:dyDescent="0.25">
      <c r="AK405" s="83"/>
      <c r="AL405" s="186"/>
      <c r="AM405" s="29"/>
      <c r="AN405" s="29"/>
      <c r="AO405" s="29"/>
      <c r="AP405" s="29"/>
      <c r="AQ405" s="29"/>
      <c r="AR405" s="29"/>
      <c r="AS405" s="5"/>
      <c r="AT405" s="5"/>
      <c r="AU405" s="5"/>
      <c r="AV405" s="5"/>
      <c r="AW405" s="5"/>
      <c r="AX405" s="5"/>
      <c r="AY405" s="214"/>
      <c r="AZ405" s="83"/>
      <c r="BA405" s="83"/>
      <c r="BB405" s="83"/>
      <c r="BC405" s="5"/>
    </row>
    <row r="406" spans="37:55" x14ac:dyDescent="0.25">
      <c r="AK406" s="83"/>
      <c r="AL406" s="186"/>
      <c r="AM406" s="29"/>
      <c r="AN406" s="29"/>
      <c r="AO406" s="29"/>
      <c r="AP406" s="29"/>
      <c r="AQ406" s="29"/>
      <c r="AR406" s="29"/>
      <c r="AS406" s="5"/>
      <c r="AT406" s="5"/>
      <c r="AU406" s="5"/>
      <c r="AV406" s="5"/>
      <c r="AW406" s="5"/>
      <c r="AX406" s="5"/>
      <c r="AY406" s="214"/>
      <c r="AZ406" s="83"/>
      <c r="BA406" s="83"/>
      <c r="BB406" s="83"/>
      <c r="BC406" s="5"/>
    </row>
    <row r="407" spans="37:55" x14ac:dyDescent="0.25">
      <c r="AK407" s="83"/>
      <c r="AL407" s="186"/>
      <c r="AM407" s="29"/>
      <c r="AN407" s="29"/>
      <c r="AO407" s="29"/>
      <c r="AP407" s="29"/>
      <c r="AQ407" s="29"/>
      <c r="AR407" s="29"/>
      <c r="AS407" s="5"/>
      <c r="AT407" s="5"/>
      <c r="AU407" s="5"/>
      <c r="AV407" s="5"/>
      <c r="AW407" s="5"/>
      <c r="AX407" s="5"/>
      <c r="AY407" s="214"/>
      <c r="AZ407" s="83"/>
      <c r="BA407" s="83"/>
      <c r="BB407" s="83"/>
      <c r="BC407" s="5"/>
    </row>
    <row r="408" spans="37:55" x14ac:dyDescent="0.25">
      <c r="AK408" s="83"/>
      <c r="AL408" s="186"/>
      <c r="AM408" s="29"/>
      <c r="AN408" s="29"/>
      <c r="AO408" s="29"/>
      <c r="AP408" s="29"/>
      <c r="AQ408" s="29"/>
      <c r="AR408" s="29"/>
      <c r="AS408" s="5"/>
      <c r="AT408" s="5"/>
      <c r="AU408" s="5"/>
      <c r="AV408" s="5"/>
      <c r="AW408" s="5"/>
      <c r="AX408" s="5"/>
      <c r="AY408" s="214"/>
      <c r="AZ408" s="83"/>
      <c r="BA408" s="83"/>
      <c r="BB408" s="83"/>
      <c r="BC408" s="5"/>
    </row>
    <row r="409" spans="37:55" x14ac:dyDescent="0.25">
      <c r="AK409" s="83"/>
      <c r="AL409" s="186"/>
      <c r="AM409" s="29"/>
      <c r="AN409" s="29"/>
      <c r="AO409" s="29"/>
      <c r="AP409" s="29"/>
      <c r="AQ409" s="29"/>
      <c r="AR409" s="29"/>
      <c r="AS409" s="5"/>
      <c r="AT409" s="5"/>
      <c r="AU409" s="5"/>
      <c r="AV409" s="5"/>
      <c r="AW409" s="5"/>
      <c r="AX409" s="5"/>
      <c r="AY409" s="214"/>
      <c r="AZ409" s="83"/>
      <c r="BA409" s="83"/>
      <c r="BB409" s="83"/>
      <c r="BC409" s="5"/>
    </row>
    <row r="410" spans="37:55" x14ac:dyDescent="0.25">
      <c r="AK410" s="83"/>
      <c r="AL410" s="186"/>
      <c r="AM410" s="29"/>
      <c r="AN410" s="29"/>
      <c r="AO410" s="29"/>
      <c r="AP410" s="29"/>
      <c r="AQ410" s="29"/>
      <c r="AR410" s="29"/>
      <c r="AS410" s="5"/>
      <c r="AT410" s="5"/>
      <c r="AU410" s="5"/>
      <c r="AV410" s="5"/>
      <c r="AW410" s="5"/>
      <c r="AX410" s="5"/>
      <c r="AY410" s="214"/>
      <c r="AZ410" s="83"/>
      <c r="BA410" s="83"/>
      <c r="BB410" s="83"/>
      <c r="BC410" s="5"/>
    </row>
    <row r="411" spans="37:55" x14ac:dyDescent="0.25">
      <c r="AK411" s="83"/>
      <c r="AL411" s="186"/>
      <c r="AM411" s="29"/>
      <c r="AN411" s="29"/>
      <c r="AO411" s="29"/>
      <c r="AP411" s="29"/>
      <c r="AQ411" s="29"/>
      <c r="AR411" s="29"/>
      <c r="AS411" s="5"/>
      <c r="AT411" s="5"/>
      <c r="AU411" s="5"/>
      <c r="AV411" s="5"/>
      <c r="AW411" s="5"/>
      <c r="AX411" s="5"/>
      <c r="AY411" s="214"/>
      <c r="AZ411" s="83"/>
      <c r="BA411" s="83"/>
      <c r="BB411" s="83"/>
      <c r="BC411" s="5"/>
    </row>
    <row r="412" spans="37:55" x14ac:dyDescent="0.25">
      <c r="AK412" s="83"/>
      <c r="AL412" s="186"/>
      <c r="AM412" s="29"/>
      <c r="AN412" s="29"/>
      <c r="AO412" s="29"/>
      <c r="AP412" s="29"/>
      <c r="AQ412" s="29"/>
      <c r="AR412" s="29"/>
      <c r="AS412" s="5"/>
      <c r="AT412" s="5"/>
      <c r="AU412" s="5"/>
      <c r="AV412" s="5"/>
      <c r="AW412" s="5"/>
      <c r="AX412" s="5"/>
      <c r="AY412" s="214"/>
      <c r="AZ412" s="83"/>
      <c r="BA412" s="83"/>
      <c r="BB412" s="83"/>
      <c r="BC412" s="5"/>
    </row>
    <row r="413" spans="37:55" x14ac:dyDescent="0.25">
      <c r="AK413" s="83"/>
      <c r="AL413" s="186"/>
      <c r="AM413" s="29"/>
      <c r="AN413" s="29"/>
      <c r="AO413" s="29"/>
      <c r="AP413" s="29"/>
      <c r="AQ413" s="29"/>
      <c r="AR413" s="29"/>
      <c r="AS413" s="5"/>
      <c r="AT413" s="5"/>
      <c r="AU413" s="5"/>
      <c r="AV413" s="5"/>
      <c r="AW413" s="5"/>
      <c r="AX413" s="5"/>
      <c r="AY413" s="214"/>
      <c r="AZ413" s="83"/>
      <c r="BA413" s="83"/>
      <c r="BB413" s="83"/>
      <c r="BC413" s="5"/>
    </row>
    <row r="414" spans="37:55" x14ac:dyDescent="0.25">
      <c r="AK414" s="83"/>
      <c r="AL414" s="186"/>
      <c r="AM414" s="29"/>
      <c r="AN414" s="29"/>
      <c r="AO414" s="29"/>
      <c r="AP414" s="29"/>
      <c r="AQ414" s="29"/>
      <c r="AR414" s="29"/>
      <c r="AS414" s="5"/>
      <c r="AT414" s="5"/>
      <c r="AU414" s="5"/>
      <c r="AV414" s="5"/>
      <c r="AW414" s="5"/>
      <c r="AX414" s="5"/>
      <c r="AY414" s="214"/>
      <c r="AZ414" s="83"/>
      <c r="BA414" s="83"/>
      <c r="BB414" s="83"/>
      <c r="BC414" s="5"/>
    </row>
    <row r="415" spans="37:55" x14ac:dyDescent="0.25">
      <c r="AK415" s="83"/>
      <c r="AL415" s="186"/>
      <c r="AM415" s="29"/>
      <c r="AN415" s="29"/>
      <c r="AO415" s="29"/>
      <c r="AP415" s="29"/>
      <c r="AQ415" s="29"/>
      <c r="AR415" s="29"/>
      <c r="AS415" s="5"/>
      <c r="AT415" s="5"/>
      <c r="AU415" s="5"/>
      <c r="AV415" s="5"/>
      <c r="AW415" s="5"/>
      <c r="AX415" s="5"/>
      <c r="AY415" s="214"/>
      <c r="AZ415" s="83"/>
      <c r="BA415" s="83"/>
      <c r="BB415" s="83"/>
      <c r="BC415" s="5"/>
    </row>
    <row r="416" spans="37:55" x14ac:dyDescent="0.25">
      <c r="AK416" s="83"/>
      <c r="AL416" s="186"/>
      <c r="AM416" s="29"/>
      <c r="AN416" s="29"/>
      <c r="AO416" s="29"/>
      <c r="AP416" s="29"/>
      <c r="AQ416" s="29"/>
      <c r="AR416" s="29"/>
      <c r="AS416" s="5"/>
      <c r="AT416" s="5"/>
      <c r="AU416" s="5"/>
      <c r="AV416" s="5"/>
      <c r="AW416" s="5"/>
      <c r="AX416" s="5"/>
      <c r="AY416" s="214"/>
      <c r="AZ416" s="83"/>
      <c r="BA416" s="83"/>
      <c r="BB416" s="83"/>
      <c r="BC416" s="5"/>
    </row>
    <row r="417" spans="37:55" x14ac:dyDescent="0.25">
      <c r="AK417" s="83"/>
      <c r="AL417" s="186"/>
      <c r="AM417" s="29"/>
      <c r="AN417" s="29"/>
      <c r="AO417" s="29"/>
      <c r="AP417" s="29"/>
      <c r="AQ417" s="29"/>
      <c r="AR417" s="29"/>
      <c r="AS417" s="5"/>
      <c r="AT417" s="5"/>
      <c r="AU417" s="5"/>
      <c r="AV417" s="5"/>
      <c r="AW417" s="5"/>
      <c r="AX417" s="5"/>
      <c r="AY417" s="214"/>
      <c r="AZ417" s="83"/>
      <c r="BA417" s="83"/>
      <c r="BB417" s="83"/>
      <c r="BC417" s="5"/>
    </row>
    <row r="418" spans="37:55" x14ac:dyDescent="0.25">
      <c r="AK418" s="83"/>
      <c r="AL418" s="186"/>
      <c r="AM418" s="29"/>
      <c r="AN418" s="29"/>
      <c r="AO418" s="29"/>
      <c r="AP418" s="29"/>
      <c r="AQ418" s="29"/>
      <c r="AR418" s="29"/>
      <c r="AS418" s="5"/>
      <c r="AT418" s="5"/>
      <c r="AU418" s="5"/>
      <c r="AV418" s="5"/>
      <c r="AW418" s="5"/>
      <c r="AX418" s="5"/>
      <c r="AY418" s="214"/>
      <c r="AZ418" s="83"/>
      <c r="BA418" s="83"/>
      <c r="BB418" s="83"/>
      <c r="BC418" s="5"/>
    </row>
    <row r="419" spans="37:55" x14ac:dyDescent="0.25">
      <c r="AK419" s="83"/>
      <c r="AL419" s="186"/>
      <c r="AM419" s="29"/>
      <c r="AN419" s="29"/>
      <c r="AO419" s="29"/>
      <c r="AP419" s="29"/>
      <c r="AQ419" s="29"/>
      <c r="AR419" s="29"/>
      <c r="AS419" s="5"/>
      <c r="AT419" s="5"/>
      <c r="AU419" s="5"/>
      <c r="AV419" s="5"/>
      <c r="AW419" s="5"/>
      <c r="AX419" s="5"/>
      <c r="AY419" s="214"/>
      <c r="AZ419" s="83"/>
      <c r="BA419" s="83"/>
      <c r="BB419" s="83"/>
      <c r="BC419" s="5"/>
    </row>
    <row r="420" spans="37:55" x14ac:dyDescent="0.25">
      <c r="AK420" s="83"/>
      <c r="AL420" s="186"/>
      <c r="AM420" s="29"/>
      <c r="AN420" s="29"/>
      <c r="AO420" s="29"/>
      <c r="AP420" s="29"/>
      <c r="AQ420" s="29"/>
      <c r="AR420" s="29"/>
      <c r="AS420" s="5"/>
      <c r="AT420" s="5"/>
      <c r="AU420" s="5"/>
      <c r="AV420" s="5"/>
      <c r="AW420" s="5"/>
      <c r="AX420" s="5"/>
      <c r="AY420" s="214"/>
      <c r="AZ420" s="83"/>
      <c r="BA420" s="83"/>
      <c r="BB420" s="83"/>
      <c r="BC420" s="5"/>
    </row>
    <row r="421" spans="37:55" x14ac:dyDescent="0.25">
      <c r="AK421" s="83"/>
      <c r="AL421" s="186"/>
      <c r="AM421" s="29"/>
      <c r="AN421" s="29"/>
      <c r="AO421" s="29"/>
      <c r="AP421" s="29"/>
      <c r="AQ421" s="29"/>
      <c r="AR421" s="29"/>
      <c r="AS421" s="5"/>
      <c r="AT421" s="5"/>
      <c r="AU421" s="5"/>
      <c r="AV421" s="5"/>
      <c r="AW421" s="5"/>
      <c r="AX421" s="5"/>
      <c r="AY421" s="214"/>
      <c r="AZ421" s="83"/>
      <c r="BA421" s="83"/>
      <c r="BB421" s="83"/>
      <c r="BC421" s="5"/>
    </row>
    <row r="422" spans="37:55" x14ac:dyDescent="0.25">
      <c r="AK422" s="83"/>
      <c r="AL422" s="186"/>
      <c r="AM422" s="29"/>
      <c r="AN422" s="29"/>
      <c r="AO422" s="29"/>
      <c r="AP422" s="29"/>
      <c r="AQ422" s="29"/>
      <c r="AR422" s="29"/>
      <c r="AS422" s="5"/>
      <c r="AT422" s="5"/>
      <c r="AU422" s="5"/>
      <c r="AV422" s="5"/>
      <c r="AW422" s="5"/>
      <c r="AX422" s="5"/>
      <c r="AY422" s="214"/>
      <c r="AZ422" s="83"/>
      <c r="BA422" s="83"/>
      <c r="BB422" s="83"/>
      <c r="BC422" s="5"/>
    </row>
    <row r="423" spans="37:55" x14ac:dyDescent="0.25">
      <c r="AK423" s="83"/>
      <c r="AL423" s="186"/>
      <c r="AM423" s="29"/>
      <c r="AN423" s="29"/>
      <c r="AO423" s="29"/>
      <c r="AP423" s="29"/>
      <c r="AQ423" s="29"/>
      <c r="AR423" s="29"/>
      <c r="AS423" s="5"/>
      <c r="AT423" s="5"/>
      <c r="AU423" s="5"/>
      <c r="AV423" s="5"/>
      <c r="AW423" s="5"/>
      <c r="AX423" s="5"/>
      <c r="AY423" s="214"/>
      <c r="AZ423" s="83"/>
      <c r="BA423" s="83"/>
      <c r="BB423" s="83"/>
      <c r="BC423" s="5"/>
    </row>
    <row r="424" spans="37:55" x14ac:dyDescent="0.25">
      <c r="AK424" s="83"/>
      <c r="AL424" s="186"/>
      <c r="AM424" s="29"/>
      <c r="AN424" s="29"/>
      <c r="AO424" s="29"/>
      <c r="AP424" s="29"/>
      <c r="AQ424" s="29"/>
      <c r="AR424" s="29"/>
      <c r="AS424" s="5"/>
      <c r="AT424" s="5"/>
      <c r="AU424" s="5"/>
      <c r="AV424" s="5"/>
      <c r="AW424" s="5"/>
      <c r="AX424" s="5"/>
      <c r="AY424" s="214"/>
      <c r="AZ424" s="83"/>
      <c r="BA424" s="83"/>
      <c r="BB424" s="83"/>
      <c r="BC424" s="5"/>
    </row>
    <row r="425" spans="37:55" x14ac:dyDescent="0.25">
      <c r="AK425" s="83"/>
      <c r="AL425" s="186"/>
      <c r="AM425" s="29"/>
      <c r="AN425" s="29"/>
      <c r="AO425" s="29"/>
      <c r="AP425" s="29"/>
      <c r="AQ425" s="29"/>
      <c r="AR425" s="29"/>
      <c r="AS425" s="5"/>
      <c r="AT425" s="5"/>
      <c r="AU425" s="5"/>
      <c r="AV425" s="5"/>
      <c r="AW425" s="5"/>
      <c r="AX425" s="5"/>
      <c r="AY425" s="214"/>
      <c r="AZ425" s="83"/>
      <c r="BA425" s="83"/>
      <c r="BB425" s="83"/>
      <c r="BC425" s="5"/>
    </row>
    <row r="426" spans="37:55" x14ac:dyDescent="0.25">
      <c r="AK426" s="83"/>
      <c r="AL426" s="186"/>
      <c r="AM426" s="29"/>
      <c r="AN426" s="29"/>
      <c r="AO426" s="29"/>
      <c r="AP426" s="29"/>
      <c r="AQ426" s="29"/>
      <c r="AR426" s="29"/>
      <c r="AS426" s="5"/>
      <c r="AT426" s="5"/>
      <c r="AU426" s="5"/>
      <c r="AV426" s="5"/>
      <c r="AW426" s="5"/>
      <c r="AX426" s="5"/>
      <c r="AY426" s="214"/>
      <c r="AZ426" s="83"/>
      <c r="BA426" s="83"/>
      <c r="BB426" s="83"/>
      <c r="BC426" s="5"/>
    </row>
    <row r="427" spans="37:55" x14ac:dyDescent="0.25">
      <c r="AK427" s="83"/>
      <c r="AL427" s="186"/>
      <c r="AM427" s="29"/>
      <c r="AN427" s="29"/>
      <c r="AO427" s="29"/>
      <c r="AP427" s="29"/>
      <c r="AQ427" s="29"/>
      <c r="AR427" s="29"/>
      <c r="AS427" s="5"/>
      <c r="AT427" s="5"/>
      <c r="AU427" s="5"/>
      <c r="AV427" s="5"/>
      <c r="AW427" s="5"/>
      <c r="AX427" s="5"/>
      <c r="AY427" s="214"/>
      <c r="AZ427" s="83"/>
      <c r="BA427" s="83"/>
      <c r="BB427" s="83"/>
      <c r="BC427" s="5"/>
    </row>
    <row r="428" spans="37:55" x14ac:dyDescent="0.25">
      <c r="AK428" s="83"/>
      <c r="AL428" s="186"/>
      <c r="AM428" s="29"/>
      <c r="AN428" s="29"/>
      <c r="AO428" s="29"/>
      <c r="AP428" s="29"/>
      <c r="AQ428" s="29"/>
      <c r="AR428" s="29"/>
      <c r="AS428" s="5"/>
      <c r="AT428" s="5"/>
      <c r="AU428" s="5"/>
      <c r="AV428" s="5"/>
      <c r="AW428" s="5"/>
      <c r="AX428" s="5"/>
      <c r="AY428" s="214"/>
      <c r="AZ428" s="83"/>
      <c r="BA428" s="83"/>
      <c r="BB428" s="83"/>
      <c r="BC428" s="5"/>
    </row>
    <row r="429" spans="37:55" x14ac:dyDescent="0.25">
      <c r="AK429" s="83"/>
      <c r="AL429" s="186"/>
      <c r="AM429" s="29"/>
      <c r="AN429" s="29"/>
      <c r="AO429" s="29"/>
      <c r="AP429" s="29"/>
      <c r="AQ429" s="29"/>
      <c r="AR429" s="29"/>
      <c r="AS429" s="5"/>
      <c r="AT429" s="5"/>
      <c r="AU429" s="5"/>
      <c r="AV429" s="5"/>
      <c r="AW429" s="5"/>
      <c r="AX429" s="5"/>
      <c r="AY429" s="214"/>
      <c r="AZ429" s="83"/>
      <c r="BA429" s="83"/>
      <c r="BB429" s="83"/>
      <c r="BC429" s="5"/>
    </row>
    <row r="430" spans="37:55" x14ac:dyDescent="0.25">
      <c r="AK430" s="83"/>
      <c r="AL430" s="186"/>
      <c r="AM430" s="29"/>
      <c r="AN430" s="29"/>
      <c r="AO430" s="29"/>
      <c r="AP430" s="29"/>
      <c r="AQ430" s="29"/>
      <c r="AR430" s="29"/>
      <c r="AS430" s="5"/>
      <c r="AT430" s="5"/>
      <c r="AU430" s="5"/>
      <c r="AV430" s="5"/>
      <c r="AW430" s="5"/>
      <c r="AX430" s="5"/>
      <c r="AY430" s="214"/>
      <c r="AZ430" s="83"/>
      <c r="BA430" s="83"/>
      <c r="BB430" s="83"/>
      <c r="BC430" s="5"/>
    </row>
    <row r="431" spans="37:55" x14ac:dyDescent="0.25">
      <c r="AK431" s="83"/>
      <c r="AL431" s="186"/>
      <c r="AM431" s="29"/>
      <c r="AN431" s="29"/>
      <c r="AO431" s="29"/>
      <c r="AP431" s="29"/>
      <c r="AQ431" s="29"/>
      <c r="AR431" s="29"/>
      <c r="AS431" s="5"/>
      <c r="AT431" s="5"/>
      <c r="AU431" s="5"/>
      <c r="AV431" s="5"/>
      <c r="AW431" s="5"/>
      <c r="AX431" s="5"/>
      <c r="AY431" s="214"/>
      <c r="AZ431" s="83"/>
      <c r="BA431" s="83"/>
      <c r="BB431" s="83"/>
      <c r="BC431" s="5"/>
    </row>
    <row r="432" spans="37:55" x14ac:dyDescent="0.25">
      <c r="AK432" s="83"/>
      <c r="AL432" s="186"/>
      <c r="AM432" s="29"/>
      <c r="AN432" s="29"/>
      <c r="AO432" s="29"/>
      <c r="AP432" s="29"/>
      <c r="AQ432" s="29"/>
      <c r="AR432" s="29"/>
      <c r="AS432" s="5"/>
      <c r="AT432" s="5"/>
      <c r="AU432" s="5"/>
      <c r="AV432" s="5"/>
      <c r="AW432" s="5"/>
      <c r="AX432" s="5"/>
      <c r="AY432" s="214"/>
      <c r="AZ432" s="83"/>
      <c r="BA432" s="83"/>
      <c r="BB432" s="83"/>
      <c r="BC432" s="5"/>
    </row>
    <row r="433" spans="37:55" x14ac:dyDescent="0.25">
      <c r="AK433" s="83"/>
      <c r="AL433" s="186"/>
      <c r="AM433" s="29"/>
      <c r="AN433" s="29"/>
      <c r="AO433" s="29"/>
      <c r="AP433" s="29"/>
      <c r="AQ433" s="29"/>
      <c r="AR433" s="29"/>
      <c r="AS433" s="5"/>
      <c r="AT433" s="5"/>
      <c r="AU433" s="5"/>
      <c r="AV433" s="5"/>
      <c r="AW433" s="5"/>
      <c r="AX433" s="5"/>
      <c r="AY433" s="214"/>
      <c r="AZ433" s="83"/>
      <c r="BA433" s="83"/>
      <c r="BB433" s="83"/>
      <c r="BC433" s="5"/>
    </row>
    <row r="434" spans="37:55" x14ac:dyDescent="0.25">
      <c r="AK434" s="83"/>
      <c r="AL434" s="186"/>
      <c r="AM434" s="29"/>
      <c r="AN434" s="29"/>
      <c r="AO434" s="29"/>
      <c r="AP434" s="29"/>
      <c r="AQ434" s="29"/>
      <c r="AR434" s="29"/>
      <c r="AS434" s="5"/>
      <c r="AT434" s="5"/>
      <c r="AU434" s="5"/>
      <c r="AV434" s="5"/>
      <c r="AW434" s="5"/>
      <c r="AX434" s="5"/>
      <c r="AY434" s="214"/>
      <c r="AZ434" s="83"/>
      <c r="BA434" s="83"/>
      <c r="BB434" s="83"/>
      <c r="BC434" s="5"/>
    </row>
    <row r="435" spans="37:55" x14ac:dyDescent="0.25">
      <c r="AK435" s="83"/>
      <c r="AL435" s="186"/>
      <c r="AM435" s="29"/>
      <c r="AN435" s="29"/>
      <c r="AO435" s="29"/>
      <c r="AP435" s="29"/>
      <c r="AQ435" s="29"/>
      <c r="AR435" s="29"/>
      <c r="AS435" s="5"/>
      <c r="AT435" s="5"/>
      <c r="AU435" s="5"/>
      <c r="AV435" s="5"/>
      <c r="AW435" s="5"/>
      <c r="AX435" s="5"/>
      <c r="AY435" s="214"/>
      <c r="AZ435" s="83"/>
      <c r="BA435" s="83"/>
      <c r="BB435" s="83"/>
      <c r="BC435" s="5"/>
    </row>
    <row r="436" spans="37:55" x14ac:dyDescent="0.25">
      <c r="AK436" s="83"/>
      <c r="AL436" s="186"/>
      <c r="AM436" s="29"/>
      <c r="AN436" s="29"/>
      <c r="AO436" s="29"/>
      <c r="AP436" s="29"/>
      <c r="AQ436" s="29"/>
      <c r="AR436" s="29"/>
      <c r="AS436" s="5"/>
      <c r="AT436" s="5"/>
      <c r="AU436" s="5"/>
      <c r="AV436" s="5"/>
      <c r="AW436" s="5"/>
      <c r="AX436" s="5"/>
      <c r="AY436" s="214"/>
      <c r="AZ436" s="83"/>
      <c r="BA436" s="83"/>
      <c r="BB436" s="83"/>
      <c r="BC436" s="5"/>
    </row>
    <row r="437" spans="37:55" x14ac:dyDescent="0.25">
      <c r="AK437" s="83"/>
      <c r="AL437" s="186"/>
      <c r="AM437" s="29"/>
      <c r="AN437" s="29"/>
      <c r="AO437" s="29"/>
      <c r="AP437" s="29"/>
      <c r="AQ437" s="29"/>
      <c r="AR437" s="29"/>
      <c r="AS437" s="5"/>
      <c r="AT437" s="5"/>
      <c r="AU437" s="5"/>
      <c r="AV437" s="5"/>
      <c r="AW437" s="5"/>
      <c r="AX437" s="5"/>
      <c r="AY437" s="214"/>
      <c r="AZ437" s="83"/>
      <c r="BA437" s="83"/>
      <c r="BB437" s="83"/>
      <c r="BC437" s="5"/>
    </row>
    <row r="438" spans="37:55" x14ac:dyDescent="0.25">
      <c r="AK438" s="83"/>
      <c r="AL438" s="186"/>
      <c r="AM438" s="29"/>
      <c r="AN438" s="29"/>
      <c r="AO438" s="29"/>
      <c r="AP438" s="29"/>
      <c r="AQ438" s="29"/>
      <c r="AR438" s="29"/>
      <c r="AS438" s="5"/>
      <c r="AT438" s="5"/>
      <c r="AU438" s="5"/>
      <c r="AV438" s="5"/>
      <c r="AW438" s="5"/>
      <c r="AX438" s="5"/>
      <c r="AY438" s="214"/>
      <c r="AZ438" s="83"/>
      <c r="BA438" s="83"/>
      <c r="BB438" s="83"/>
      <c r="BC438" s="5"/>
    </row>
    <row r="439" spans="37:55" x14ac:dyDescent="0.25">
      <c r="AK439" s="83"/>
      <c r="AL439" s="186"/>
      <c r="AM439" s="29"/>
      <c r="AN439" s="29"/>
      <c r="AO439" s="29"/>
      <c r="AP439" s="29"/>
      <c r="AQ439" s="29"/>
      <c r="AR439" s="29"/>
      <c r="AS439" s="5"/>
      <c r="AT439" s="5"/>
      <c r="AU439" s="5"/>
      <c r="AV439" s="5"/>
      <c r="AW439" s="5"/>
      <c r="AX439" s="5"/>
      <c r="AY439" s="214"/>
      <c r="AZ439" s="83"/>
      <c r="BA439" s="83"/>
      <c r="BB439" s="83"/>
      <c r="BC439" s="5"/>
    </row>
    <row r="440" spans="37:55" x14ac:dyDescent="0.25">
      <c r="AK440" s="83"/>
      <c r="AL440" s="186"/>
      <c r="AM440" s="29"/>
      <c r="AN440" s="29"/>
      <c r="AO440" s="29"/>
      <c r="AP440" s="29"/>
      <c r="AQ440" s="29"/>
      <c r="AR440" s="29"/>
      <c r="AS440" s="5"/>
      <c r="AT440" s="5"/>
      <c r="AU440" s="5"/>
      <c r="AV440" s="5"/>
      <c r="AW440" s="5"/>
      <c r="AX440" s="5"/>
      <c r="AY440" s="214"/>
      <c r="AZ440" s="83"/>
      <c r="BA440" s="83"/>
      <c r="BB440" s="83"/>
      <c r="BC440" s="5"/>
    </row>
    <row r="441" spans="37:55" x14ac:dyDescent="0.25">
      <c r="AK441" s="83"/>
      <c r="AL441" s="186"/>
      <c r="AM441" s="29"/>
      <c r="AN441" s="29"/>
      <c r="AO441" s="29"/>
      <c r="AP441" s="29"/>
      <c r="AQ441" s="29"/>
      <c r="AR441" s="29"/>
      <c r="AS441" s="5"/>
      <c r="AT441" s="5"/>
      <c r="AU441" s="5"/>
      <c r="AV441" s="5"/>
      <c r="AW441" s="5"/>
      <c r="AX441" s="5"/>
      <c r="AY441" s="214"/>
      <c r="AZ441" s="83"/>
      <c r="BA441" s="83"/>
      <c r="BB441" s="83"/>
      <c r="BC441" s="5"/>
    </row>
    <row r="442" spans="37:55" x14ac:dyDescent="0.25">
      <c r="AK442" s="83"/>
      <c r="AL442" s="186"/>
      <c r="AM442" s="29"/>
      <c r="AN442" s="29"/>
      <c r="AO442" s="29"/>
      <c r="AP442" s="29"/>
      <c r="AQ442" s="29"/>
      <c r="AR442" s="29"/>
      <c r="AS442" s="5"/>
      <c r="AT442" s="5"/>
      <c r="AU442" s="5"/>
      <c r="AV442" s="5"/>
      <c r="AW442" s="5"/>
      <c r="AX442" s="5"/>
      <c r="AY442" s="214"/>
      <c r="AZ442" s="83"/>
      <c r="BA442" s="83"/>
      <c r="BB442" s="83"/>
      <c r="BC442" s="5"/>
    </row>
    <row r="443" spans="37:55" x14ac:dyDescent="0.25">
      <c r="AK443" s="83"/>
      <c r="AL443" s="186"/>
      <c r="AM443" s="29"/>
      <c r="AN443" s="29"/>
      <c r="AO443" s="29"/>
      <c r="AP443" s="29"/>
      <c r="AQ443" s="29"/>
      <c r="AR443" s="29"/>
      <c r="AS443" s="5"/>
      <c r="AT443" s="5"/>
      <c r="AU443" s="5"/>
      <c r="AV443" s="5"/>
      <c r="AW443" s="5"/>
      <c r="AX443" s="5"/>
      <c r="AY443" s="214"/>
      <c r="AZ443" s="83"/>
      <c r="BA443" s="83"/>
      <c r="BB443" s="83"/>
      <c r="BC443" s="5"/>
    </row>
    <row r="444" spans="37:55" x14ac:dyDescent="0.25">
      <c r="AK444" s="83"/>
      <c r="AL444" s="186"/>
      <c r="AM444" s="29"/>
      <c r="AN444" s="29"/>
      <c r="AO444" s="29"/>
      <c r="AP444" s="29"/>
      <c r="AQ444" s="29"/>
      <c r="AR444" s="29"/>
      <c r="AS444" s="5"/>
      <c r="AT444" s="5"/>
      <c r="AU444" s="5"/>
      <c r="AV444" s="5"/>
      <c r="AW444" s="5"/>
      <c r="AX444" s="5"/>
      <c r="AY444" s="214"/>
      <c r="AZ444" s="83"/>
      <c r="BA444" s="83"/>
      <c r="BB444" s="83"/>
      <c r="BC444" s="5"/>
    </row>
    <row r="445" spans="37:55" x14ac:dyDescent="0.25">
      <c r="AK445" s="83"/>
      <c r="AL445" s="186"/>
      <c r="AM445" s="29"/>
      <c r="AN445" s="29"/>
      <c r="AO445" s="29"/>
      <c r="AP445" s="29"/>
      <c r="AQ445" s="29"/>
      <c r="AR445" s="29"/>
      <c r="AS445" s="5"/>
      <c r="AT445" s="5"/>
      <c r="AU445" s="5"/>
      <c r="AV445" s="5"/>
      <c r="AW445" s="5"/>
      <c r="AX445" s="5"/>
      <c r="AY445" s="214"/>
      <c r="AZ445" s="83"/>
      <c r="BA445" s="83"/>
      <c r="BB445" s="83"/>
      <c r="BC445" s="5"/>
    </row>
    <row r="446" spans="37:55" x14ac:dyDescent="0.25">
      <c r="AK446" s="83"/>
      <c r="AL446" s="186"/>
      <c r="AM446" s="29"/>
      <c r="AN446" s="29"/>
      <c r="AO446" s="29"/>
      <c r="AP446" s="29"/>
      <c r="AQ446" s="29"/>
      <c r="AR446" s="29"/>
      <c r="AS446" s="5"/>
      <c r="AT446" s="5"/>
      <c r="AU446" s="5"/>
      <c r="AV446" s="5"/>
      <c r="AW446" s="5"/>
      <c r="AX446" s="5"/>
      <c r="AY446" s="214"/>
      <c r="AZ446" s="83"/>
      <c r="BA446" s="83"/>
      <c r="BB446" s="83"/>
      <c r="BC446" s="5"/>
    </row>
    <row r="447" spans="37:55" x14ac:dyDescent="0.25">
      <c r="AK447" s="83"/>
      <c r="AL447" s="186"/>
      <c r="AM447" s="29"/>
      <c r="AN447" s="29"/>
      <c r="AO447" s="29"/>
      <c r="AP447" s="29"/>
      <c r="AQ447" s="29"/>
      <c r="AR447" s="29"/>
      <c r="AS447" s="5"/>
      <c r="AT447" s="5"/>
      <c r="AU447" s="5"/>
      <c r="AV447" s="5"/>
      <c r="AW447" s="5"/>
      <c r="AX447" s="5"/>
      <c r="AY447" s="214"/>
      <c r="AZ447" s="83"/>
      <c r="BA447" s="83"/>
      <c r="BB447" s="83"/>
      <c r="BC447" s="5"/>
    </row>
    <row r="448" spans="37:55" x14ac:dyDescent="0.25">
      <c r="AK448" s="83"/>
      <c r="AL448" s="186"/>
      <c r="AM448" s="29"/>
      <c r="AN448" s="29"/>
      <c r="AO448" s="29"/>
      <c r="AP448" s="29"/>
      <c r="AQ448" s="29"/>
      <c r="AR448" s="29"/>
      <c r="AS448" s="5"/>
      <c r="AT448" s="5"/>
      <c r="AU448" s="5"/>
      <c r="AV448" s="5"/>
      <c r="AW448" s="5"/>
      <c r="AX448" s="5"/>
      <c r="AY448" s="214"/>
      <c r="AZ448" s="83"/>
      <c r="BA448" s="83"/>
      <c r="BB448" s="83"/>
      <c r="BC448" s="5"/>
    </row>
    <row r="449" spans="37:55" x14ac:dyDescent="0.25">
      <c r="AK449" s="83"/>
      <c r="AL449" s="186"/>
      <c r="AM449" s="29"/>
      <c r="AN449" s="29"/>
      <c r="AO449" s="29"/>
      <c r="AP449" s="29"/>
      <c r="AQ449" s="29"/>
      <c r="AR449" s="29"/>
      <c r="AS449" s="5"/>
      <c r="AT449" s="5"/>
      <c r="AU449" s="5"/>
      <c r="AV449" s="5"/>
      <c r="AW449" s="5"/>
      <c r="AX449" s="5"/>
      <c r="AY449" s="214"/>
      <c r="AZ449" s="83"/>
      <c r="BA449" s="83"/>
      <c r="BB449" s="83"/>
      <c r="BC449" s="5"/>
    </row>
    <row r="450" spans="37:55" x14ac:dyDescent="0.25">
      <c r="AK450" s="83"/>
      <c r="AL450" s="186"/>
      <c r="AM450" s="29"/>
      <c r="AN450" s="29"/>
      <c r="AO450" s="29"/>
      <c r="AP450" s="29"/>
      <c r="AQ450" s="29"/>
      <c r="AR450" s="29"/>
      <c r="AS450" s="5"/>
      <c r="AT450" s="5"/>
      <c r="AU450" s="5"/>
      <c r="AV450" s="5"/>
      <c r="AW450" s="5"/>
      <c r="AX450" s="5"/>
      <c r="AY450" s="214"/>
      <c r="AZ450" s="83"/>
      <c r="BA450" s="83"/>
      <c r="BB450" s="83"/>
      <c r="BC450" s="5"/>
    </row>
    <row r="451" spans="37:55" x14ac:dyDescent="0.25">
      <c r="AK451" s="83"/>
      <c r="AL451" s="186"/>
      <c r="AM451" s="29"/>
      <c r="AN451" s="29"/>
      <c r="AO451" s="29"/>
      <c r="AP451" s="29"/>
      <c r="AQ451" s="29"/>
      <c r="AR451" s="29"/>
      <c r="AS451" s="5"/>
      <c r="AT451" s="5"/>
      <c r="AU451" s="5"/>
      <c r="AV451" s="5"/>
      <c r="AW451" s="5"/>
      <c r="AX451" s="5"/>
      <c r="AY451" s="214"/>
      <c r="AZ451" s="83"/>
      <c r="BA451" s="83"/>
      <c r="BB451" s="83"/>
      <c r="BC451" s="5"/>
    </row>
    <row r="452" spans="37:55" x14ac:dyDescent="0.25">
      <c r="AK452" s="83"/>
      <c r="AL452" s="186"/>
      <c r="AM452" s="29"/>
      <c r="AN452" s="29"/>
      <c r="AO452" s="29"/>
      <c r="AP452" s="29"/>
      <c r="AQ452" s="29"/>
      <c r="AR452" s="29"/>
      <c r="AS452" s="5"/>
      <c r="AT452" s="5"/>
      <c r="AU452" s="5"/>
      <c r="AV452" s="5"/>
      <c r="AW452" s="5"/>
      <c r="AX452" s="5"/>
      <c r="AY452" s="214"/>
      <c r="AZ452" s="83"/>
      <c r="BA452" s="83"/>
      <c r="BB452" s="83"/>
      <c r="BC452" s="5"/>
    </row>
    <row r="453" spans="37:55" x14ac:dyDescent="0.25">
      <c r="AK453" s="83"/>
      <c r="AL453" s="186"/>
      <c r="AM453" s="29"/>
      <c r="AN453" s="29"/>
      <c r="AO453" s="29"/>
      <c r="AP453" s="29"/>
      <c r="AQ453" s="29"/>
      <c r="AR453" s="29"/>
      <c r="AS453" s="5"/>
      <c r="AT453" s="5"/>
      <c r="AU453" s="5"/>
      <c r="AV453" s="5"/>
      <c r="AW453" s="5"/>
      <c r="AX453" s="5"/>
      <c r="AY453" s="214"/>
      <c r="AZ453" s="83"/>
      <c r="BA453" s="83"/>
      <c r="BB453" s="83"/>
      <c r="BC453" s="5"/>
    </row>
    <row r="454" spans="37:55" x14ac:dyDescent="0.25">
      <c r="AK454" s="83"/>
      <c r="AL454" s="186"/>
      <c r="AM454" s="29"/>
      <c r="AN454" s="29"/>
      <c r="AO454" s="29"/>
      <c r="AP454" s="29"/>
      <c r="AQ454" s="29"/>
      <c r="AR454" s="29"/>
      <c r="AS454" s="5"/>
      <c r="AT454" s="5"/>
      <c r="AU454" s="5"/>
      <c r="AV454" s="5"/>
      <c r="AW454" s="5"/>
      <c r="AX454" s="5"/>
      <c r="AY454" s="214"/>
      <c r="AZ454" s="83"/>
      <c r="BA454" s="83"/>
      <c r="BB454" s="83"/>
      <c r="BC454" s="5"/>
    </row>
    <row r="455" spans="37:55" x14ac:dyDescent="0.25">
      <c r="AK455" s="83"/>
      <c r="AL455" s="186"/>
      <c r="AM455" s="29"/>
      <c r="AN455" s="29"/>
      <c r="AO455" s="29"/>
      <c r="AP455" s="29"/>
      <c r="AQ455" s="29"/>
      <c r="AR455" s="29"/>
      <c r="AS455" s="5"/>
      <c r="AT455" s="5"/>
      <c r="AU455" s="5"/>
      <c r="AV455" s="5"/>
      <c r="AW455" s="5"/>
      <c r="AX455" s="5"/>
      <c r="AY455" s="214"/>
      <c r="AZ455" s="83"/>
      <c r="BA455" s="83"/>
      <c r="BB455" s="83"/>
      <c r="BC455" s="5"/>
    </row>
    <row r="456" spans="37:55" x14ac:dyDescent="0.25">
      <c r="AK456" s="83"/>
      <c r="AL456" s="186"/>
      <c r="AM456" s="29"/>
      <c r="AN456" s="29"/>
      <c r="AO456" s="29"/>
      <c r="AP456" s="29"/>
      <c r="AQ456" s="29"/>
      <c r="AR456" s="29"/>
      <c r="AS456" s="5"/>
      <c r="AT456" s="5"/>
      <c r="AU456" s="5"/>
      <c r="AV456" s="5"/>
      <c r="AW456" s="5"/>
      <c r="AX456" s="5"/>
      <c r="AY456" s="214"/>
      <c r="AZ456" s="83"/>
      <c r="BA456" s="83"/>
      <c r="BB456" s="83"/>
      <c r="BC456" s="5"/>
    </row>
    <row r="457" spans="37:55" x14ac:dyDescent="0.25">
      <c r="AK457" s="83"/>
      <c r="AL457" s="186"/>
      <c r="AM457" s="29"/>
      <c r="AN457" s="29"/>
      <c r="AO457" s="29"/>
      <c r="AP457" s="29"/>
      <c r="AQ457" s="29"/>
      <c r="AR457" s="29"/>
      <c r="AS457" s="5"/>
      <c r="AT457" s="5"/>
      <c r="AU457" s="5"/>
      <c r="AV457" s="5"/>
      <c r="AW457" s="5"/>
      <c r="AX457" s="5"/>
      <c r="AY457" s="214"/>
      <c r="AZ457" s="83"/>
      <c r="BA457" s="83"/>
      <c r="BB457" s="83"/>
      <c r="BC457" s="5"/>
    </row>
    <row r="458" spans="37:55" x14ac:dyDescent="0.25">
      <c r="AK458" s="83"/>
      <c r="AL458" s="186"/>
      <c r="AM458" s="29"/>
      <c r="AN458" s="29"/>
      <c r="AO458" s="29"/>
      <c r="AP458" s="29"/>
      <c r="AQ458" s="29"/>
      <c r="AR458" s="29"/>
      <c r="AS458" s="5"/>
      <c r="AT458" s="5"/>
      <c r="AU458" s="5"/>
      <c r="AV458" s="5"/>
      <c r="AW458" s="5"/>
      <c r="AX458" s="5"/>
      <c r="AY458" s="214"/>
      <c r="AZ458" s="83"/>
      <c r="BA458" s="83"/>
      <c r="BB458" s="83"/>
      <c r="BC458" s="5"/>
    </row>
    <row r="459" spans="37:55" x14ac:dyDescent="0.25">
      <c r="AK459" s="83"/>
      <c r="AL459" s="186"/>
      <c r="AM459" s="29"/>
      <c r="AN459" s="29"/>
      <c r="AO459" s="29"/>
      <c r="AP459" s="29"/>
      <c r="AQ459" s="29"/>
      <c r="AR459" s="29"/>
      <c r="AS459" s="5"/>
      <c r="AT459" s="5"/>
      <c r="AU459" s="5"/>
      <c r="AV459" s="5"/>
      <c r="AW459" s="5"/>
      <c r="AX459" s="5"/>
      <c r="AY459" s="214"/>
      <c r="AZ459" s="83"/>
      <c r="BA459" s="83"/>
      <c r="BB459" s="83"/>
      <c r="BC459" s="5"/>
    </row>
    <row r="460" spans="37:55" x14ac:dyDescent="0.25">
      <c r="AK460" s="83"/>
      <c r="AL460" s="186"/>
      <c r="AM460" s="29"/>
      <c r="AN460" s="29"/>
      <c r="AO460" s="29"/>
      <c r="AP460" s="29"/>
      <c r="AQ460" s="29"/>
      <c r="AR460" s="29"/>
      <c r="AS460" s="5"/>
      <c r="AT460" s="5"/>
      <c r="AU460" s="5"/>
      <c r="AV460" s="5"/>
      <c r="AW460" s="5"/>
      <c r="AX460" s="5"/>
      <c r="AY460" s="214"/>
      <c r="AZ460" s="83"/>
      <c r="BA460" s="83"/>
      <c r="BB460" s="83"/>
      <c r="BC460" s="5"/>
    </row>
    <row r="461" spans="37:55" x14ac:dyDescent="0.25">
      <c r="AK461" s="83"/>
      <c r="AL461" s="186"/>
      <c r="AM461" s="29"/>
      <c r="AN461" s="29"/>
      <c r="AO461" s="29"/>
      <c r="AP461" s="29"/>
      <c r="AQ461" s="29"/>
      <c r="AR461" s="29"/>
      <c r="AS461" s="5"/>
      <c r="AT461" s="5"/>
      <c r="AU461" s="5"/>
      <c r="AV461" s="5"/>
      <c r="AW461" s="5"/>
      <c r="AX461" s="5"/>
      <c r="AY461" s="214"/>
      <c r="AZ461" s="83"/>
      <c r="BA461" s="83"/>
      <c r="BB461" s="83"/>
      <c r="BC461" s="5"/>
    </row>
    <row r="462" spans="37:55" x14ac:dyDescent="0.25">
      <c r="AK462" s="83"/>
      <c r="AL462" s="186"/>
      <c r="AM462" s="29"/>
      <c r="AN462" s="29"/>
      <c r="AO462" s="29"/>
      <c r="AP462" s="29"/>
      <c r="AQ462" s="29"/>
      <c r="AR462" s="29"/>
      <c r="AS462" s="5"/>
      <c r="AT462" s="5"/>
      <c r="AU462" s="5"/>
      <c r="AV462" s="5"/>
      <c r="AW462" s="5"/>
      <c r="AX462" s="5"/>
      <c r="AY462" s="214"/>
      <c r="AZ462" s="83"/>
      <c r="BA462" s="83"/>
      <c r="BB462" s="83"/>
      <c r="BC462" s="5"/>
    </row>
    <row r="463" spans="37:55" x14ac:dyDescent="0.25">
      <c r="AK463" s="83"/>
      <c r="AL463" s="186"/>
      <c r="AM463" s="29"/>
      <c r="AN463" s="29"/>
      <c r="AO463" s="29"/>
      <c r="AP463" s="29"/>
      <c r="AQ463" s="29"/>
      <c r="AR463" s="29"/>
      <c r="AS463" s="5"/>
      <c r="AT463" s="5"/>
      <c r="AU463" s="5"/>
      <c r="AV463" s="5"/>
      <c r="AW463" s="5"/>
      <c r="AX463" s="5"/>
      <c r="AY463" s="214"/>
      <c r="AZ463" s="83"/>
      <c r="BA463" s="83"/>
      <c r="BB463" s="83"/>
      <c r="BC463" s="5"/>
    </row>
    <row r="464" spans="37:55" x14ac:dyDescent="0.25">
      <c r="AK464" s="83"/>
      <c r="AL464" s="186"/>
      <c r="AM464" s="29"/>
      <c r="AN464" s="29"/>
      <c r="AO464" s="29"/>
      <c r="AP464" s="29"/>
      <c r="AQ464" s="29"/>
      <c r="AR464" s="29"/>
      <c r="AS464" s="5"/>
      <c r="AT464" s="5"/>
      <c r="AU464" s="5"/>
      <c r="AV464" s="5"/>
      <c r="AW464" s="5"/>
      <c r="AX464" s="5"/>
      <c r="AY464" s="214"/>
      <c r="AZ464" s="83"/>
      <c r="BA464" s="83"/>
      <c r="BB464" s="83"/>
      <c r="BC464" s="5"/>
    </row>
    <row r="465" spans="37:55" x14ac:dyDescent="0.25">
      <c r="AK465" s="83"/>
      <c r="AL465" s="186"/>
      <c r="AM465" s="29"/>
      <c r="AN465" s="29"/>
      <c r="AO465" s="29"/>
      <c r="AP465" s="29"/>
      <c r="AQ465" s="29"/>
      <c r="AR465" s="29"/>
      <c r="AS465" s="5"/>
      <c r="AT465" s="5"/>
      <c r="AU465" s="5"/>
      <c r="AV465" s="5"/>
      <c r="AW465" s="5"/>
      <c r="AX465" s="5"/>
      <c r="AY465" s="214"/>
      <c r="AZ465" s="83"/>
      <c r="BA465" s="83"/>
      <c r="BB465" s="83"/>
      <c r="BC465" s="5"/>
    </row>
    <row r="466" spans="37:55" x14ac:dyDescent="0.25">
      <c r="AK466" s="83"/>
      <c r="AL466" s="186"/>
      <c r="AM466" s="29"/>
      <c r="AN466" s="29"/>
      <c r="AO466" s="29"/>
      <c r="AP466" s="29"/>
      <c r="AQ466" s="29"/>
      <c r="AR466" s="29"/>
      <c r="AS466" s="5"/>
      <c r="AT466" s="5"/>
      <c r="AU466" s="5"/>
      <c r="AV466" s="5"/>
      <c r="AW466" s="5"/>
      <c r="AX466" s="5"/>
      <c r="AY466" s="214"/>
      <c r="AZ466" s="83"/>
      <c r="BA466" s="83"/>
      <c r="BB466" s="83"/>
      <c r="BC466" s="5"/>
    </row>
    <row r="467" spans="37:55" x14ac:dyDescent="0.25">
      <c r="AK467" s="83"/>
      <c r="AL467" s="186"/>
      <c r="AM467" s="29"/>
      <c r="AN467" s="29"/>
      <c r="AO467" s="29"/>
      <c r="AP467" s="29"/>
      <c r="AQ467" s="29"/>
      <c r="AR467" s="29"/>
      <c r="AS467" s="5"/>
      <c r="AT467" s="5"/>
      <c r="AU467" s="5"/>
      <c r="AV467" s="5"/>
      <c r="AW467" s="5"/>
      <c r="AX467" s="5"/>
      <c r="AY467" s="214"/>
      <c r="AZ467" s="83"/>
      <c r="BA467" s="83"/>
      <c r="BB467" s="83"/>
      <c r="BC467" s="5"/>
    </row>
    <row r="468" spans="37:55" x14ac:dyDescent="0.25">
      <c r="AK468" s="83"/>
      <c r="AL468" s="186"/>
      <c r="AM468" s="29"/>
      <c r="AN468" s="29"/>
      <c r="AO468" s="29"/>
      <c r="AP468" s="29"/>
      <c r="AQ468" s="29"/>
      <c r="AR468" s="29"/>
      <c r="AS468" s="5"/>
      <c r="AT468" s="5"/>
      <c r="AU468" s="5"/>
      <c r="AV468" s="5"/>
      <c r="AW468" s="5"/>
      <c r="AX468" s="5"/>
      <c r="AY468" s="214"/>
      <c r="AZ468" s="83"/>
      <c r="BA468" s="83"/>
      <c r="BB468" s="83"/>
      <c r="BC468" s="5"/>
    </row>
    <row r="469" spans="37:55" x14ac:dyDescent="0.25">
      <c r="AK469" s="83"/>
      <c r="AL469" s="186"/>
      <c r="AM469" s="29"/>
      <c r="AN469" s="29"/>
      <c r="AO469" s="29"/>
      <c r="AP469" s="29"/>
      <c r="AQ469" s="29"/>
      <c r="AR469" s="29"/>
      <c r="AS469" s="5"/>
      <c r="AT469" s="5"/>
      <c r="AU469" s="5"/>
      <c r="AV469" s="5"/>
      <c r="AW469" s="5"/>
      <c r="AX469" s="5"/>
      <c r="AY469" s="214"/>
      <c r="AZ469" s="83"/>
      <c r="BA469" s="83"/>
      <c r="BB469" s="83"/>
      <c r="BC469" s="5"/>
    </row>
    <row r="470" spans="37:55" x14ac:dyDescent="0.25">
      <c r="AK470" s="83"/>
      <c r="AL470" s="186"/>
      <c r="AM470" s="29"/>
      <c r="AN470" s="29"/>
      <c r="AO470" s="29"/>
      <c r="AP470" s="29"/>
      <c r="AQ470" s="29"/>
      <c r="AR470" s="29"/>
      <c r="AS470" s="5"/>
      <c r="AT470" s="5"/>
      <c r="AU470" s="5"/>
      <c r="AV470" s="5"/>
      <c r="AW470" s="5"/>
      <c r="AX470" s="5"/>
      <c r="AY470" s="214"/>
      <c r="AZ470" s="83"/>
      <c r="BA470" s="83"/>
      <c r="BB470" s="83"/>
      <c r="BC470" s="5"/>
    </row>
    <row r="471" spans="37:55" x14ac:dyDescent="0.25">
      <c r="AK471" s="83"/>
      <c r="AL471" s="186"/>
      <c r="AM471" s="29"/>
      <c r="AN471" s="29"/>
      <c r="AO471" s="29"/>
      <c r="AP471" s="29"/>
      <c r="AQ471" s="29"/>
      <c r="AR471" s="29"/>
      <c r="AS471" s="5"/>
      <c r="AT471" s="5"/>
      <c r="AU471" s="5"/>
      <c r="AV471" s="5"/>
      <c r="AW471" s="5"/>
      <c r="AX471" s="5"/>
      <c r="AY471" s="214"/>
      <c r="AZ471" s="83"/>
      <c r="BA471" s="83"/>
      <c r="BB471" s="83"/>
      <c r="BC471" s="5"/>
    </row>
    <row r="472" spans="37:55" x14ac:dyDescent="0.25">
      <c r="AK472" s="83"/>
      <c r="AL472" s="186"/>
      <c r="AM472" s="29"/>
      <c r="AN472" s="29"/>
      <c r="AO472" s="29"/>
      <c r="AP472" s="29"/>
      <c r="AQ472" s="29"/>
      <c r="AR472" s="29"/>
      <c r="AS472" s="5"/>
      <c r="AT472" s="5"/>
      <c r="AU472" s="5"/>
      <c r="AV472" s="5"/>
      <c r="AW472" s="5"/>
      <c r="AX472" s="5"/>
      <c r="AY472" s="214"/>
      <c r="AZ472" s="83"/>
      <c r="BA472" s="83"/>
      <c r="BB472" s="83"/>
      <c r="BC472" s="5"/>
    </row>
    <row r="473" spans="37:55" x14ac:dyDescent="0.25">
      <c r="AK473" s="83"/>
      <c r="AL473" s="186"/>
      <c r="AM473" s="29"/>
      <c r="AN473" s="29"/>
      <c r="AO473" s="29"/>
      <c r="AP473" s="29"/>
      <c r="AQ473" s="29"/>
      <c r="AR473" s="29"/>
      <c r="AS473" s="5"/>
      <c r="AT473" s="5"/>
      <c r="AU473" s="5"/>
      <c r="AV473" s="5"/>
      <c r="AW473" s="5"/>
      <c r="AX473" s="5"/>
      <c r="AY473" s="214"/>
      <c r="AZ473" s="83"/>
      <c r="BA473" s="83"/>
      <c r="BB473" s="83"/>
      <c r="BC473" s="5"/>
    </row>
    <row r="474" spans="37:55" x14ac:dyDescent="0.25">
      <c r="AK474" s="83"/>
      <c r="AL474" s="186"/>
      <c r="AM474" s="29"/>
      <c r="AN474" s="29"/>
      <c r="AO474" s="29"/>
      <c r="AP474" s="29"/>
      <c r="AQ474" s="29"/>
      <c r="AR474" s="29"/>
      <c r="AS474" s="5"/>
      <c r="AT474" s="5"/>
      <c r="AU474" s="5"/>
      <c r="AV474" s="5"/>
      <c r="AW474" s="5"/>
      <c r="AX474" s="5"/>
      <c r="AY474" s="214"/>
      <c r="AZ474" s="83"/>
      <c r="BA474" s="83"/>
      <c r="BB474" s="83"/>
      <c r="BC474" s="5"/>
    </row>
    <row r="475" spans="37:55" x14ac:dyDescent="0.25">
      <c r="AK475" s="83"/>
      <c r="AL475" s="186"/>
      <c r="AM475" s="29"/>
      <c r="AN475" s="29"/>
      <c r="AO475" s="29"/>
      <c r="AP475" s="29"/>
      <c r="AQ475" s="29"/>
      <c r="AR475" s="29"/>
      <c r="AS475" s="5"/>
      <c r="AT475" s="5"/>
      <c r="AU475" s="5"/>
      <c r="AV475" s="5"/>
      <c r="AW475" s="5"/>
      <c r="AX475" s="5"/>
      <c r="AY475" s="214"/>
      <c r="AZ475" s="83"/>
      <c r="BA475" s="83"/>
      <c r="BB475" s="83"/>
      <c r="BC475" s="5"/>
    </row>
    <row r="476" spans="37:55" x14ac:dyDescent="0.25">
      <c r="AK476" s="83"/>
      <c r="AL476" s="186"/>
      <c r="AM476" s="29"/>
      <c r="AN476" s="29"/>
      <c r="AO476" s="29"/>
      <c r="AP476" s="29"/>
      <c r="AQ476" s="29"/>
      <c r="AR476" s="29"/>
      <c r="AS476" s="5"/>
      <c r="AT476" s="5"/>
      <c r="AU476" s="5"/>
      <c r="AV476" s="5"/>
      <c r="AW476" s="5"/>
      <c r="AX476" s="5"/>
      <c r="AY476" s="214"/>
      <c r="AZ476" s="83"/>
      <c r="BA476" s="83"/>
      <c r="BB476" s="83"/>
      <c r="BC476" s="5"/>
    </row>
    <row r="477" spans="37:55" x14ac:dyDescent="0.25">
      <c r="AK477" s="83"/>
      <c r="AL477" s="186"/>
      <c r="AM477" s="29"/>
      <c r="AN477" s="29"/>
      <c r="AO477" s="29"/>
      <c r="AP477" s="29"/>
      <c r="AQ477" s="29"/>
      <c r="AR477" s="29"/>
      <c r="AS477" s="5"/>
      <c r="AT477" s="5"/>
      <c r="AU477" s="5"/>
      <c r="AV477" s="5"/>
      <c r="AW477" s="5"/>
      <c r="AX477" s="5"/>
      <c r="AY477" s="214"/>
      <c r="AZ477" s="83"/>
      <c r="BA477" s="83"/>
      <c r="BB477" s="83"/>
      <c r="BC477" s="5"/>
    </row>
    <row r="478" spans="37:55" x14ac:dyDescent="0.25">
      <c r="AK478" s="83"/>
      <c r="AL478" s="186"/>
      <c r="AM478" s="29"/>
      <c r="AN478" s="29"/>
      <c r="AO478" s="29"/>
      <c r="AP478" s="29"/>
      <c r="AQ478" s="29"/>
      <c r="AR478" s="29"/>
      <c r="AS478" s="5"/>
      <c r="AT478" s="5"/>
      <c r="AU478" s="5"/>
      <c r="AV478" s="5"/>
      <c r="AW478" s="5"/>
      <c r="AX478" s="5"/>
      <c r="AY478" s="214"/>
      <c r="AZ478" s="83"/>
      <c r="BA478" s="83"/>
      <c r="BB478" s="83"/>
      <c r="BC478" s="5"/>
    </row>
    <row r="479" spans="37:55" x14ac:dyDescent="0.25">
      <c r="AK479" s="83"/>
      <c r="AL479" s="186"/>
      <c r="AM479" s="29"/>
      <c r="AN479" s="29"/>
      <c r="AO479" s="29"/>
      <c r="AP479" s="29"/>
      <c r="AQ479" s="29"/>
      <c r="AR479" s="29"/>
      <c r="AS479" s="5"/>
      <c r="AT479" s="5"/>
      <c r="AU479" s="5"/>
      <c r="AV479" s="5"/>
      <c r="AW479" s="5"/>
      <c r="AX479" s="5"/>
      <c r="AY479" s="214"/>
      <c r="AZ479" s="83"/>
      <c r="BA479" s="83"/>
      <c r="BB479" s="83"/>
      <c r="BC479" s="5"/>
    </row>
    <row r="480" spans="37:55" x14ac:dyDescent="0.25">
      <c r="AK480" s="83"/>
      <c r="AL480" s="186"/>
      <c r="AM480" s="29"/>
      <c r="AN480" s="29"/>
      <c r="AO480" s="29"/>
      <c r="AP480" s="29"/>
      <c r="AQ480" s="29"/>
      <c r="AR480" s="29"/>
      <c r="AS480" s="5"/>
      <c r="AT480" s="5"/>
      <c r="AU480" s="5"/>
      <c r="AV480" s="5"/>
      <c r="AW480" s="5"/>
      <c r="AX480" s="5"/>
      <c r="AY480" s="214"/>
      <c r="AZ480" s="83"/>
      <c r="BA480" s="83"/>
      <c r="BB480" s="83"/>
      <c r="BC480" s="5"/>
    </row>
    <row r="481" spans="37:55" x14ac:dyDescent="0.25">
      <c r="AK481" s="83"/>
      <c r="AL481" s="186"/>
      <c r="AM481" s="29"/>
      <c r="AN481" s="29"/>
      <c r="AO481" s="29"/>
      <c r="AP481" s="29"/>
      <c r="AQ481" s="29"/>
      <c r="AR481" s="29"/>
      <c r="AS481" s="5"/>
      <c r="AT481" s="5"/>
      <c r="AU481" s="5"/>
      <c r="AV481" s="5"/>
      <c r="AW481" s="5"/>
      <c r="AX481" s="5"/>
      <c r="AY481" s="214"/>
      <c r="AZ481" s="83"/>
      <c r="BA481" s="83"/>
      <c r="BB481" s="83"/>
      <c r="BC481" s="5"/>
    </row>
    <row r="482" spans="37:55" x14ac:dyDescent="0.25">
      <c r="AK482" s="83"/>
      <c r="AL482" s="186"/>
      <c r="AM482" s="29"/>
      <c r="AN482" s="29"/>
      <c r="AO482" s="29"/>
      <c r="AP482" s="29"/>
      <c r="AQ482" s="29"/>
      <c r="AR482" s="29"/>
      <c r="AS482" s="5"/>
      <c r="AT482" s="5"/>
      <c r="AU482" s="5"/>
      <c r="AV482" s="5"/>
      <c r="AW482" s="5"/>
      <c r="AX482" s="5"/>
      <c r="AY482" s="214"/>
      <c r="AZ482" s="83"/>
      <c r="BA482" s="83"/>
      <c r="BB482" s="83"/>
      <c r="BC482" s="5"/>
    </row>
    <row r="483" spans="37:55" x14ac:dyDescent="0.25">
      <c r="AK483" s="83"/>
      <c r="AL483" s="186"/>
      <c r="AM483" s="29"/>
      <c r="AN483" s="29"/>
      <c r="AO483" s="29"/>
      <c r="AP483" s="29"/>
      <c r="AQ483" s="29"/>
      <c r="AR483" s="29"/>
      <c r="AS483" s="5"/>
      <c r="AT483" s="5"/>
      <c r="AU483" s="5"/>
      <c r="AV483" s="5"/>
      <c r="AW483" s="5"/>
      <c r="AX483" s="5"/>
      <c r="AY483" s="214"/>
      <c r="AZ483" s="83"/>
      <c r="BA483" s="83"/>
      <c r="BB483" s="83"/>
      <c r="BC483" s="5"/>
    </row>
    <row r="484" spans="37:55" x14ac:dyDescent="0.25">
      <c r="AK484" s="83"/>
      <c r="AL484" s="186"/>
      <c r="AM484" s="29"/>
      <c r="AN484" s="29"/>
      <c r="AO484" s="29"/>
      <c r="AP484" s="29"/>
      <c r="AQ484" s="29"/>
      <c r="AR484" s="29"/>
      <c r="AS484" s="5"/>
      <c r="AT484" s="5"/>
      <c r="AU484" s="5"/>
      <c r="AV484" s="5"/>
      <c r="AW484" s="5"/>
      <c r="AX484" s="5"/>
      <c r="AY484" s="214"/>
      <c r="AZ484" s="83"/>
      <c r="BA484" s="83"/>
      <c r="BB484" s="83"/>
      <c r="BC484" s="5"/>
    </row>
    <row r="485" spans="37:55" x14ac:dyDescent="0.25">
      <c r="AK485" s="83"/>
      <c r="AL485" s="186"/>
      <c r="AM485" s="29"/>
      <c r="AN485" s="29"/>
      <c r="AO485" s="29"/>
      <c r="AP485" s="29"/>
      <c r="AQ485" s="29"/>
      <c r="AR485" s="29"/>
      <c r="AS485" s="5"/>
      <c r="AT485" s="5"/>
      <c r="AU485" s="5"/>
      <c r="AV485" s="5"/>
      <c r="AW485" s="5"/>
      <c r="AX485" s="5"/>
      <c r="AY485" s="214"/>
      <c r="AZ485" s="83"/>
      <c r="BA485" s="83"/>
      <c r="BB485" s="83"/>
      <c r="BC485" s="5"/>
    </row>
    <row r="486" spans="37:55" x14ac:dyDescent="0.25">
      <c r="AK486" s="83"/>
      <c r="AL486" s="186"/>
      <c r="AM486" s="29"/>
      <c r="AN486" s="29"/>
      <c r="AO486" s="29"/>
      <c r="AP486" s="29"/>
      <c r="AQ486" s="29"/>
      <c r="AR486" s="29"/>
      <c r="AS486" s="5"/>
      <c r="AT486" s="5"/>
      <c r="AU486" s="5"/>
      <c r="AV486" s="5"/>
      <c r="AW486" s="5"/>
      <c r="AX486" s="5"/>
      <c r="AY486" s="214"/>
      <c r="AZ486" s="83"/>
      <c r="BA486" s="83"/>
      <c r="BB486" s="83"/>
      <c r="BC486" s="5"/>
    </row>
    <row r="487" spans="37:55" x14ac:dyDescent="0.25">
      <c r="AK487" s="83"/>
      <c r="AL487" s="186"/>
      <c r="AM487" s="29"/>
      <c r="AN487" s="29"/>
      <c r="AO487" s="29"/>
      <c r="AP487" s="29"/>
      <c r="AQ487" s="29"/>
      <c r="AR487" s="29"/>
      <c r="AS487" s="5"/>
      <c r="AT487" s="5"/>
      <c r="AU487" s="5"/>
      <c r="AV487" s="5"/>
      <c r="AW487" s="5"/>
      <c r="AX487" s="5"/>
      <c r="AY487" s="214"/>
      <c r="AZ487" s="83"/>
      <c r="BA487" s="83"/>
      <c r="BB487" s="83"/>
      <c r="BC487" s="5"/>
    </row>
    <row r="488" spans="37:55" x14ac:dyDescent="0.25">
      <c r="AK488" s="83"/>
      <c r="AL488" s="186"/>
      <c r="AM488" s="29"/>
      <c r="AN488" s="29"/>
      <c r="AO488" s="29"/>
      <c r="AP488" s="29"/>
      <c r="AQ488" s="29"/>
      <c r="AR488" s="29"/>
      <c r="AS488" s="5"/>
      <c r="AT488" s="5"/>
      <c r="AU488" s="5"/>
      <c r="AV488" s="5"/>
      <c r="AW488" s="5"/>
      <c r="AX488" s="5"/>
      <c r="AY488" s="214"/>
      <c r="AZ488" s="83"/>
      <c r="BA488" s="83"/>
      <c r="BB488" s="83"/>
      <c r="BC488" s="5"/>
    </row>
    <row r="489" spans="37:55" x14ac:dyDescent="0.25">
      <c r="AK489" s="83"/>
      <c r="AL489" s="186"/>
      <c r="AM489" s="29"/>
      <c r="AN489" s="29"/>
      <c r="AO489" s="29"/>
      <c r="AP489" s="29"/>
      <c r="AQ489" s="29"/>
      <c r="AR489" s="29"/>
      <c r="AS489" s="5"/>
      <c r="AT489" s="5"/>
      <c r="AU489" s="5"/>
      <c r="AV489" s="5"/>
      <c r="AW489" s="5"/>
      <c r="AX489" s="5"/>
      <c r="AY489" s="214"/>
      <c r="AZ489" s="83"/>
      <c r="BA489" s="83"/>
      <c r="BB489" s="83"/>
      <c r="BC489" s="5"/>
    </row>
    <row r="490" spans="37:55" x14ac:dyDescent="0.25">
      <c r="AK490" s="83"/>
      <c r="AL490" s="186"/>
      <c r="AM490" s="29"/>
      <c r="AN490" s="29"/>
      <c r="AO490" s="29"/>
      <c r="AP490" s="29"/>
      <c r="AQ490" s="29"/>
      <c r="AR490" s="29"/>
      <c r="AS490" s="5"/>
      <c r="AT490" s="5"/>
      <c r="AU490" s="5"/>
      <c r="AV490" s="5"/>
      <c r="AW490" s="5"/>
      <c r="AX490" s="5"/>
      <c r="AY490" s="214"/>
      <c r="AZ490" s="83"/>
      <c r="BA490" s="83"/>
      <c r="BB490" s="83"/>
      <c r="BC490" s="5"/>
    </row>
    <row r="491" spans="37:55" x14ac:dyDescent="0.25">
      <c r="AK491" s="83"/>
      <c r="AL491" s="186"/>
      <c r="AM491" s="29"/>
      <c r="AN491" s="29"/>
      <c r="AO491" s="29"/>
      <c r="AP491" s="29"/>
      <c r="AQ491" s="29"/>
      <c r="AR491" s="29"/>
      <c r="AS491" s="5"/>
      <c r="AT491" s="5"/>
      <c r="AU491" s="5"/>
      <c r="AV491" s="5"/>
      <c r="AW491" s="5"/>
      <c r="AX491" s="5"/>
      <c r="AY491" s="214"/>
      <c r="AZ491" s="83"/>
      <c r="BA491" s="83"/>
      <c r="BB491" s="83"/>
      <c r="BC491" s="5"/>
    </row>
    <row r="492" spans="37:55" x14ac:dyDescent="0.25">
      <c r="AK492" s="83"/>
      <c r="AL492" s="186"/>
      <c r="AM492" s="29"/>
      <c r="AN492" s="29"/>
      <c r="AO492" s="29"/>
      <c r="AP492" s="29"/>
      <c r="AQ492" s="29"/>
      <c r="AR492" s="29"/>
      <c r="AS492" s="5"/>
      <c r="AT492" s="5"/>
      <c r="AU492" s="5"/>
      <c r="AV492" s="5"/>
      <c r="AW492" s="5"/>
      <c r="AX492" s="5"/>
      <c r="AY492" s="214"/>
      <c r="AZ492" s="83"/>
      <c r="BA492" s="83"/>
      <c r="BB492" s="83"/>
      <c r="BC492" s="5"/>
    </row>
    <row r="493" spans="37:55" x14ac:dyDescent="0.25">
      <c r="AK493" s="83"/>
      <c r="AL493" s="186"/>
      <c r="AM493" s="29"/>
      <c r="AN493" s="29"/>
      <c r="AO493" s="29"/>
      <c r="AP493" s="29"/>
      <c r="AQ493" s="29"/>
      <c r="AR493" s="29"/>
      <c r="AS493" s="5"/>
      <c r="AT493" s="5"/>
      <c r="AU493" s="5"/>
      <c r="AV493" s="5"/>
      <c r="AW493" s="5"/>
      <c r="AX493" s="5"/>
      <c r="AY493" s="214"/>
      <c r="AZ493" s="83"/>
      <c r="BA493" s="83"/>
      <c r="BB493" s="83"/>
      <c r="BC493" s="5"/>
    </row>
    <row r="494" spans="37:55" x14ac:dyDescent="0.25">
      <c r="AK494" s="83"/>
      <c r="AL494" s="186"/>
      <c r="AM494" s="29"/>
      <c r="AN494" s="29"/>
      <c r="AO494" s="29"/>
      <c r="AP494" s="29"/>
      <c r="AQ494" s="29"/>
      <c r="AR494" s="29"/>
      <c r="AS494" s="5"/>
      <c r="AT494" s="5"/>
      <c r="AU494" s="5"/>
      <c r="AV494" s="5"/>
      <c r="AW494" s="5"/>
      <c r="AX494" s="5"/>
      <c r="AY494" s="214"/>
      <c r="AZ494" s="83"/>
      <c r="BA494" s="83"/>
      <c r="BB494" s="83"/>
      <c r="BC494" s="5"/>
    </row>
    <row r="495" spans="37:55" x14ac:dyDescent="0.25">
      <c r="AK495" s="83"/>
      <c r="AL495" s="186"/>
      <c r="AM495" s="29"/>
      <c r="AN495" s="29"/>
      <c r="AO495" s="29"/>
      <c r="AP495" s="29"/>
      <c r="AQ495" s="29"/>
      <c r="AR495" s="29"/>
      <c r="AS495" s="5"/>
      <c r="AT495" s="5"/>
      <c r="AU495" s="5"/>
      <c r="AV495" s="5"/>
      <c r="AW495" s="5"/>
      <c r="AX495" s="5"/>
      <c r="AY495" s="214"/>
      <c r="AZ495" s="83"/>
      <c r="BA495" s="83"/>
      <c r="BB495" s="83"/>
      <c r="BC495" s="5"/>
    </row>
    <row r="496" spans="37:55" x14ac:dyDescent="0.25">
      <c r="AK496" s="83"/>
      <c r="AL496" s="186"/>
      <c r="AM496" s="29"/>
      <c r="AN496" s="29"/>
      <c r="AO496" s="29"/>
      <c r="AP496" s="29"/>
      <c r="AQ496" s="29"/>
      <c r="AR496" s="29"/>
      <c r="AS496" s="5"/>
      <c r="AT496" s="5"/>
      <c r="AU496" s="5"/>
      <c r="AV496" s="5"/>
      <c r="AW496" s="5"/>
      <c r="AX496" s="5"/>
      <c r="AY496" s="214"/>
      <c r="AZ496" s="83"/>
      <c r="BA496" s="83"/>
      <c r="BB496" s="83"/>
      <c r="BC496" s="5"/>
    </row>
    <row r="497" spans="37:55" x14ac:dyDescent="0.25">
      <c r="AK497" s="83"/>
      <c r="AL497" s="186"/>
      <c r="AM497" s="29"/>
      <c r="AN497" s="29"/>
      <c r="AO497" s="29"/>
      <c r="AP497" s="29"/>
      <c r="AQ497" s="29"/>
      <c r="AR497" s="29"/>
      <c r="AS497" s="5"/>
      <c r="AT497" s="5"/>
      <c r="AU497" s="5"/>
      <c r="AV497" s="5"/>
      <c r="AW497" s="5"/>
      <c r="AX497" s="5"/>
      <c r="AY497" s="214"/>
      <c r="AZ497" s="83"/>
      <c r="BA497" s="83"/>
      <c r="BB497" s="83"/>
      <c r="BC497" s="5"/>
    </row>
    <row r="498" spans="37:55" x14ac:dyDescent="0.25">
      <c r="AK498" s="83"/>
      <c r="AL498" s="186"/>
      <c r="AM498" s="29"/>
      <c r="AN498" s="29"/>
      <c r="AO498" s="29"/>
      <c r="AP498" s="29"/>
      <c r="AQ498" s="29"/>
      <c r="AR498" s="29"/>
      <c r="AS498" s="5"/>
      <c r="AT498" s="5"/>
      <c r="AU498" s="5"/>
      <c r="AV498" s="5"/>
      <c r="AW498" s="5"/>
      <c r="AX498" s="5"/>
      <c r="AY498" s="214"/>
      <c r="AZ498" s="83"/>
      <c r="BA498" s="83"/>
      <c r="BB498" s="83"/>
      <c r="BC498" s="5"/>
    </row>
    <row r="499" spans="37:55" x14ac:dyDescent="0.25">
      <c r="AK499" s="83"/>
      <c r="AL499" s="186"/>
      <c r="AM499" s="29"/>
      <c r="AN499" s="29"/>
      <c r="AO499" s="29"/>
      <c r="AP499" s="29"/>
      <c r="AQ499" s="29"/>
      <c r="AR499" s="29"/>
      <c r="AS499" s="5"/>
      <c r="AT499" s="5"/>
      <c r="AU499" s="5"/>
      <c r="AV499" s="5"/>
      <c r="AW499" s="5"/>
      <c r="AX499" s="5"/>
      <c r="AY499" s="214"/>
      <c r="AZ499" s="83"/>
      <c r="BA499" s="83"/>
      <c r="BB499" s="83"/>
      <c r="BC499" s="5"/>
    </row>
    <row r="500" spans="37:55" x14ac:dyDescent="0.25">
      <c r="AK500" s="83"/>
      <c r="AL500" s="186"/>
      <c r="AM500" s="29"/>
      <c r="AN500" s="29"/>
      <c r="AO500" s="29"/>
      <c r="AP500" s="29"/>
      <c r="AQ500" s="29"/>
      <c r="AR500" s="29"/>
      <c r="AS500" s="5"/>
      <c r="AT500" s="5"/>
      <c r="AU500" s="5"/>
      <c r="AV500" s="5"/>
      <c r="AW500" s="5"/>
      <c r="AX500" s="5"/>
      <c r="AY500" s="214"/>
      <c r="AZ500" s="83"/>
      <c r="BA500" s="83"/>
      <c r="BB500" s="83"/>
      <c r="BC500" s="5"/>
    </row>
    <row r="501" spans="37:55" x14ac:dyDescent="0.25">
      <c r="AK501" s="83"/>
      <c r="AL501" s="186"/>
      <c r="AM501" s="29"/>
      <c r="AN501" s="29"/>
      <c r="AO501" s="29"/>
      <c r="AP501" s="29"/>
      <c r="AQ501" s="29"/>
      <c r="AR501" s="29"/>
      <c r="AS501" s="5"/>
      <c r="AT501" s="5"/>
      <c r="AU501" s="5"/>
      <c r="AV501" s="5"/>
      <c r="AW501" s="5"/>
      <c r="AX501" s="5"/>
      <c r="AY501" s="214"/>
      <c r="AZ501" s="83"/>
      <c r="BA501" s="83"/>
      <c r="BB501" s="83"/>
      <c r="BC501" s="5"/>
    </row>
    <row r="502" spans="37:55" x14ac:dyDescent="0.25">
      <c r="AK502" s="83"/>
      <c r="AL502" s="186"/>
      <c r="AM502" s="29"/>
      <c r="AN502" s="29"/>
      <c r="AO502" s="29"/>
      <c r="AP502" s="29"/>
      <c r="AQ502" s="29"/>
      <c r="AR502" s="29"/>
      <c r="AS502" s="5"/>
      <c r="AT502" s="5"/>
      <c r="AU502" s="5"/>
      <c r="AV502" s="5"/>
      <c r="AW502" s="5"/>
      <c r="AX502" s="5"/>
      <c r="AY502" s="214"/>
      <c r="AZ502" s="83"/>
      <c r="BA502" s="83"/>
      <c r="BB502" s="83"/>
      <c r="BC502" s="5"/>
    </row>
    <row r="503" spans="37:55" x14ac:dyDescent="0.25">
      <c r="AK503" s="83"/>
      <c r="AL503" s="186"/>
      <c r="AM503" s="29"/>
      <c r="AN503" s="29"/>
      <c r="AO503" s="29"/>
      <c r="AP503" s="29"/>
      <c r="AQ503" s="29"/>
      <c r="AR503" s="29"/>
      <c r="AS503" s="5"/>
      <c r="AT503" s="5"/>
      <c r="AU503" s="5"/>
      <c r="AV503" s="5"/>
      <c r="AW503" s="5"/>
      <c r="AX503" s="5"/>
      <c r="AY503" s="214"/>
      <c r="AZ503" s="83"/>
      <c r="BA503" s="83"/>
      <c r="BB503" s="83"/>
      <c r="BC503" s="5"/>
    </row>
    <row r="504" spans="37:55" x14ac:dyDescent="0.25">
      <c r="AK504" s="83"/>
      <c r="AL504" s="186"/>
      <c r="AM504" s="29"/>
      <c r="AN504" s="29"/>
      <c r="AO504" s="29"/>
      <c r="AP504" s="29"/>
      <c r="AQ504" s="29"/>
      <c r="AR504" s="29"/>
      <c r="AS504" s="5"/>
      <c r="AT504" s="5"/>
      <c r="AU504" s="5"/>
      <c r="AV504" s="5"/>
      <c r="AW504" s="5"/>
      <c r="AX504" s="5"/>
      <c r="AY504" s="214"/>
      <c r="AZ504" s="83"/>
      <c r="BA504" s="83"/>
      <c r="BB504" s="83"/>
      <c r="BC504" s="5"/>
    </row>
    <row r="505" spans="37:55" x14ac:dyDescent="0.25">
      <c r="AK505" s="83"/>
      <c r="AL505" s="186"/>
      <c r="AM505" s="29"/>
      <c r="AN505" s="29"/>
      <c r="AO505" s="29"/>
      <c r="AP505" s="29"/>
      <c r="AQ505" s="29"/>
      <c r="AR505" s="29"/>
      <c r="AS505" s="5"/>
      <c r="AT505" s="5"/>
      <c r="AU505" s="5"/>
      <c r="AV505" s="5"/>
      <c r="AW505" s="5"/>
      <c r="AX505" s="5"/>
      <c r="AY505" s="214"/>
      <c r="AZ505" s="83"/>
      <c r="BA505" s="83"/>
      <c r="BB505" s="83"/>
      <c r="BC505" s="5"/>
    </row>
    <row r="506" spans="37:55" x14ac:dyDescent="0.25">
      <c r="AK506" s="83"/>
      <c r="AL506" s="186"/>
      <c r="AM506" s="29"/>
      <c r="AN506" s="29"/>
      <c r="AO506" s="29"/>
      <c r="AP506" s="29"/>
      <c r="AQ506" s="29"/>
      <c r="AR506" s="29"/>
      <c r="AS506" s="5"/>
      <c r="AT506" s="5"/>
      <c r="AU506" s="5"/>
      <c r="AV506" s="5"/>
      <c r="AW506" s="5"/>
      <c r="AX506" s="5"/>
      <c r="AY506" s="214"/>
      <c r="AZ506" s="83"/>
      <c r="BA506" s="83"/>
      <c r="BB506" s="83"/>
      <c r="BC506" s="5"/>
    </row>
    <row r="507" spans="37:55" x14ac:dyDescent="0.25">
      <c r="AK507" s="83"/>
      <c r="AL507" s="186"/>
      <c r="AM507" s="29"/>
      <c r="AN507" s="29"/>
      <c r="AO507" s="29"/>
      <c r="AP507" s="29"/>
      <c r="AQ507" s="29"/>
      <c r="AR507" s="29"/>
      <c r="AS507" s="5"/>
      <c r="AT507" s="5"/>
      <c r="AU507" s="5"/>
      <c r="AV507" s="5"/>
      <c r="AW507" s="5"/>
      <c r="AX507" s="5"/>
      <c r="AY507" s="214"/>
      <c r="AZ507" s="83"/>
      <c r="BA507" s="83"/>
      <c r="BB507" s="83"/>
      <c r="BC507" s="5"/>
    </row>
    <row r="508" spans="37:55" x14ac:dyDescent="0.25">
      <c r="AK508" s="83"/>
      <c r="AL508" s="186"/>
      <c r="AM508" s="29"/>
      <c r="AN508" s="29"/>
      <c r="AO508" s="29"/>
      <c r="AP508" s="29"/>
      <c r="AQ508" s="29"/>
      <c r="AR508" s="29"/>
      <c r="AS508" s="5"/>
      <c r="AT508" s="5"/>
      <c r="AU508" s="5"/>
      <c r="AV508" s="5"/>
      <c r="AW508" s="5"/>
      <c r="AX508" s="5"/>
      <c r="AY508" s="214"/>
      <c r="AZ508" s="83"/>
      <c r="BA508" s="83"/>
      <c r="BB508" s="83"/>
      <c r="BC508" s="5"/>
    </row>
    <row r="509" spans="37:55" x14ac:dyDescent="0.25">
      <c r="AK509" s="83"/>
      <c r="AL509" s="186"/>
      <c r="AM509" s="29"/>
      <c r="AN509" s="29"/>
      <c r="AO509" s="29"/>
      <c r="AP509" s="29"/>
      <c r="AQ509" s="29"/>
      <c r="AR509" s="29"/>
      <c r="AS509" s="5"/>
      <c r="AT509" s="5"/>
      <c r="AU509" s="5"/>
      <c r="AV509" s="5"/>
      <c r="AW509" s="5"/>
      <c r="AX509" s="5"/>
      <c r="AY509" s="214"/>
      <c r="AZ509" s="83"/>
      <c r="BA509" s="83"/>
      <c r="BB509" s="83"/>
      <c r="BC509" s="5"/>
    </row>
    <row r="510" spans="37:55" x14ac:dyDescent="0.25">
      <c r="AK510" s="83"/>
      <c r="AL510" s="186"/>
      <c r="AM510" s="29"/>
      <c r="AN510" s="29"/>
      <c r="AO510" s="29"/>
      <c r="AP510" s="29"/>
      <c r="AQ510" s="29"/>
      <c r="AR510" s="29"/>
      <c r="AS510" s="5"/>
      <c r="AT510" s="5"/>
      <c r="AU510" s="5"/>
      <c r="AV510" s="5"/>
      <c r="AW510" s="5"/>
      <c r="AX510" s="5"/>
      <c r="AY510" s="214"/>
      <c r="AZ510" s="83"/>
      <c r="BA510" s="83"/>
      <c r="BB510" s="83"/>
      <c r="BC510" s="5"/>
    </row>
    <row r="511" spans="37:55" x14ac:dyDescent="0.25">
      <c r="AK511" s="83"/>
      <c r="AL511" s="186"/>
      <c r="AM511" s="29"/>
      <c r="AN511" s="29"/>
      <c r="AO511" s="29"/>
      <c r="AP511" s="29"/>
      <c r="AQ511" s="29"/>
      <c r="AR511" s="29"/>
      <c r="AS511" s="5"/>
      <c r="AT511" s="5"/>
      <c r="AU511" s="5"/>
      <c r="AV511" s="5"/>
      <c r="AW511" s="5"/>
      <c r="AX511" s="5"/>
      <c r="AY511" s="214"/>
      <c r="AZ511" s="83"/>
      <c r="BA511" s="83"/>
      <c r="BB511" s="83"/>
      <c r="BC511" s="5"/>
    </row>
    <row r="512" spans="37:55" x14ac:dyDescent="0.25">
      <c r="AK512" s="83"/>
      <c r="AL512" s="186"/>
      <c r="AM512" s="29"/>
      <c r="AN512" s="29"/>
      <c r="AO512" s="29"/>
      <c r="AP512" s="29"/>
      <c r="AQ512" s="29"/>
      <c r="AR512" s="29"/>
      <c r="AS512" s="5"/>
      <c r="AT512" s="5"/>
      <c r="AU512" s="5"/>
      <c r="AV512" s="5"/>
      <c r="AW512" s="5"/>
      <c r="AX512" s="5"/>
      <c r="AY512" s="214"/>
      <c r="AZ512" s="83"/>
      <c r="BA512" s="83"/>
      <c r="BB512" s="83"/>
      <c r="BC512" s="5"/>
    </row>
    <row r="513" spans="37:55" x14ac:dyDescent="0.25">
      <c r="AK513" s="83"/>
      <c r="AL513" s="186"/>
      <c r="AM513" s="29"/>
      <c r="AN513" s="29"/>
      <c r="AO513" s="29"/>
      <c r="AP513" s="29"/>
      <c r="AQ513" s="29"/>
      <c r="AR513" s="29"/>
      <c r="AS513" s="5"/>
      <c r="AT513" s="5"/>
      <c r="AU513" s="5"/>
      <c r="AV513" s="5"/>
      <c r="AW513" s="5"/>
      <c r="AX513" s="5"/>
      <c r="AY513" s="214"/>
      <c r="AZ513" s="83"/>
      <c r="BA513" s="83"/>
      <c r="BB513" s="83"/>
      <c r="BC513" s="5"/>
    </row>
    <row r="514" spans="37:55" x14ac:dyDescent="0.25">
      <c r="AK514" s="83"/>
      <c r="AL514" s="186"/>
      <c r="AM514" s="29"/>
      <c r="AN514" s="29"/>
      <c r="AO514" s="29"/>
      <c r="AP514" s="29"/>
      <c r="AQ514" s="29"/>
      <c r="AR514" s="29"/>
      <c r="AS514" s="5"/>
      <c r="AT514" s="5"/>
      <c r="AU514" s="5"/>
      <c r="AV514" s="5"/>
      <c r="AW514" s="5"/>
      <c r="AX514" s="5"/>
      <c r="AY514" s="214"/>
      <c r="AZ514" s="83"/>
      <c r="BA514" s="83"/>
      <c r="BB514" s="83"/>
      <c r="BC514" s="5"/>
    </row>
    <row r="515" spans="37:55" x14ac:dyDescent="0.25">
      <c r="AK515" s="83"/>
      <c r="AL515" s="186"/>
      <c r="AM515" s="29"/>
      <c r="AN515" s="29"/>
      <c r="AO515" s="29"/>
      <c r="AP515" s="29"/>
      <c r="AQ515" s="29"/>
      <c r="AR515" s="29"/>
      <c r="AS515" s="5"/>
      <c r="AT515" s="5"/>
      <c r="AU515" s="5"/>
      <c r="AV515" s="5"/>
      <c r="AW515" s="5"/>
      <c r="AX515" s="5"/>
      <c r="AY515" s="214"/>
      <c r="AZ515" s="83"/>
      <c r="BA515" s="83"/>
      <c r="BB515" s="83"/>
      <c r="BC515" s="5"/>
    </row>
    <row r="516" spans="37:55" x14ac:dyDescent="0.25">
      <c r="AK516" s="83"/>
      <c r="AL516" s="186"/>
      <c r="AM516" s="29"/>
      <c r="AN516" s="29"/>
      <c r="AO516" s="29"/>
      <c r="AP516" s="29"/>
      <c r="AQ516" s="29"/>
      <c r="AR516" s="29"/>
      <c r="AS516" s="5"/>
      <c r="AT516" s="5"/>
      <c r="AU516" s="5"/>
      <c r="AV516" s="5"/>
      <c r="AW516" s="5"/>
      <c r="AX516" s="5"/>
      <c r="AY516" s="214"/>
      <c r="AZ516" s="83"/>
      <c r="BA516" s="83"/>
      <c r="BB516" s="83"/>
      <c r="BC516" s="5"/>
    </row>
    <row r="517" spans="37:55" x14ac:dyDescent="0.25">
      <c r="AK517" s="83"/>
      <c r="AL517" s="186"/>
      <c r="AM517" s="29"/>
      <c r="AN517" s="29"/>
      <c r="AO517" s="29"/>
      <c r="AP517" s="29"/>
      <c r="AQ517" s="29"/>
      <c r="AR517" s="29"/>
      <c r="AS517" s="5"/>
      <c r="AT517" s="5"/>
      <c r="AU517" s="5"/>
      <c r="AV517" s="5"/>
      <c r="AW517" s="5"/>
      <c r="AX517" s="5"/>
      <c r="AY517" s="214"/>
      <c r="AZ517" s="83"/>
      <c r="BA517" s="83"/>
      <c r="BB517" s="83"/>
      <c r="BC517" s="5"/>
    </row>
    <row r="518" spans="37:55" x14ac:dyDescent="0.25">
      <c r="AK518" s="83"/>
      <c r="AL518" s="186"/>
      <c r="AM518" s="29"/>
      <c r="AN518" s="29"/>
      <c r="AO518" s="29"/>
      <c r="AP518" s="29"/>
      <c r="AQ518" s="29"/>
      <c r="AR518" s="29"/>
      <c r="AS518" s="5"/>
      <c r="AT518" s="5"/>
      <c r="AU518" s="5"/>
      <c r="AV518" s="5"/>
      <c r="AW518" s="5"/>
      <c r="AX518" s="5"/>
      <c r="AY518" s="214"/>
      <c r="AZ518" s="83"/>
      <c r="BA518" s="83"/>
      <c r="BB518" s="83"/>
      <c r="BC518" s="5"/>
    </row>
    <row r="519" spans="37:55" x14ac:dyDescent="0.25">
      <c r="AK519" s="83"/>
      <c r="AL519" s="186"/>
      <c r="AM519" s="29"/>
      <c r="AN519" s="29"/>
      <c r="AO519" s="29"/>
      <c r="AP519" s="29"/>
      <c r="AQ519" s="29"/>
      <c r="AR519" s="29"/>
      <c r="AS519" s="5"/>
      <c r="AT519" s="5"/>
      <c r="AU519" s="5"/>
      <c r="AV519" s="5"/>
      <c r="AW519" s="5"/>
      <c r="AX519" s="5"/>
      <c r="AY519" s="214"/>
      <c r="AZ519" s="83"/>
      <c r="BA519" s="83"/>
      <c r="BB519" s="83"/>
      <c r="BC519" s="5"/>
    </row>
    <row r="520" spans="37:55" x14ac:dyDescent="0.25">
      <c r="AK520" s="83"/>
      <c r="AL520" s="186"/>
      <c r="AM520" s="29"/>
      <c r="AN520" s="29"/>
      <c r="AO520" s="29"/>
      <c r="AP520" s="29"/>
      <c r="AQ520" s="29"/>
      <c r="AR520" s="29"/>
      <c r="AS520" s="5"/>
      <c r="AT520" s="5"/>
      <c r="AU520" s="5"/>
      <c r="AV520" s="5"/>
      <c r="AW520" s="5"/>
      <c r="AX520" s="5"/>
      <c r="AY520" s="214"/>
      <c r="AZ520" s="83"/>
      <c r="BA520" s="83"/>
      <c r="BB520" s="83"/>
      <c r="BC520" s="5"/>
    </row>
    <row r="521" spans="37:55" x14ac:dyDescent="0.25">
      <c r="AK521" s="83"/>
      <c r="AL521" s="186"/>
      <c r="AM521" s="29"/>
      <c r="AN521" s="29"/>
      <c r="AO521" s="29"/>
      <c r="AP521" s="29"/>
      <c r="AQ521" s="29"/>
      <c r="AR521" s="29"/>
      <c r="AS521" s="5"/>
      <c r="AT521" s="5"/>
      <c r="AU521" s="5"/>
      <c r="AV521" s="5"/>
      <c r="AW521" s="5"/>
      <c r="AX521" s="5"/>
      <c r="AY521" s="214"/>
      <c r="AZ521" s="83"/>
      <c r="BA521" s="83"/>
      <c r="BB521" s="83"/>
      <c r="BC521" s="5"/>
    </row>
    <row r="522" spans="37:55" x14ac:dyDescent="0.25">
      <c r="AK522" s="83"/>
      <c r="AL522" s="186"/>
      <c r="AM522" s="29"/>
      <c r="AN522" s="29"/>
      <c r="AO522" s="29"/>
      <c r="AP522" s="29"/>
      <c r="AQ522" s="29"/>
      <c r="AR522" s="29"/>
      <c r="AS522" s="5"/>
      <c r="AT522" s="5"/>
      <c r="AU522" s="5"/>
      <c r="AV522" s="5"/>
      <c r="AW522" s="5"/>
      <c r="AX522" s="5"/>
      <c r="AY522" s="214"/>
      <c r="AZ522" s="83"/>
      <c r="BA522" s="83"/>
      <c r="BB522" s="83"/>
      <c r="BC522" s="5"/>
    </row>
    <row r="523" spans="37:55" x14ac:dyDescent="0.25">
      <c r="AK523" s="83"/>
      <c r="AL523" s="186"/>
      <c r="AM523" s="29"/>
      <c r="AN523" s="29"/>
      <c r="AO523" s="29"/>
      <c r="AP523" s="29"/>
      <c r="AQ523" s="29"/>
      <c r="AR523" s="29"/>
      <c r="AS523" s="5"/>
      <c r="AT523" s="5"/>
      <c r="AU523" s="5"/>
      <c r="AV523" s="5"/>
      <c r="AW523" s="5"/>
      <c r="AX523" s="5"/>
      <c r="AY523" s="214"/>
      <c r="AZ523" s="83"/>
      <c r="BA523" s="83"/>
      <c r="BB523" s="83"/>
      <c r="BC523" s="5"/>
    </row>
    <row r="524" spans="37:55" x14ac:dyDescent="0.25">
      <c r="AK524" s="83"/>
      <c r="AL524" s="186"/>
      <c r="AM524" s="29"/>
      <c r="AN524" s="29"/>
      <c r="AO524" s="29"/>
      <c r="AP524" s="29"/>
      <c r="AQ524" s="29"/>
      <c r="AR524" s="29"/>
      <c r="AS524" s="5"/>
      <c r="AT524" s="5"/>
      <c r="AU524" s="5"/>
      <c r="AV524" s="5"/>
      <c r="AW524" s="5"/>
      <c r="AX524" s="5"/>
      <c r="AY524" s="214"/>
      <c r="AZ524" s="83"/>
      <c r="BA524" s="83"/>
      <c r="BB524" s="83"/>
      <c r="BC524" s="5"/>
    </row>
    <row r="525" spans="37:55" x14ac:dyDescent="0.25">
      <c r="AK525" s="83"/>
      <c r="AL525" s="186"/>
      <c r="AM525" s="29"/>
      <c r="AN525" s="29"/>
      <c r="AO525" s="29"/>
      <c r="AP525" s="29"/>
      <c r="AQ525" s="29"/>
      <c r="AR525" s="29"/>
      <c r="AS525" s="5"/>
      <c r="AT525" s="5"/>
      <c r="AU525" s="5"/>
      <c r="AV525" s="5"/>
      <c r="AW525" s="5"/>
      <c r="AX525" s="5"/>
      <c r="AY525" s="214"/>
      <c r="AZ525" s="83"/>
      <c r="BA525" s="83"/>
      <c r="BB525" s="83"/>
      <c r="BC525" s="5"/>
    </row>
    <row r="526" spans="37:55" x14ac:dyDescent="0.25">
      <c r="AK526" s="83"/>
      <c r="AL526" s="186"/>
      <c r="AM526" s="29"/>
      <c r="AN526" s="29"/>
      <c r="AO526" s="29"/>
      <c r="AP526" s="29"/>
      <c r="AQ526" s="29"/>
      <c r="AR526" s="29"/>
      <c r="AS526" s="5"/>
      <c r="AT526" s="5"/>
      <c r="AU526" s="5"/>
      <c r="AV526" s="5"/>
      <c r="AW526" s="5"/>
      <c r="AX526" s="5"/>
      <c r="AY526" s="214"/>
      <c r="AZ526" s="83"/>
      <c r="BA526" s="83"/>
      <c r="BB526" s="83"/>
      <c r="BC526" s="5"/>
    </row>
    <row r="527" spans="37:55" x14ac:dyDescent="0.25">
      <c r="AK527" s="83"/>
      <c r="AL527" s="186"/>
      <c r="AM527" s="29"/>
      <c r="AN527" s="29"/>
      <c r="AO527" s="29"/>
      <c r="AP527" s="29"/>
      <c r="AQ527" s="29"/>
      <c r="AR527" s="29"/>
      <c r="AS527" s="5"/>
      <c r="AT527" s="5"/>
      <c r="AU527" s="5"/>
      <c r="AV527" s="5"/>
      <c r="AW527" s="5"/>
      <c r="AX527" s="5"/>
      <c r="AY527" s="214"/>
      <c r="AZ527" s="83"/>
      <c r="BA527" s="83"/>
      <c r="BB527" s="83"/>
      <c r="BC527" s="5"/>
    </row>
    <row r="528" spans="37:55" x14ac:dyDescent="0.25">
      <c r="AK528" s="83"/>
      <c r="AL528" s="186"/>
      <c r="AM528" s="29"/>
      <c r="AN528" s="29"/>
      <c r="AO528" s="29"/>
      <c r="AP528" s="29"/>
      <c r="AQ528" s="29"/>
      <c r="AR528" s="29"/>
      <c r="AS528" s="5"/>
      <c r="AT528" s="5"/>
      <c r="AU528" s="5"/>
      <c r="AV528" s="5"/>
      <c r="AW528" s="5"/>
      <c r="AX528" s="5"/>
      <c r="AY528" s="214"/>
      <c r="AZ528" s="83"/>
      <c r="BA528" s="83"/>
      <c r="BB528" s="83"/>
      <c r="BC528" s="5"/>
    </row>
    <row r="529" spans="37:55" x14ac:dyDescent="0.25">
      <c r="AK529" s="83"/>
      <c r="AL529" s="186"/>
      <c r="AM529" s="29"/>
      <c r="AN529" s="29"/>
      <c r="AO529" s="29"/>
      <c r="AP529" s="29"/>
      <c r="AQ529" s="29"/>
      <c r="AR529" s="29"/>
      <c r="AS529" s="5"/>
      <c r="AT529" s="5"/>
      <c r="AU529" s="5"/>
      <c r="AV529" s="5"/>
      <c r="AW529" s="5"/>
      <c r="AX529" s="5"/>
      <c r="AY529" s="214"/>
      <c r="AZ529" s="83"/>
      <c r="BA529" s="83"/>
      <c r="BB529" s="83"/>
      <c r="BC529" s="5"/>
    </row>
    <row r="530" spans="37:55" x14ac:dyDescent="0.25">
      <c r="AK530" s="83"/>
      <c r="AL530" s="186"/>
      <c r="AM530" s="29"/>
      <c r="AN530" s="29"/>
      <c r="AO530" s="29"/>
      <c r="AP530" s="29"/>
      <c r="AQ530" s="29"/>
      <c r="AR530" s="29"/>
      <c r="AS530" s="5"/>
      <c r="AT530" s="5"/>
      <c r="AU530" s="5"/>
      <c r="AV530" s="5"/>
      <c r="AW530" s="5"/>
      <c r="AX530" s="5"/>
      <c r="AY530" s="214"/>
      <c r="AZ530" s="83"/>
      <c r="BA530" s="83"/>
      <c r="BB530" s="83"/>
      <c r="BC530" s="5"/>
    </row>
    <row r="531" spans="37:55" x14ac:dyDescent="0.25">
      <c r="AK531" s="83"/>
      <c r="AL531" s="186"/>
      <c r="AM531" s="29"/>
      <c r="AN531" s="29"/>
      <c r="AO531" s="29"/>
      <c r="AP531" s="29"/>
      <c r="AQ531" s="29"/>
      <c r="AR531" s="29"/>
      <c r="AS531" s="5"/>
      <c r="AT531" s="5"/>
      <c r="AU531" s="5"/>
      <c r="AV531" s="5"/>
      <c r="AW531" s="5"/>
      <c r="AX531" s="5"/>
      <c r="AY531" s="214"/>
      <c r="AZ531" s="83"/>
      <c r="BA531" s="83"/>
      <c r="BB531" s="83"/>
      <c r="BC531" s="5"/>
    </row>
    <row r="532" spans="37:55" x14ac:dyDescent="0.25">
      <c r="AK532" s="83"/>
      <c r="AL532" s="186"/>
      <c r="AM532" s="29"/>
      <c r="AN532" s="29"/>
      <c r="AO532" s="29"/>
      <c r="AP532" s="29"/>
      <c r="AQ532" s="29"/>
      <c r="AR532" s="29"/>
      <c r="AS532" s="5"/>
      <c r="AT532" s="5"/>
      <c r="AU532" s="5"/>
      <c r="AV532" s="5"/>
      <c r="AW532" s="5"/>
      <c r="AX532" s="5"/>
      <c r="AY532" s="214"/>
      <c r="AZ532" s="83"/>
      <c r="BA532" s="83"/>
      <c r="BB532" s="83"/>
      <c r="BC532" s="5"/>
    </row>
    <row r="533" spans="37:55" x14ac:dyDescent="0.25">
      <c r="AK533" s="83"/>
      <c r="AL533" s="186"/>
      <c r="AM533" s="29"/>
      <c r="AN533" s="29"/>
      <c r="AO533" s="29"/>
      <c r="AP533" s="29"/>
      <c r="AQ533" s="29"/>
      <c r="AR533" s="29"/>
      <c r="AS533" s="5"/>
      <c r="AT533" s="5"/>
      <c r="AU533" s="5"/>
      <c r="AV533" s="5"/>
      <c r="AW533" s="5"/>
      <c r="AX533" s="5"/>
      <c r="AY533" s="214"/>
      <c r="AZ533" s="83"/>
      <c r="BA533" s="83"/>
      <c r="BB533" s="83"/>
      <c r="BC533" s="5"/>
    </row>
    <row r="534" spans="37:55" x14ac:dyDescent="0.25">
      <c r="AK534" s="83"/>
      <c r="AL534" s="186"/>
      <c r="AM534" s="29"/>
      <c r="AN534" s="29"/>
      <c r="AO534" s="29"/>
      <c r="AP534" s="29"/>
      <c r="AQ534" s="29"/>
      <c r="AR534" s="29"/>
      <c r="AS534" s="5"/>
      <c r="AT534" s="5"/>
      <c r="AU534" s="5"/>
      <c r="AV534" s="5"/>
      <c r="AW534" s="5"/>
      <c r="AX534" s="5"/>
      <c r="AY534" s="214"/>
      <c r="AZ534" s="83"/>
      <c r="BA534" s="83"/>
      <c r="BB534" s="83"/>
      <c r="BC534" s="5"/>
    </row>
    <row r="535" spans="37:55" x14ac:dyDescent="0.25">
      <c r="AK535" s="83"/>
      <c r="AL535" s="186"/>
      <c r="AM535" s="29"/>
      <c r="AN535" s="29"/>
      <c r="AO535" s="29"/>
      <c r="AP535" s="29"/>
      <c r="AQ535" s="29"/>
      <c r="AR535" s="29"/>
      <c r="AS535" s="5"/>
      <c r="AT535" s="5"/>
      <c r="AU535" s="5"/>
      <c r="AV535" s="5"/>
      <c r="AW535" s="5"/>
      <c r="AX535" s="5"/>
      <c r="AY535" s="214"/>
      <c r="AZ535" s="83"/>
      <c r="BA535" s="83"/>
      <c r="BB535" s="83"/>
      <c r="BC535" s="5"/>
    </row>
    <row r="536" spans="37:55" x14ac:dyDescent="0.25">
      <c r="AK536" s="83"/>
      <c r="AL536" s="186"/>
      <c r="AM536" s="29"/>
      <c r="AN536" s="29"/>
      <c r="AO536" s="29"/>
      <c r="AP536" s="29"/>
      <c r="AQ536" s="29"/>
      <c r="AR536" s="29"/>
      <c r="AS536" s="5"/>
      <c r="AT536" s="5"/>
      <c r="AU536" s="5"/>
      <c r="AV536" s="5"/>
      <c r="AW536" s="5"/>
      <c r="AX536" s="5"/>
      <c r="AY536" s="214"/>
      <c r="AZ536" s="83"/>
      <c r="BA536" s="83"/>
      <c r="BB536" s="83"/>
      <c r="BC536" s="5"/>
    </row>
    <row r="537" spans="37:55" x14ac:dyDescent="0.25">
      <c r="AK537" s="83"/>
      <c r="AL537" s="186"/>
      <c r="AM537" s="29"/>
      <c r="AN537" s="29"/>
      <c r="AO537" s="29"/>
      <c r="AP537" s="29"/>
      <c r="AQ537" s="29"/>
      <c r="AR537" s="29"/>
      <c r="AS537" s="5"/>
      <c r="AT537" s="5"/>
      <c r="AU537" s="5"/>
      <c r="AV537" s="5"/>
      <c r="AW537" s="5"/>
      <c r="AX537" s="5"/>
      <c r="AY537" s="214"/>
      <c r="AZ537" s="83"/>
      <c r="BA537" s="83"/>
      <c r="BB537" s="83"/>
      <c r="BC537" s="5"/>
    </row>
    <row r="538" spans="37:55" x14ac:dyDescent="0.25">
      <c r="AK538" s="83"/>
      <c r="AL538" s="186"/>
      <c r="AM538" s="29"/>
      <c r="AN538" s="29"/>
      <c r="AO538" s="29"/>
      <c r="AP538" s="29"/>
      <c r="AQ538" s="29"/>
      <c r="AR538" s="29"/>
      <c r="AS538" s="5"/>
      <c r="AT538" s="5"/>
      <c r="AU538" s="5"/>
      <c r="AV538" s="5"/>
      <c r="AW538" s="5"/>
      <c r="AX538" s="5"/>
      <c r="AY538" s="214"/>
      <c r="AZ538" s="83"/>
      <c r="BA538" s="83"/>
      <c r="BB538" s="83"/>
      <c r="BC538" s="5"/>
    </row>
    <row r="539" spans="37:55" x14ac:dyDescent="0.25">
      <c r="AK539" s="83"/>
      <c r="AL539" s="186"/>
      <c r="AM539" s="29"/>
      <c r="AN539" s="29"/>
      <c r="AO539" s="29"/>
      <c r="AP539" s="29"/>
      <c r="AQ539" s="29"/>
      <c r="AR539" s="29"/>
      <c r="AS539" s="5"/>
      <c r="AT539" s="5"/>
      <c r="AU539" s="5"/>
      <c r="AV539" s="5"/>
      <c r="AW539" s="5"/>
      <c r="AX539" s="5"/>
      <c r="AY539" s="214"/>
      <c r="AZ539" s="83"/>
      <c r="BA539" s="83"/>
      <c r="BB539" s="83"/>
      <c r="BC539" s="5"/>
    </row>
    <row r="540" spans="37:55" x14ac:dyDescent="0.25">
      <c r="AK540" s="83"/>
      <c r="AL540" s="186"/>
      <c r="AM540" s="29"/>
      <c r="AN540" s="29"/>
      <c r="AO540" s="29"/>
      <c r="AP540" s="29"/>
      <c r="AQ540" s="29"/>
      <c r="AR540" s="29"/>
      <c r="AS540" s="5"/>
      <c r="AT540" s="5"/>
      <c r="AU540" s="5"/>
      <c r="AV540" s="5"/>
      <c r="AW540" s="5"/>
      <c r="AX540" s="5"/>
      <c r="AY540" s="214"/>
      <c r="AZ540" s="83"/>
      <c r="BA540" s="83"/>
      <c r="BB540" s="83"/>
      <c r="BC540" s="5"/>
    </row>
    <row r="541" spans="37:55" x14ac:dyDescent="0.25">
      <c r="AK541" s="83"/>
      <c r="AL541" s="186"/>
      <c r="AM541" s="29"/>
      <c r="AN541" s="29"/>
      <c r="AO541" s="29"/>
      <c r="AP541" s="29"/>
      <c r="AQ541" s="29"/>
      <c r="AR541" s="29"/>
      <c r="AS541" s="5"/>
      <c r="AT541" s="5"/>
      <c r="AU541" s="5"/>
      <c r="AV541" s="5"/>
      <c r="AW541" s="5"/>
      <c r="AX541" s="5"/>
      <c r="AY541" s="214"/>
      <c r="AZ541" s="83"/>
      <c r="BA541" s="83"/>
      <c r="BB541" s="83"/>
      <c r="BC541" s="5"/>
    </row>
    <row r="542" spans="37:55" x14ac:dyDescent="0.25">
      <c r="AK542" s="83"/>
      <c r="AL542" s="186"/>
      <c r="AM542" s="29"/>
      <c r="AN542" s="29"/>
      <c r="AO542" s="29"/>
      <c r="AP542" s="29"/>
      <c r="AQ542" s="29"/>
      <c r="AR542" s="29"/>
      <c r="AS542" s="5"/>
      <c r="AT542" s="5"/>
      <c r="AU542" s="5"/>
      <c r="AV542" s="5"/>
      <c r="AW542" s="5"/>
      <c r="AX542" s="5"/>
      <c r="AY542" s="214"/>
      <c r="AZ542" s="83"/>
      <c r="BA542" s="83"/>
      <c r="BB542" s="83"/>
      <c r="BC542" s="5"/>
    </row>
    <row r="543" spans="37:55" x14ac:dyDescent="0.25">
      <c r="AK543" s="83"/>
      <c r="AL543" s="186"/>
      <c r="AM543" s="29"/>
      <c r="AN543" s="29"/>
      <c r="AO543" s="29"/>
      <c r="AP543" s="29"/>
      <c r="AQ543" s="29"/>
      <c r="AR543" s="29"/>
      <c r="AS543" s="5"/>
      <c r="AT543" s="5"/>
      <c r="AU543" s="5"/>
      <c r="AV543" s="5"/>
      <c r="AW543" s="5"/>
      <c r="AX543" s="5"/>
      <c r="AY543" s="214"/>
      <c r="AZ543" s="83"/>
      <c r="BA543" s="83"/>
      <c r="BB543" s="83"/>
      <c r="BC543" s="5"/>
    </row>
    <row r="544" spans="37:55" x14ac:dyDescent="0.25">
      <c r="AK544" s="83"/>
      <c r="AL544" s="186"/>
      <c r="AM544" s="29"/>
      <c r="AN544" s="29"/>
      <c r="AO544" s="29"/>
      <c r="AP544" s="29"/>
      <c r="AQ544" s="29"/>
      <c r="AR544" s="29"/>
      <c r="AS544" s="5"/>
      <c r="AT544" s="5"/>
      <c r="AU544" s="5"/>
      <c r="AV544" s="5"/>
      <c r="AW544" s="5"/>
      <c r="AX544" s="5"/>
      <c r="AY544" s="214"/>
      <c r="AZ544" s="83"/>
      <c r="BA544" s="83"/>
      <c r="BB544" s="83"/>
      <c r="BC544" s="5"/>
    </row>
    <row r="545" spans="37:55" x14ac:dyDescent="0.25">
      <c r="AK545" s="83"/>
      <c r="AL545" s="186"/>
      <c r="AM545" s="29"/>
      <c r="AN545" s="29"/>
      <c r="AO545" s="29"/>
      <c r="AP545" s="29"/>
      <c r="AQ545" s="29"/>
      <c r="AR545" s="29"/>
      <c r="AS545" s="5"/>
      <c r="AT545" s="5"/>
      <c r="AU545" s="5"/>
      <c r="AV545" s="5"/>
      <c r="AW545" s="5"/>
      <c r="AX545" s="5"/>
      <c r="AY545" s="214"/>
      <c r="AZ545" s="83"/>
      <c r="BA545" s="83"/>
      <c r="BB545" s="83"/>
      <c r="BC545" s="5"/>
    </row>
    <row r="546" spans="37:55" x14ac:dyDescent="0.25">
      <c r="AK546" s="83"/>
      <c r="AL546" s="186"/>
      <c r="AM546" s="29"/>
      <c r="AN546" s="29"/>
      <c r="AO546" s="29"/>
      <c r="AP546" s="29"/>
      <c r="AQ546" s="29"/>
      <c r="AR546" s="29"/>
      <c r="AS546" s="5"/>
      <c r="AT546" s="5"/>
      <c r="AU546" s="5"/>
      <c r="AV546" s="5"/>
      <c r="AW546" s="5"/>
      <c r="AX546" s="5"/>
      <c r="AY546" s="214"/>
      <c r="AZ546" s="83"/>
      <c r="BA546" s="83"/>
      <c r="BB546" s="83"/>
      <c r="BC546" s="5"/>
    </row>
    <row r="547" spans="37:55" x14ac:dyDescent="0.25">
      <c r="AK547" s="83"/>
      <c r="AL547" s="186"/>
      <c r="AM547" s="29"/>
      <c r="AN547" s="29"/>
      <c r="AO547" s="29"/>
      <c r="AP547" s="29"/>
      <c r="AQ547" s="29"/>
      <c r="AR547" s="29"/>
      <c r="AS547" s="5"/>
      <c r="AT547" s="5"/>
      <c r="AU547" s="5"/>
      <c r="AV547" s="5"/>
      <c r="AW547" s="5"/>
      <c r="AX547" s="5"/>
      <c r="AY547" s="214"/>
      <c r="AZ547" s="83"/>
      <c r="BA547" s="83"/>
      <c r="BB547" s="83"/>
      <c r="BC547" s="5"/>
    </row>
    <row r="548" spans="37:55" x14ac:dyDescent="0.25">
      <c r="AK548" s="83"/>
      <c r="AL548" s="186"/>
      <c r="AM548" s="29"/>
      <c r="AN548" s="29"/>
      <c r="AO548" s="29"/>
      <c r="AP548" s="29"/>
      <c r="AQ548" s="29"/>
      <c r="AR548" s="29"/>
      <c r="AS548" s="5"/>
      <c r="AT548" s="5"/>
      <c r="AU548" s="5"/>
      <c r="AV548" s="5"/>
      <c r="AW548" s="5"/>
      <c r="AX548" s="5"/>
      <c r="AY548" s="214"/>
      <c r="AZ548" s="83"/>
      <c r="BA548" s="83"/>
      <c r="BB548" s="83"/>
      <c r="BC548" s="5"/>
    </row>
    <row r="549" spans="37:55" x14ac:dyDescent="0.25">
      <c r="AK549" s="83"/>
      <c r="AL549" s="186"/>
      <c r="AM549" s="29"/>
      <c r="AN549" s="29"/>
      <c r="AO549" s="29"/>
      <c r="AP549" s="29"/>
      <c r="AQ549" s="29"/>
      <c r="AR549" s="29"/>
      <c r="AS549" s="5"/>
      <c r="AT549" s="5"/>
      <c r="AU549" s="5"/>
      <c r="AV549" s="5"/>
      <c r="AW549" s="5"/>
      <c r="AX549" s="5"/>
      <c r="AY549" s="214"/>
      <c r="AZ549" s="83"/>
      <c r="BA549" s="83"/>
      <c r="BB549" s="83"/>
      <c r="BC549" s="5"/>
    </row>
    <row r="550" spans="37:55" x14ac:dyDescent="0.25">
      <c r="AK550" s="83"/>
      <c r="AL550" s="186"/>
      <c r="AM550" s="29"/>
      <c r="AN550" s="29"/>
      <c r="AO550" s="29"/>
      <c r="AP550" s="29"/>
      <c r="AQ550" s="29"/>
      <c r="AR550" s="29"/>
      <c r="AS550" s="5"/>
      <c r="AT550" s="5"/>
      <c r="AU550" s="5"/>
      <c r="AV550" s="5"/>
      <c r="AW550" s="5"/>
      <c r="AX550" s="5"/>
      <c r="AY550" s="214"/>
      <c r="AZ550" s="83"/>
      <c r="BA550" s="83"/>
      <c r="BB550" s="83"/>
      <c r="BC550" s="5"/>
    </row>
    <row r="551" spans="37:55" x14ac:dyDescent="0.25">
      <c r="AK551" s="83"/>
      <c r="AL551" s="186"/>
      <c r="AM551" s="29"/>
      <c r="AN551" s="29"/>
      <c r="AO551" s="29"/>
      <c r="AP551" s="29"/>
      <c r="AQ551" s="29"/>
      <c r="AR551" s="29"/>
      <c r="AS551" s="5"/>
      <c r="AT551" s="5"/>
      <c r="AU551" s="5"/>
      <c r="AV551" s="5"/>
      <c r="AW551" s="5"/>
      <c r="AX551" s="5"/>
      <c r="AY551" s="214"/>
      <c r="AZ551" s="83"/>
      <c r="BA551" s="83"/>
      <c r="BB551" s="83"/>
      <c r="BC551" s="5"/>
    </row>
    <row r="552" spans="37:55" x14ac:dyDescent="0.25">
      <c r="AK552" s="83"/>
      <c r="AL552" s="186"/>
      <c r="AM552" s="29"/>
      <c r="AN552" s="29"/>
      <c r="AO552" s="29"/>
      <c r="AP552" s="29"/>
      <c r="AQ552" s="29"/>
      <c r="AR552" s="29"/>
      <c r="AS552" s="5"/>
      <c r="AT552" s="5"/>
      <c r="AU552" s="5"/>
      <c r="AV552" s="5"/>
      <c r="AW552" s="5"/>
      <c r="AX552" s="5"/>
      <c r="AY552" s="214"/>
      <c r="AZ552" s="83"/>
      <c r="BA552" s="83"/>
      <c r="BB552" s="83"/>
      <c r="BC552" s="5"/>
    </row>
    <row r="553" spans="37:55" x14ac:dyDescent="0.25">
      <c r="AK553" s="83"/>
      <c r="AL553" s="186"/>
      <c r="AM553" s="29"/>
      <c r="AN553" s="29"/>
      <c r="AO553" s="29"/>
      <c r="AP553" s="29"/>
      <c r="AQ553" s="29"/>
      <c r="AR553" s="29"/>
      <c r="AS553" s="5"/>
      <c r="AT553" s="5"/>
      <c r="AU553" s="5"/>
      <c r="AV553" s="5"/>
      <c r="AW553" s="5"/>
      <c r="AX553" s="5"/>
      <c r="AY553" s="214"/>
      <c r="AZ553" s="83"/>
      <c r="BA553" s="83"/>
      <c r="BB553" s="83"/>
      <c r="BC553" s="5"/>
    </row>
    <row r="554" spans="37:55" x14ac:dyDescent="0.25">
      <c r="AK554" s="83"/>
      <c r="AL554" s="186"/>
      <c r="AM554" s="29"/>
      <c r="AN554" s="29"/>
      <c r="AO554" s="29"/>
      <c r="AP554" s="29"/>
      <c r="AQ554" s="29"/>
      <c r="AR554" s="29"/>
      <c r="AS554" s="5"/>
      <c r="AT554" s="5"/>
      <c r="AU554" s="5"/>
      <c r="AV554" s="5"/>
      <c r="AW554" s="5"/>
      <c r="AX554" s="5"/>
      <c r="AY554" s="214"/>
      <c r="AZ554" s="83"/>
      <c r="BA554" s="83"/>
      <c r="BB554" s="83"/>
      <c r="BC554" s="5"/>
    </row>
    <row r="555" spans="37:55" x14ac:dyDescent="0.25">
      <c r="AK555" s="83"/>
      <c r="AL555" s="186"/>
      <c r="AM555" s="29"/>
      <c r="AN555" s="29"/>
      <c r="AO555" s="29"/>
      <c r="AP555" s="29"/>
      <c r="AQ555" s="29"/>
      <c r="AR555" s="29"/>
      <c r="AS555" s="5"/>
      <c r="AT555" s="5"/>
      <c r="AU555" s="5"/>
      <c r="AV555" s="5"/>
      <c r="AW555" s="5"/>
      <c r="AX555" s="5"/>
      <c r="AY555" s="214"/>
      <c r="AZ555" s="83"/>
      <c r="BA555" s="83"/>
      <c r="BB555" s="83"/>
      <c r="BC555" s="5"/>
    </row>
    <row r="556" spans="37:55" x14ac:dyDescent="0.25">
      <c r="AK556" s="83"/>
      <c r="AL556" s="186"/>
      <c r="AM556" s="29"/>
      <c r="AN556" s="29"/>
      <c r="AO556" s="29"/>
      <c r="AP556" s="29"/>
      <c r="AQ556" s="29"/>
      <c r="AR556" s="29"/>
      <c r="AS556" s="5"/>
      <c r="AT556" s="5"/>
      <c r="AU556" s="5"/>
      <c r="AV556" s="5"/>
      <c r="AW556" s="5"/>
      <c r="AX556" s="5"/>
      <c r="AY556" s="214"/>
      <c r="AZ556" s="83"/>
      <c r="BA556" s="83"/>
      <c r="BB556" s="83"/>
      <c r="BC556" s="5"/>
    </row>
    <row r="557" spans="37:55" x14ac:dyDescent="0.25">
      <c r="AK557" s="83"/>
      <c r="AL557" s="186"/>
      <c r="AM557" s="29"/>
      <c r="AN557" s="29"/>
      <c r="AO557" s="29"/>
      <c r="AP557" s="29"/>
      <c r="AQ557" s="29"/>
      <c r="AR557" s="29"/>
      <c r="AS557" s="5"/>
      <c r="AT557" s="5"/>
      <c r="AU557" s="5"/>
      <c r="AV557" s="5"/>
      <c r="AW557" s="5"/>
      <c r="AX557" s="5"/>
      <c r="AY557" s="214"/>
      <c r="AZ557" s="83"/>
      <c r="BA557" s="83"/>
      <c r="BB557" s="83"/>
      <c r="BC557" s="5"/>
    </row>
    <row r="558" spans="37:55" x14ac:dyDescent="0.25">
      <c r="AK558" s="83"/>
      <c r="AL558" s="186"/>
      <c r="AM558" s="29"/>
      <c r="AN558" s="29"/>
      <c r="AO558" s="29"/>
      <c r="AP558" s="29"/>
      <c r="AQ558" s="29"/>
      <c r="AR558" s="29"/>
      <c r="AS558" s="5"/>
      <c r="AT558" s="5"/>
      <c r="AU558" s="5"/>
      <c r="AV558" s="5"/>
      <c r="AW558" s="5"/>
      <c r="AX558" s="5"/>
      <c r="AY558" s="214"/>
      <c r="AZ558" s="83"/>
      <c r="BA558" s="83"/>
      <c r="BB558" s="83"/>
      <c r="BC558" s="5"/>
    </row>
    <row r="559" spans="37:55" x14ac:dyDescent="0.25">
      <c r="AK559" s="83"/>
      <c r="AL559" s="186"/>
      <c r="AM559" s="29"/>
      <c r="AN559" s="29"/>
      <c r="AO559" s="29"/>
      <c r="AP559" s="29"/>
      <c r="AQ559" s="29"/>
      <c r="AR559" s="29"/>
      <c r="AS559" s="5"/>
      <c r="AT559" s="5"/>
      <c r="AU559" s="5"/>
      <c r="AV559" s="5"/>
      <c r="AW559" s="5"/>
      <c r="AX559" s="5"/>
      <c r="AY559" s="214"/>
      <c r="AZ559" s="83"/>
      <c r="BA559" s="83"/>
      <c r="BB559" s="83"/>
      <c r="BC559" s="5"/>
    </row>
    <row r="560" spans="37:55" x14ac:dyDescent="0.25">
      <c r="AK560" s="83"/>
      <c r="AL560" s="186"/>
      <c r="AM560" s="29"/>
      <c r="AN560" s="29"/>
      <c r="AO560" s="29"/>
      <c r="AP560" s="29"/>
      <c r="AQ560" s="29"/>
      <c r="AR560" s="29"/>
      <c r="AS560" s="5"/>
      <c r="AT560" s="5"/>
      <c r="AU560" s="5"/>
      <c r="AV560" s="5"/>
      <c r="AW560" s="5"/>
      <c r="AX560" s="5"/>
      <c r="AY560" s="214"/>
      <c r="AZ560" s="83"/>
      <c r="BA560" s="83"/>
      <c r="BB560" s="83"/>
      <c r="BC560" s="5"/>
    </row>
    <row r="561" spans="37:55" x14ac:dyDescent="0.25">
      <c r="AK561" s="83"/>
      <c r="AL561" s="186"/>
      <c r="AM561" s="29"/>
      <c r="AN561" s="29"/>
      <c r="AO561" s="29"/>
      <c r="AP561" s="29"/>
      <c r="AQ561" s="29"/>
      <c r="AR561" s="29"/>
      <c r="AS561" s="5"/>
      <c r="AT561" s="5"/>
      <c r="AU561" s="5"/>
      <c r="AV561" s="5"/>
      <c r="AW561" s="5"/>
      <c r="AX561" s="5"/>
      <c r="AY561" s="214"/>
      <c r="AZ561" s="83"/>
      <c r="BA561" s="83"/>
      <c r="BB561" s="83"/>
      <c r="BC561" s="5"/>
    </row>
    <row r="562" spans="37:55" x14ac:dyDescent="0.25">
      <c r="AK562" s="83"/>
      <c r="AL562" s="186"/>
      <c r="AM562" s="29"/>
      <c r="AN562" s="29"/>
      <c r="AO562" s="29"/>
      <c r="AP562" s="29"/>
      <c r="AQ562" s="29"/>
      <c r="AR562" s="29"/>
      <c r="AS562" s="5"/>
      <c r="AT562" s="5"/>
      <c r="AU562" s="5"/>
      <c r="AV562" s="5"/>
      <c r="AW562" s="5"/>
      <c r="AX562" s="5"/>
      <c r="AY562" s="214"/>
      <c r="AZ562" s="83"/>
      <c r="BA562" s="83"/>
      <c r="BB562" s="83"/>
      <c r="BC562" s="5"/>
    </row>
    <row r="563" spans="37:55" x14ac:dyDescent="0.25">
      <c r="AK563" s="83"/>
      <c r="AL563" s="186"/>
      <c r="AM563" s="29"/>
      <c r="AN563" s="29"/>
      <c r="AO563" s="29"/>
      <c r="AP563" s="29"/>
      <c r="AQ563" s="29"/>
      <c r="AR563" s="29"/>
      <c r="AS563" s="5"/>
      <c r="AT563" s="5"/>
      <c r="AU563" s="5"/>
      <c r="AV563" s="5"/>
      <c r="AW563" s="5"/>
      <c r="AX563" s="5"/>
      <c r="AY563" s="214"/>
      <c r="AZ563" s="83"/>
      <c r="BA563" s="83"/>
      <c r="BB563" s="83"/>
      <c r="BC563" s="5"/>
    </row>
    <row r="564" spans="37:55" x14ac:dyDescent="0.25">
      <c r="AK564" s="83"/>
      <c r="AL564" s="186"/>
      <c r="AM564" s="29"/>
      <c r="AN564" s="29"/>
      <c r="AO564" s="29"/>
      <c r="AP564" s="29"/>
      <c r="AQ564" s="29"/>
      <c r="AR564" s="29"/>
      <c r="AS564" s="5"/>
      <c r="AT564" s="5"/>
      <c r="AU564" s="5"/>
      <c r="AV564" s="5"/>
      <c r="AW564" s="5"/>
      <c r="AX564" s="5"/>
      <c r="AY564" s="214"/>
      <c r="AZ564" s="83"/>
      <c r="BA564" s="83"/>
      <c r="BB564" s="83"/>
      <c r="BC564" s="5"/>
    </row>
    <row r="565" spans="37:55" x14ac:dyDescent="0.25">
      <c r="AK565" s="83"/>
      <c r="AL565" s="186"/>
      <c r="AM565" s="29"/>
      <c r="AN565" s="29"/>
      <c r="AO565" s="29"/>
      <c r="AP565" s="29"/>
      <c r="AQ565" s="29"/>
      <c r="AR565" s="29"/>
      <c r="AS565" s="5"/>
      <c r="AT565" s="5"/>
      <c r="AU565" s="5"/>
      <c r="AV565" s="5"/>
      <c r="AW565" s="5"/>
      <c r="AX565" s="5"/>
      <c r="AY565" s="214"/>
      <c r="AZ565" s="83"/>
      <c r="BA565" s="83"/>
      <c r="BB565" s="83"/>
      <c r="BC565" s="5"/>
    </row>
    <row r="566" spans="37:55" x14ac:dyDescent="0.25">
      <c r="AK566" s="83"/>
      <c r="AL566" s="186"/>
      <c r="AM566" s="29"/>
      <c r="AN566" s="29"/>
      <c r="AO566" s="29"/>
      <c r="AP566" s="29"/>
      <c r="AQ566" s="29"/>
      <c r="AR566" s="29"/>
      <c r="AS566" s="5"/>
      <c r="AT566" s="5"/>
      <c r="AU566" s="5"/>
      <c r="AV566" s="5"/>
      <c r="AW566" s="5"/>
      <c r="AX566" s="5"/>
      <c r="AY566" s="214"/>
      <c r="AZ566" s="83"/>
      <c r="BA566" s="83"/>
      <c r="BB566" s="83"/>
      <c r="BC566" s="5"/>
    </row>
    <row r="567" spans="37:55" x14ac:dyDescent="0.25">
      <c r="AK567" s="83"/>
      <c r="AL567" s="186"/>
      <c r="AM567" s="29"/>
      <c r="AN567" s="29"/>
      <c r="AO567" s="29"/>
      <c r="AP567" s="29"/>
      <c r="AQ567" s="29"/>
      <c r="AR567" s="29"/>
      <c r="AS567" s="5"/>
      <c r="AT567" s="5"/>
      <c r="AU567" s="5"/>
      <c r="AV567" s="5"/>
      <c r="AW567" s="5"/>
      <c r="AX567" s="5"/>
      <c r="AY567" s="214"/>
      <c r="AZ567" s="83"/>
      <c r="BA567" s="83"/>
      <c r="BB567" s="83"/>
      <c r="BC567" s="5"/>
    </row>
    <row r="568" spans="37:55" x14ac:dyDescent="0.25">
      <c r="AK568" s="83"/>
      <c r="AL568" s="186"/>
      <c r="AM568" s="29"/>
      <c r="AN568" s="29"/>
      <c r="AO568" s="29"/>
      <c r="AP568" s="29"/>
      <c r="AQ568" s="29"/>
      <c r="AR568" s="29"/>
      <c r="AS568" s="5"/>
      <c r="AT568" s="5"/>
      <c r="AU568" s="5"/>
      <c r="AV568" s="5"/>
      <c r="AW568" s="5"/>
      <c r="AX568" s="5"/>
      <c r="AY568" s="214"/>
      <c r="AZ568" s="83"/>
      <c r="BA568" s="83"/>
      <c r="BB568" s="83"/>
      <c r="BC568" s="5"/>
    </row>
    <row r="569" spans="37:55" x14ac:dyDescent="0.25">
      <c r="AK569" s="83"/>
      <c r="AL569" s="186"/>
      <c r="AM569" s="29"/>
      <c r="AN569" s="29"/>
      <c r="AO569" s="29"/>
      <c r="AP569" s="29"/>
      <c r="AQ569" s="29"/>
      <c r="AR569" s="29"/>
      <c r="AS569" s="5"/>
      <c r="AT569" s="5"/>
      <c r="AU569" s="5"/>
      <c r="AV569" s="5"/>
      <c r="AW569" s="5"/>
      <c r="AX569" s="5"/>
      <c r="AY569" s="214"/>
      <c r="AZ569" s="83"/>
      <c r="BA569" s="83"/>
      <c r="BB569" s="83"/>
      <c r="BC569" s="5"/>
    </row>
    <row r="570" spans="37:55" x14ac:dyDescent="0.25">
      <c r="AK570" s="83"/>
      <c r="AL570" s="186"/>
      <c r="AM570" s="29"/>
      <c r="AN570" s="29"/>
      <c r="AO570" s="29"/>
      <c r="AP570" s="29"/>
      <c r="AQ570" s="29"/>
      <c r="AR570" s="29"/>
      <c r="AS570" s="5"/>
      <c r="AT570" s="5"/>
      <c r="AU570" s="5"/>
      <c r="AV570" s="5"/>
      <c r="AW570" s="5"/>
      <c r="AX570" s="5"/>
      <c r="AY570" s="214"/>
      <c r="AZ570" s="83"/>
      <c r="BA570" s="83"/>
      <c r="BB570" s="83"/>
      <c r="BC570" s="5"/>
    </row>
    <row r="571" spans="37:55" x14ac:dyDescent="0.25">
      <c r="AK571" s="83"/>
      <c r="AL571" s="186"/>
      <c r="AM571" s="29"/>
      <c r="AN571" s="29"/>
      <c r="AO571" s="29"/>
      <c r="AP571" s="29"/>
      <c r="AQ571" s="29"/>
      <c r="AR571" s="29"/>
      <c r="AS571" s="5"/>
      <c r="AT571" s="5"/>
      <c r="AU571" s="5"/>
      <c r="AV571" s="5"/>
      <c r="AW571" s="5"/>
      <c r="AX571" s="5"/>
      <c r="AY571" s="214"/>
      <c r="AZ571" s="83"/>
      <c r="BA571" s="83"/>
      <c r="BB571" s="83"/>
      <c r="BC571" s="5"/>
    </row>
    <row r="572" spans="37:55" x14ac:dyDescent="0.25">
      <c r="AK572" s="83"/>
      <c r="AL572" s="186"/>
      <c r="AM572" s="29"/>
      <c r="AN572" s="29"/>
      <c r="AO572" s="29"/>
      <c r="AP572" s="29"/>
      <c r="AQ572" s="29"/>
      <c r="AR572" s="29"/>
      <c r="AS572" s="5"/>
      <c r="AT572" s="5"/>
      <c r="AU572" s="5"/>
      <c r="AV572" s="5"/>
      <c r="AW572" s="5"/>
      <c r="AX572" s="5"/>
      <c r="AY572" s="214"/>
      <c r="AZ572" s="83"/>
      <c r="BA572" s="83"/>
      <c r="BB572" s="83"/>
      <c r="BC572" s="5"/>
    </row>
    <row r="573" spans="37:55" x14ac:dyDescent="0.25">
      <c r="AK573" s="83"/>
      <c r="AL573" s="186"/>
      <c r="AM573" s="29"/>
      <c r="AN573" s="29"/>
      <c r="AO573" s="29"/>
      <c r="AP573" s="29"/>
      <c r="AQ573" s="29"/>
      <c r="AR573" s="29"/>
      <c r="AS573" s="5"/>
      <c r="AT573" s="5"/>
      <c r="AU573" s="5"/>
      <c r="AV573" s="5"/>
      <c r="AW573" s="5"/>
      <c r="AX573" s="5"/>
      <c r="AY573" s="214"/>
      <c r="AZ573" s="83"/>
      <c r="BA573" s="83"/>
      <c r="BB573" s="83"/>
      <c r="BC573" s="5"/>
    </row>
    <row r="574" spans="37:55" x14ac:dyDescent="0.25">
      <c r="AK574" s="83"/>
      <c r="AL574" s="186"/>
      <c r="AM574" s="29"/>
      <c r="AN574" s="29"/>
      <c r="AO574" s="29"/>
      <c r="AP574" s="29"/>
      <c r="AQ574" s="29"/>
      <c r="AR574" s="29"/>
      <c r="AS574" s="5"/>
      <c r="AT574" s="5"/>
      <c r="AU574" s="5"/>
      <c r="AV574" s="5"/>
      <c r="AW574" s="5"/>
      <c r="AX574" s="5"/>
      <c r="AY574" s="214"/>
      <c r="AZ574" s="83"/>
      <c r="BA574" s="83"/>
      <c r="BB574" s="83"/>
      <c r="BC574" s="5"/>
    </row>
    <row r="575" spans="37:55" x14ac:dyDescent="0.25">
      <c r="AK575" s="83"/>
      <c r="AL575" s="186"/>
      <c r="AM575" s="29"/>
      <c r="AN575" s="29"/>
      <c r="AO575" s="29"/>
      <c r="AP575" s="29"/>
      <c r="AQ575" s="29"/>
      <c r="AR575" s="29"/>
      <c r="AS575" s="5"/>
      <c r="AT575" s="5"/>
      <c r="AU575" s="5"/>
      <c r="AV575" s="5"/>
      <c r="AW575" s="5"/>
      <c r="AX575" s="5"/>
      <c r="AY575" s="214"/>
      <c r="AZ575" s="83"/>
      <c r="BA575" s="83"/>
      <c r="BB575" s="83"/>
      <c r="BC575" s="5"/>
    </row>
    <row r="576" spans="37:55" x14ac:dyDescent="0.25">
      <c r="AK576" s="83"/>
      <c r="AL576" s="186"/>
      <c r="AM576" s="29"/>
      <c r="AN576" s="29"/>
      <c r="AO576" s="29"/>
      <c r="AP576" s="29"/>
      <c r="AQ576" s="29"/>
      <c r="AR576" s="29"/>
      <c r="AS576" s="5"/>
      <c r="AT576" s="5"/>
      <c r="AU576" s="5"/>
      <c r="AV576" s="5"/>
      <c r="AW576" s="5"/>
      <c r="AX576" s="5"/>
      <c r="AY576" s="214"/>
      <c r="AZ576" s="83"/>
      <c r="BA576" s="83"/>
      <c r="BB576" s="83"/>
      <c r="BC576" s="5"/>
    </row>
    <row r="577" spans="37:55" x14ac:dyDescent="0.25">
      <c r="AK577" s="83"/>
      <c r="AL577" s="186"/>
      <c r="AM577" s="29"/>
      <c r="AN577" s="29"/>
      <c r="AO577" s="29"/>
      <c r="AP577" s="29"/>
      <c r="AQ577" s="29"/>
      <c r="AR577" s="29"/>
      <c r="AS577" s="5"/>
      <c r="AT577" s="5"/>
      <c r="AU577" s="5"/>
      <c r="AV577" s="5"/>
      <c r="AW577" s="5"/>
      <c r="AX577" s="5"/>
      <c r="AY577" s="214"/>
      <c r="AZ577" s="83"/>
      <c r="BA577" s="83"/>
      <c r="BB577" s="83"/>
      <c r="BC577" s="5"/>
    </row>
    <row r="578" spans="37:55" x14ac:dyDescent="0.25">
      <c r="AK578" s="83"/>
      <c r="AL578" s="186"/>
      <c r="AM578" s="29"/>
      <c r="AN578" s="29"/>
      <c r="AO578" s="29"/>
      <c r="AP578" s="29"/>
      <c r="AQ578" s="29"/>
      <c r="AR578" s="29"/>
      <c r="AS578" s="5"/>
      <c r="AT578" s="5"/>
      <c r="AU578" s="5"/>
      <c r="AV578" s="5"/>
      <c r="AW578" s="5"/>
      <c r="AX578" s="5"/>
      <c r="AY578" s="214"/>
      <c r="AZ578" s="83"/>
      <c r="BA578" s="83"/>
      <c r="BB578" s="83"/>
      <c r="BC578" s="5"/>
    </row>
    <row r="579" spans="37:55" x14ac:dyDescent="0.25">
      <c r="AK579" s="83"/>
      <c r="AL579" s="186"/>
      <c r="AM579" s="29"/>
      <c r="AN579" s="29"/>
      <c r="AO579" s="29"/>
      <c r="AP579" s="29"/>
      <c r="AQ579" s="29"/>
      <c r="AR579" s="29"/>
      <c r="AS579" s="5"/>
      <c r="AT579" s="5"/>
      <c r="AU579" s="5"/>
      <c r="AV579" s="5"/>
      <c r="AW579" s="5"/>
      <c r="AX579" s="5"/>
      <c r="AY579" s="214"/>
      <c r="AZ579" s="83"/>
      <c r="BA579" s="83"/>
      <c r="BB579" s="83"/>
      <c r="BC579" s="5"/>
    </row>
    <row r="580" spans="37:55" x14ac:dyDescent="0.25">
      <c r="AK580" s="83"/>
      <c r="AL580" s="186"/>
      <c r="AM580" s="29"/>
      <c r="AN580" s="29"/>
      <c r="AO580" s="29"/>
      <c r="AP580" s="29"/>
      <c r="AQ580" s="29"/>
      <c r="AR580" s="29"/>
      <c r="AS580" s="5"/>
      <c r="AT580" s="5"/>
      <c r="AU580" s="5"/>
      <c r="AV580" s="5"/>
      <c r="AW580" s="5"/>
      <c r="AX580" s="5"/>
      <c r="AY580" s="214"/>
      <c r="AZ580" s="83"/>
      <c r="BA580" s="83"/>
      <c r="BB580" s="83"/>
      <c r="BC580" s="5"/>
    </row>
    <row r="581" spans="37:55" x14ac:dyDescent="0.25">
      <c r="AK581" s="83"/>
      <c r="AL581" s="186"/>
      <c r="AM581" s="29"/>
      <c r="AN581" s="29"/>
      <c r="AO581" s="29"/>
      <c r="AP581" s="29"/>
      <c r="AQ581" s="29"/>
      <c r="AR581" s="29"/>
      <c r="AS581" s="5"/>
      <c r="AT581" s="5"/>
      <c r="AU581" s="5"/>
      <c r="AV581" s="5"/>
      <c r="AW581" s="5"/>
      <c r="AX581" s="5"/>
      <c r="AY581" s="214"/>
      <c r="AZ581" s="83"/>
      <c r="BA581" s="83"/>
      <c r="BB581" s="83"/>
      <c r="BC581" s="5"/>
    </row>
    <row r="582" spans="37:55" x14ac:dyDescent="0.25">
      <c r="AK582" s="83"/>
      <c r="AL582" s="186"/>
      <c r="AM582" s="29"/>
      <c r="AN582" s="29"/>
      <c r="AO582" s="29"/>
      <c r="AP582" s="29"/>
      <c r="AQ582" s="29"/>
      <c r="AR582" s="29"/>
      <c r="AS582" s="5"/>
      <c r="AT582" s="5"/>
      <c r="AU582" s="5"/>
      <c r="AV582" s="5"/>
      <c r="AW582" s="5"/>
      <c r="AX582" s="5"/>
      <c r="AY582" s="214"/>
      <c r="AZ582" s="83"/>
      <c r="BA582" s="83"/>
      <c r="BB582" s="83"/>
      <c r="BC582" s="5"/>
    </row>
    <row r="583" spans="37:55" x14ac:dyDescent="0.25">
      <c r="AK583" s="83"/>
      <c r="AL583" s="186"/>
      <c r="AM583" s="29"/>
      <c r="AN583" s="29"/>
      <c r="AO583" s="29"/>
      <c r="AP583" s="29"/>
      <c r="AQ583" s="29"/>
      <c r="AR583" s="29"/>
      <c r="AS583" s="5"/>
      <c r="AT583" s="5"/>
      <c r="AU583" s="5"/>
      <c r="AV583" s="5"/>
      <c r="AW583" s="5"/>
      <c r="AX583" s="5"/>
      <c r="AY583" s="214"/>
      <c r="AZ583" s="83"/>
      <c r="BA583" s="83"/>
      <c r="BB583" s="83"/>
      <c r="BC583" s="5"/>
    </row>
    <row r="584" spans="37:55" x14ac:dyDescent="0.25">
      <c r="AK584" s="83"/>
      <c r="AL584" s="186"/>
      <c r="AM584" s="29"/>
      <c r="AN584" s="29"/>
      <c r="AO584" s="29"/>
      <c r="AP584" s="29"/>
      <c r="AQ584" s="29"/>
      <c r="AR584" s="29"/>
      <c r="AS584" s="5"/>
      <c r="AT584" s="5"/>
      <c r="AU584" s="5"/>
      <c r="AV584" s="5"/>
      <c r="AW584" s="5"/>
      <c r="AX584" s="5"/>
      <c r="AY584" s="214"/>
      <c r="AZ584" s="83"/>
      <c r="BA584" s="83"/>
      <c r="BB584" s="83"/>
      <c r="BC584" s="5"/>
    </row>
    <row r="585" spans="37:55" x14ac:dyDescent="0.25">
      <c r="AK585" s="83"/>
      <c r="AL585" s="186"/>
      <c r="AM585" s="29"/>
      <c r="AN585" s="29"/>
      <c r="AO585" s="29"/>
      <c r="AP585" s="29"/>
      <c r="AQ585" s="29"/>
      <c r="AR585" s="29"/>
      <c r="AS585" s="5"/>
      <c r="AT585" s="5"/>
      <c r="AU585" s="5"/>
      <c r="AV585" s="5"/>
      <c r="AW585" s="5"/>
      <c r="AX585" s="5"/>
      <c r="AY585" s="214"/>
      <c r="AZ585" s="83"/>
      <c r="BA585" s="83"/>
      <c r="BB585" s="83"/>
      <c r="BC585" s="5"/>
    </row>
    <row r="586" spans="37:55" x14ac:dyDescent="0.25">
      <c r="AK586" s="83"/>
      <c r="AL586" s="186"/>
      <c r="AM586" s="29"/>
      <c r="AN586" s="29"/>
      <c r="AO586" s="29"/>
      <c r="AP586" s="29"/>
      <c r="AQ586" s="29"/>
      <c r="AR586" s="29"/>
      <c r="AS586" s="5"/>
      <c r="AT586" s="5"/>
      <c r="AU586" s="5"/>
      <c r="AV586" s="5"/>
      <c r="AW586" s="5"/>
      <c r="AX586" s="5"/>
      <c r="AY586" s="214"/>
      <c r="AZ586" s="83"/>
      <c r="BA586" s="83"/>
      <c r="BB586" s="83"/>
      <c r="BC586" s="5"/>
    </row>
    <row r="587" spans="37:55" x14ac:dyDescent="0.25">
      <c r="AK587" s="83"/>
      <c r="AL587" s="186"/>
      <c r="AM587" s="29"/>
      <c r="AN587" s="29"/>
      <c r="AO587" s="29"/>
      <c r="AP587" s="29"/>
      <c r="AQ587" s="29"/>
      <c r="AR587" s="29"/>
      <c r="AS587" s="5"/>
      <c r="AT587" s="5"/>
      <c r="AU587" s="5"/>
      <c r="AV587" s="5"/>
      <c r="AW587" s="5"/>
      <c r="AX587" s="5"/>
      <c r="AY587" s="214"/>
      <c r="AZ587" s="83"/>
      <c r="BA587" s="83"/>
      <c r="BB587" s="83"/>
      <c r="BC587" s="5"/>
    </row>
    <row r="588" spans="37:55" x14ac:dyDescent="0.25">
      <c r="AK588" s="83"/>
      <c r="AL588" s="186"/>
      <c r="AM588" s="29"/>
      <c r="AN588" s="29"/>
      <c r="AO588" s="29"/>
      <c r="AP588" s="29"/>
      <c r="AQ588" s="29"/>
      <c r="AR588" s="29"/>
      <c r="AS588" s="5"/>
      <c r="AT588" s="5"/>
      <c r="AU588" s="5"/>
      <c r="AV588" s="5"/>
      <c r="AW588" s="5"/>
      <c r="AX588" s="5"/>
      <c r="AY588" s="214"/>
      <c r="AZ588" s="83"/>
      <c r="BA588" s="83"/>
      <c r="BB588" s="83"/>
      <c r="BC588" s="5"/>
    </row>
    <row r="589" spans="37:55" x14ac:dyDescent="0.25">
      <c r="AK589" s="83"/>
      <c r="AL589" s="186"/>
      <c r="AM589" s="29"/>
      <c r="AN589" s="29"/>
      <c r="AO589" s="29"/>
      <c r="AP589" s="29"/>
      <c r="AQ589" s="29"/>
      <c r="AR589" s="29"/>
      <c r="AS589" s="5"/>
      <c r="AT589" s="5"/>
      <c r="AU589" s="5"/>
      <c r="AV589" s="5"/>
      <c r="AW589" s="5"/>
      <c r="AX589" s="5"/>
      <c r="AY589" s="214"/>
      <c r="AZ589" s="83"/>
      <c r="BA589" s="83"/>
      <c r="BB589" s="83"/>
      <c r="BC589" s="5"/>
    </row>
    <row r="590" spans="37:55" x14ac:dyDescent="0.25">
      <c r="AK590" s="83"/>
      <c r="AL590" s="186"/>
      <c r="AM590" s="29"/>
      <c r="AN590" s="29"/>
      <c r="AO590" s="29"/>
      <c r="AP590" s="29"/>
      <c r="AQ590" s="29"/>
      <c r="AR590" s="29"/>
      <c r="AS590" s="5"/>
      <c r="AT590" s="5"/>
      <c r="AU590" s="5"/>
      <c r="AV590" s="5"/>
      <c r="AW590" s="5"/>
      <c r="AX590" s="5"/>
      <c r="AY590" s="214"/>
      <c r="AZ590" s="83"/>
      <c r="BA590" s="83"/>
      <c r="BB590" s="83"/>
      <c r="BC590" s="5"/>
    </row>
    <row r="591" spans="37:55" x14ac:dyDescent="0.25">
      <c r="AK591" s="83"/>
      <c r="AL591" s="186"/>
      <c r="AM591" s="29"/>
      <c r="AN591" s="29"/>
      <c r="AO591" s="29"/>
      <c r="AP591" s="29"/>
      <c r="AQ591" s="29"/>
      <c r="AR591" s="29"/>
      <c r="AS591" s="5"/>
      <c r="AT591" s="5"/>
      <c r="AU591" s="5"/>
      <c r="AV591" s="5"/>
      <c r="AW591" s="5"/>
      <c r="AX591" s="5"/>
      <c r="AY591" s="214"/>
      <c r="AZ591" s="83"/>
      <c r="BA591" s="83"/>
      <c r="BB591" s="83"/>
      <c r="BC591" s="5"/>
    </row>
    <row r="592" spans="37:55" x14ac:dyDescent="0.25">
      <c r="AK592" s="83"/>
      <c r="AL592" s="186"/>
      <c r="AM592" s="29"/>
      <c r="AN592" s="29"/>
      <c r="AO592" s="29"/>
      <c r="AP592" s="29"/>
      <c r="AQ592" s="29"/>
      <c r="AR592" s="29"/>
      <c r="AS592" s="5"/>
      <c r="AT592" s="5"/>
      <c r="AU592" s="5"/>
      <c r="AV592" s="5"/>
      <c r="AW592" s="5"/>
      <c r="AX592" s="5"/>
      <c r="AY592" s="214"/>
      <c r="AZ592" s="83"/>
      <c r="BA592" s="83"/>
      <c r="BB592" s="83"/>
      <c r="BC592" s="5"/>
    </row>
    <row r="593" spans="37:55" x14ac:dyDescent="0.25">
      <c r="AK593" s="83"/>
      <c r="AL593" s="186"/>
      <c r="AM593" s="29"/>
      <c r="AN593" s="29"/>
      <c r="AO593" s="29"/>
      <c r="AP593" s="29"/>
      <c r="AQ593" s="29"/>
      <c r="AR593" s="29"/>
      <c r="AS593" s="5"/>
      <c r="AT593" s="5"/>
      <c r="AU593" s="5"/>
      <c r="AV593" s="5"/>
      <c r="AW593" s="5"/>
      <c r="AX593" s="5"/>
      <c r="AY593" s="214"/>
      <c r="AZ593" s="83"/>
      <c r="BA593" s="83"/>
      <c r="BB593" s="83"/>
      <c r="BC593" s="5"/>
    </row>
    <row r="594" spans="37:55" x14ac:dyDescent="0.25">
      <c r="AK594" s="83"/>
      <c r="AL594" s="186"/>
      <c r="AM594" s="29"/>
      <c r="AN594" s="29"/>
      <c r="AO594" s="29"/>
      <c r="AP594" s="29"/>
      <c r="AQ594" s="29"/>
      <c r="AR594" s="29"/>
      <c r="AS594" s="5"/>
      <c r="AT594" s="5"/>
      <c r="AU594" s="5"/>
      <c r="AV594" s="5"/>
      <c r="AW594" s="5"/>
      <c r="AX594" s="5"/>
      <c r="AY594" s="214"/>
      <c r="AZ594" s="83"/>
      <c r="BA594" s="83"/>
      <c r="BB594" s="83"/>
      <c r="BC594" s="5"/>
    </row>
    <row r="595" spans="37:55" x14ac:dyDescent="0.25">
      <c r="AK595" s="83"/>
      <c r="AL595" s="186"/>
      <c r="AM595" s="29"/>
      <c r="AN595" s="29"/>
      <c r="AO595" s="29"/>
      <c r="AP595" s="29"/>
      <c r="AQ595" s="29"/>
      <c r="AR595" s="29"/>
      <c r="AS595" s="5"/>
      <c r="AT595" s="5"/>
      <c r="AU595" s="5"/>
      <c r="AV595" s="5"/>
      <c r="AW595" s="5"/>
      <c r="AX595" s="5"/>
      <c r="AY595" s="214"/>
      <c r="AZ595" s="83"/>
      <c r="BA595" s="83"/>
      <c r="BB595" s="83"/>
      <c r="BC595" s="5"/>
    </row>
    <row r="596" spans="37:55" x14ac:dyDescent="0.25">
      <c r="AK596" s="83"/>
      <c r="AL596" s="186"/>
      <c r="AM596" s="29"/>
      <c r="AN596" s="29"/>
      <c r="AO596" s="29"/>
      <c r="AP596" s="29"/>
      <c r="AQ596" s="29"/>
      <c r="AR596" s="29"/>
      <c r="AS596" s="5"/>
      <c r="AT596" s="5"/>
      <c r="AU596" s="5"/>
      <c r="AV596" s="5"/>
      <c r="AW596" s="5"/>
      <c r="AX596" s="5"/>
      <c r="AY596" s="214"/>
      <c r="AZ596" s="83"/>
      <c r="BA596" s="83"/>
      <c r="BB596" s="83"/>
      <c r="BC596" s="5"/>
    </row>
    <row r="597" spans="37:55" x14ac:dyDescent="0.25">
      <c r="AK597" s="83"/>
      <c r="AL597" s="186"/>
      <c r="AM597" s="29"/>
      <c r="AN597" s="29"/>
      <c r="AO597" s="29"/>
      <c r="AP597" s="29"/>
      <c r="AQ597" s="29"/>
      <c r="AR597" s="29"/>
      <c r="AS597" s="5"/>
      <c r="AT597" s="5"/>
      <c r="AU597" s="5"/>
      <c r="AV597" s="5"/>
      <c r="AW597" s="5"/>
      <c r="AX597" s="5"/>
      <c r="AY597" s="214"/>
      <c r="AZ597" s="83"/>
      <c r="BA597" s="83"/>
      <c r="BB597" s="83"/>
      <c r="BC597" s="5"/>
    </row>
    <row r="598" spans="37:55" x14ac:dyDescent="0.25">
      <c r="AK598" s="83"/>
      <c r="AL598" s="186"/>
      <c r="AM598" s="29"/>
      <c r="AN598" s="29"/>
      <c r="AO598" s="29"/>
      <c r="AP598" s="29"/>
      <c r="AQ598" s="29"/>
      <c r="AR598" s="29"/>
      <c r="AS598" s="5"/>
      <c r="AT598" s="5"/>
      <c r="AU598" s="5"/>
      <c r="AV598" s="5"/>
      <c r="AW598" s="5"/>
      <c r="AX598" s="5"/>
      <c r="AY598" s="214"/>
      <c r="AZ598" s="83"/>
      <c r="BA598" s="83"/>
      <c r="BB598" s="83"/>
      <c r="BC598" s="5"/>
    </row>
    <row r="599" spans="37:55" x14ac:dyDescent="0.25">
      <c r="AK599" s="83"/>
      <c r="AL599" s="186"/>
      <c r="AM599" s="29"/>
      <c r="AN599" s="29"/>
      <c r="AO599" s="29"/>
      <c r="AP599" s="29"/>
      <c r="AQ599" s="29"/>
      <c r="AR599" s="29"/>
      <c r="AS599" s="5"/>
      <c r="AT599" s="5"/>
      <c r="AU599" s="5"/>
      <c r="AV599" s="5"/>
      <c r="AW599" s="5"/>
      <c r="AX599" s="5"/>
      <c r="AY599" s="214"/>
      <c r="AZ599" s="83"/>
      <c r="BA599" s="83"/>
      <c r="BB599" s="83"/>
      <c r="BC599" s="5"/>
    </row>
    <row r="600" spans="37:55" x14ac:dyDescent="0.25">
      <c r="AK600" s="83"/>
      <c r="AL600" s="186"/>
      <c r="AM600" s="29"/>
      <c r="AN600" s="29"/>
      <c r="AO600" s="29"/>
      <c r="AP600" s="29"/>
      <c r="AQ600" s="29"/>
      <c r="AR600" s="29"/>
      <c r="AS600" s="5"/>
      <c r="AT600" s="5"/>
      <c r="AU600" s="5"/>
      <c r="AV600" s="5"/>
      <c r="AW600" s="5"/>
      <c r="AX600" s="5"/>
      <c r="AY600" s="214"/>
      <c r="AZ600" s="83"/>
      <c r="BA600" s="83"/>
      <c r="BB600" s="83"/>
      <c r="BC600" s="5"/>
    </row>
    <row r="601" spans="37:55" x14ac:dyDescent="0.25">
      <c r="AK601" s="83"/>
      <c r="AL601" s="186"/>
      <c r="AM601" s="29"/>
      <c r="AN601" s="29"/>
      <c r="AO601" s="29"/>
      <c r="AP601" s="29"/>
      <c r="AQ601" s="29"/>
      <c r="AR601" s="29"/>
      <c r="AS601" s="5"/>
      <c r="AT601" s="5"/>
      <c r="AU601" s="5"/>
      <c r="AV601" s="5"/>
      <c r="AW601" s="5"/>
      <c r="AX601" s="5"/>
      <c r="AY601" s="214"/>
      <c r="AZ601" s="83"/>
      <c r="BA601" s="83"/>
      <c r="BB601" s="83"/>
      <c r="BC601" s="5"/>
    </row>
    <row r="602" spans="37:55" x14ac:dyDescent="0.25">
      <c r="AK602" s="83"/>
      <c r="AL602" s="186"/>
      <c r="AM602" s="29"/>
      <c r="AN602" s="29"/>
      <c r="AO602" s="29"/>
      <c r="AP602" s="29"/>
      <c r="AQ602" s="29"/>
      <c r="AR602" s="29"/>
      <c r="AS602" s="5"/>
      <c r="AT602" s="5"/>
      <c r="AU602" s="5"/>
      <c r="AV602" s="5"/>
      <c r="AW602" s="5"/>
      <c r="AX602" s="5"/>
      <c r="AY602" s="214"/>
      <c r="AZ602" s="83"/>
      <c r="BA602" s="83"/>
      <c r="BB602" s="83"/>
      <c r="BC602" s="5"/>
    </row>
    <row r="603" spans="37:55" x14ac:dyDescent="0.25">
      <c r="AK603" s="83"/>
      <c r="AL603" s="186"/>
      <c r="AM603" s="29"/>
      <c r="AN603" s="29"/>
      <c r="AO603" s="29"/>
      <c r="AP603" s="29"/>
      <c r="AQ603" s="29"/>
      <c r="AR603" s="29"/>
      <c r="AS603" s="5"/>
      <c r="AT603" s="5"/>
      <c r="AU603" s="5"/>
      <c r="AV603" s="5"/>
      <c r="AW603" s="5"/>
      <c r="AX603" s="5"/>
      <c r="AY603" s="214"/>
      <c r="AZ603" s="83"/>
      <c r="BA603" s="83"/>
      <c r="BB603" s="83"/>
      <c r="BC603" s="5"/>
    </row>
    <row r="604" spans="37:55" x14ac:dyDescent="0.25">
      <c r="AK604" s="83"/>
      <c r="AL604" s="186"/>
      <c r="AM604" s="29"/>
      <c r="AN604" s="29"/>
      <c r="AO604" s="29"/>
      <c r="AP604" s="29"/>
      <c r="AQ604" s="29"/>
      <c r="AR604" s="29"/>
      <c r="AS604" s="5"/>
      <c r="AT604" s="5"/>
      <c r="AU604" s="5"/>
      <c r="AV604" s="5"/>
      <c r="AW604" s="5"/>
      <c r="AX604" s="5"/>
      <c r="AY604" s="214"/>
      <c r="AZ604" s="83"/>
      <c r="BA604" s="83"/>
      <c r="BB604" s="83"/>
      <c r="BC604" s="5"/>
    </row>
    <row r="605" spans="37:55" x14ac:dyDescent="0.25">
      <c r="AK605" s="83"/>
      <c r="AL605" s="186"/>
      <c r="AM605" s="29"/>
      <c r="AN605" s="29"/>
      <c r="AO605" s="29"/>
      <c r="AP605" s="29"/>
      <c r="AQ605" s="29"/>
      <c r="AR605" s="29"/>
      <c r="AS605" s="5"/>
      <c r="AT605" s="5"/>
      <c r="AU605" s="5"/>
      <c r="AV605" s="5"/>
      <c r="AW605" s="5"/>
      <c r="AX605" s="5"/>
      <c r="AY605" s="214"/>
      <c r="AZ605" s="83"/>
      <c r="BA605" s="83"/>
      <c r="BB605" s="83"/>
      <c r="BC605" s="5"/>
    </row>
    <row r="606" spans="37:55" x14ac:dyDescent="0.25">
      <c r="AK606" s="83"/>
      <c r="AL606" s="186"/>
      <c r="AM606" s="29"/>
      <c r="AN606" s="29"/>
      <c r="AO606" s="29"/>
      <c r="AP606" s="29"/>
      <c r="AQ606" s="29"/>
      <c r="AR606" s="29"/>
      <c r="AS606" s="5"/>
      <c r="AT606" s="5"/>
      <c r="AU606" s="5"/>
      <c r="AV606" s="5"/>
      <c r="AW606" s="5"/>
      <c r="AX606" s="5"/>
      <c r="AY606" s="214"/>
      <c r="AZ606" s="83"/>
      <c r="BA606" s="83"/>
      <c r="BB606" s="83"/>
      <c r="BC606" s="5"/>
    </row>
    <row r="607" spans="37:55" x14ac:dyDescent="0.25">
      <c r="AK607" s="83"/>
      <c r="AL607" s="186"/>
      <c r="AM607" s="29"/>
      <c r="AN607" s="29"/>
      <c r="AO607" s="29"/>
      <c r="AP607" s="29"/>
      <c r="AQ607" s="29"/>
      <c r="AR607" s="29"/>
      <c r="AS607" s="5"/>
      <c r="AT607" s="5"/>
      <c r="AU607" s="5"/>
      <c r="AV607" s="5"/>
      <c r="AW607" s="5"/>
      <c r="AX607" s="5"/>
      <c r="AY607" s="214"/>
      <c r="AZ607" s="83"/>
      <c r="BA607" s="83"/>
      <c r="BB607" s="83"/>
      <c r="BC607" s="5"/>
    </row>
    <row r="608" spans="37:55" x14ac:dyDescent="0.25">
      <c r="AK608" s="83"/>
      <c r="AL608" s="186"/>
      <c r="AM608" s="29"/>
      <c r="AN608" s="29"/>
      <c r="AO608" s="29"/>
      <c r="AP608" s="29"/>
      <c r="AQ608" s="29"/>
      <c r="AR608" s="29"/>
      <c r="AS608" s="5"/>
      <c r="AT608" s="5"/>
      <c r="AU608" s="5"/>
      <c r="AV608" s="5"/>
      <c r="AW608" s="5"/>
      <c r="AX608" s="5"/>
      <c r="AY608" s="214"/>
      <c r="AZ608" s="83"/>
      <c r="BA608" s="83"/>
      <c r="BB608" s="83"/>
      <c r="BC608" s="5"/>
    </row>
    <row r="609" spans="37:55" x14ac:dyDescent="0.25">
      <c r="AK609" s="83"/>
      <c r="AL609" s="186"/>
      <c r="AM609" s="29"/>
      <c r="AN609" s="29"/>
      <c r="AO609" s="29"/>
      <c r="AP609" s="29"/>
      <c r="AQ609" s="29"/>
      <c r="AR609" s="29"/>
      <c r="AS609" s="5"/>
      <c r="AT609" s="5"/>
      <c r="AU609" s="5"/>
      <c r="AV609" s="5"/>
      <c r="AW609" s="5"/>
      <c r="AX609" s="5"/>
      <c r="AY609" s="214"/>
      <c r="AZ609" s="83"/>
      <c r="BA609" s="83"/>
      <c r="BB609" s="83"/>
      <c r="BC609" s="5"/>
    </row>
    <row r="610" spans="37:55" x14ac:dyDescent="0.25">
      <c r="AK610" s="83"/>
      <c r="AL610" s="186"/>
      <c r="AM610" s="29"/>
      <c r="AN610" s="29"/>
      <c r="AO610" s="29"/>
      <c r="AP610" s="29"/>
      <c r="AQ610" s="29"/>
      <c r="AR610" s="29"/>
      <c r="AS610" s="5"/>
      <c r="AT610" s="5"/>
      <c r="AU610" s="5"/>
      <c r="AV610" s="5"/>
      <c r="AW610" s="5"/>
      <c r="AX610" s="5"/>
      <c r="AY610" s="214"/>
      <c r="AZ610" s="83"/>
      <c r="BA610" s="83"/>
      <c r="BB610" s="83"/>
      <c r="BC610" s="5"/>
    </row>
    <row r="611" spans="37:55" x14ac:dyDescent="0.25">
      <c r="AK611" s="83"/>
      <c r="AL611" s="186"/>
      <c r="AM611" s="29"/>
      <c r="AN611" s="29"/>
      <c r="AO611" s="29"/>
      <c r="AP611" s="29"/>
      <c r="AQ611" s="29"/>
      <c r="AR611" s="29"/>
      <c r="AS611" s="5"/>
      <c r="AT611" s="5"/>
      <c r="AU611" s="5"/>
      <c r="AV611" s="5"/>
      <c r="AW611" s="5"/>
      <c r="AX611" s="5"/>
      <c r="AY611" s="214"/>
      <c r="AZ611" s="83"/>
      <c r="BA611" s="83"/>
      <c r="BB611" s="83"/>
      <c r="BC611" s="5"/>
    </row>
    <row r="612" spans="37:55" x14ac:dyDescent="0.25">
      <c r="AK612" s="83"/>
      <c r="AL612" s="186"/>
      <c r="AM612" s="29"/>
      <c r="AN612" s="29"/>
      <c r="AO612" s="29"/>
      <c r="AP612" s="29"/>
      <c r="AQ612" s="29"/>
      <c r="AR612" s="29"/>
      <c r="AS612" s="5"/>
      <c r="AT612" s="5"/>
      <c r="AU612" s="5"/>
      <c r="AV612" s="5"/>
      <c r="AW612" s="5"/>
      <c r="AX612" s="5"/>
      <c r="AY612" s="214"/>
      <c r="AZ612" s="83"/>
      <c r="BA612" s="83"/>
      <c r="BB612" s="83"/>
      <c r="BC612" s="5"/>
    </row>
    <row r="613" spans="37:55" x14ac:dyDescent="0.25">
      <c r="AK613" s="83"/>
      <c r="AL613" s="186"/>
      <c r="AM613" s="29"/>
      <c r="AN613" s="29"/>
      <c r="AO613" s="29"/>
      <c r="AP613" s="29"/>
      <c r="AQ613" s="29"/>
      <c r="AR613" s="29"/>
      <c r="AS613" s="5"/>
      <c r="AT613" s="5"/>
      <c r="AU613" s="5"/>
      <c r="AV613" s="5"/>
      <c r="AW613" s="5"/>
      <c r="AX613" s="5"/>
      <c r="AY613" s="214"/>
      <c r="AZ613" s="83"/>
      <c r="BA613" s="83"/>
      <c r="BB613" s="83"/>
      <c r="BC613" s="5"/>
    </row>
    <row r="614" spans="37:55" x14ac:dyDescent="0.25">
      <c r="AK614" s="83"/>
      <c r="AL614" s="186"/>
      <c r="AM614" s="29"/>
      <c r="AN614" s="29"/>
      <c r="AO614" s="29"/>
      <c r="AP614" s="29"/>
      <c r="AQ614" s="29"/>
      <c r="AR614" s="29"/>
      <c r="AS614" s="5"/>
      <c r="AT614" s="5"/>
      <c r="AU614" s="5"/>
      <c r="AV614" s="5"/>
      <c r="AW614" s="5"/>
      <c r="AX614" s="5"/>
      <c r="AY614" s="214"/>
      <c r="AZ614" s="83"/>
      <c r="BA614" s="83"/>
      <c r="BB614" s="83"/>
      <c r="BC614" s="5"/>
    </row>
    <row r="615" spans="37:55" x14ac:dyDescent="0.25">
      <c r="AK615" s="83"/>
      <c r="AL615" s="186"/>
      <c r="AM615" s="29"/>
      <c r="AN615" s="29"/>
      <c r="AO615" s="29"/>
      <c r="AP615" s="29"/>
      <c r="AQ615" s="29"/>
      <c r="AR615" s="29"/>
      <c r="AS615" s="5"/>
      <c r="AT615" s="5"/>
      <c r="AU615" s="5"/>
      <c r="AV615" s="5"/>
      <c r="AW615" s="5"/>
      <c r="AX615" s="5"/>
      <c r="AY615" s="214"/>
      <c r="AZ615" s="83"/>
      <c r="BA615" s="83"/>
      <c r="BB615" s="83"/>
      <c r="BC615" s="5"/>
    </row>
    <row r="616" spans="37:55" x14ac:dyDescent="0.25">
      <c r="AK616" s="83"/>
      <c r="AL616" s="186"/>
      <c r="AM616" s="29"/>
      <c r="AN616" s="29"/>
      <c r="AO616" s="29"/>
      <c r="AP616" s="29"/>
      <c r="AQ616" s="29"/>
      <c r="AR616" s="29"/>
      <c r="AS616" s="5"/>
      <c r="AT616" s="5"/>
      <c r="AU616" s="5"/>
      <c r="AV616" s="5"/>
      <c r="AW616" s="5"/>
      <c r="AX616" s="5"/>
      <c r="AY616" s="214"/>
      <c r="AZ616" s="83"/>
      <c r="BA616" s="83"/>
      <c r="BB616" s="83"/>
      <c r="BC616" s="5"/>
    </row>
    <row r="617" spans="37:55" x14ac:dyDescent="0.25">
      <c r="AK617" s="83"/>
      <c r="AL617" s="186"/>
      <c r="AM617" s="29"/>
      <c r="AN617" s="29"/>
      <c r="AO617" s="29"/>
      <c r="AP617" s="29"/>
      <c r="AQ617" s="29"/>
      <c r="AR617" s="29"/>
      <c r="AS617" s="5"/>
      <c r="AT617" s="5"/>
      <c r="AU617" s="5"/>
      <c r="AV617" s="5"/>
      <c r="AW617" s="5"/>
      <c r="AX617" s="5"/>
      <c r="AY617" s="214"/>
      <c r="AZ617" s="83"/>
      <c r="BA617" s="83"/>
      <c r="BB617" s="83"/>
      <c r="BC617" s="5"/>
    </row>
    <row r="618" spans="37:55" x14ac:dyDescent="0.25">
      <c r="AK618" s="83"/>
      <c r="AL618" s="186"/>
      <c r="AM618" s="29"/>
      <c r="AN618" s="29"/>
      <c r="AO618" s="29"/>
      <c r="AP618" s="29"/>
      <c r="AQ618" s="29"/>
      <c r="AR618" s="29"/>
      <c r="AS618" s="5"/>
      <c r="AT618" s="5"/>
      <c r="AU618" s="5"/>
      <c r="AV618" s="5"/>
      <c r="AW618" s="5"/>
      <c r="AX618" s="5"/>
      <c r="AY618" s="214"/>
      <c r="AZ618" s="83"/>
      <c r="BA618" s="83"/>
      <c r="BB618" s="83"/>
      <c r="BC618" s="5"/>
    </row>
    <row r="619" spans="37:55" x14ac:dyDescent="0.25">
      <c r="AK619" s="83"/>
      <c r="AL619" s="186"/>
      <c r="AM619" s="29"/>
      <c r="AN619" s="29"/>
      <c r="AO619" s="29"/>
      <c r="AP619" s="29"/>
      <c r="AQ619" s="29"/>
      <c r="AR619" s="29"/>
      <c r="AS619" s="5"/>
      <c r="AT619" s="5"/>
      <c r="AU619" s="5"/>
      <c r="AV619" s="5"/>
      <c r="AW619" s="5"/>
      <c r="AX619" s="5"/>
      <c r="AY619" s="214"/>
      <c r="AZ619" s="83"/>
      <c r="BA619" s="83"/>
      <c r="BB619" s="83"/>
      <c r="BC619" s="5"/>
    </row>
    <row r="620" spans="37:55" x14ac:dyDescent="0.25">
      <c r="AK620" s="83"/>
      <c r="AL620" s="186"/>
      <c r="AM620" s="29"/>
      <c r="AN620" s="29"/>
      <c r="AO620" s="29"/>
      <c r="AP620" s="29"/>
      <c r="AQ620" s="29"/>
      <c r="AR620" s="29"/>
      <c r="AS620" s="5"/>
      <c r="AT620" s="5"/>
      <c r="AU620" s="5"/>
      <c r="AV620" s="5"/>
      <c r="AW620" s="5"/>
      <c r="AX620" s="5"/>
      <c r="AY620" s="214"/>
      <c r="AZ620" s="83"/>
      <c r="BA620" s="83"/>
      <c r="BB620" s="83"/>
      <c r="BC620" s="5"/>
    </row>
    <row r="621" spans="37:55" x14ac:dyDescent="0.25">
      <c r="AK621" s="83"/>
      <c r="AL621" s="186"/>
      <c r="AM621" s="29"/>
      <c r="AN621" s="29"/>
      <c r="AO621" s="29"/>
      <c r="AP621" s="29"/>
      <c r="AQ621" s="29"/>
      <c r="AR621" s="29"/>
      <c r="AS621" s="5"/>
      <c r="AT621" s="5"/>
      <c r="AU621" s="5"/>
      <c r="AV621" s="5"/>
      <c r="AW621" s="5"/>
      <c r="AX621" s="5"/>
      <c r="AY621" s="214"/>
      <c r="AZ621" s="83"/>
      <c r="BA621" s="83"/>
      <c r="BB621" s="83"/>
      <c r="BC621" s="5"/>
    </row>
    <row r="622" spans="37:55" x14ac:dyDescent="0.25">
      <c r="AK622" s="83"/>
      <c r="AL622" s="186"/>
      <c r="AM622" s="29"/>
      <c r="AN622" s="29"/>
      <c r="AO622" s="29"/>
      <c r="AP622" s="29"/>
      <c r="AQ622" s="29"/>
      <c r="AR622" s="29"/>
      <c r="AS622" s="5"/>
      <c r="AT622" s="5"/>
      <c r="AU622" s="5"/>
      <c r="AV622" s="5"/>
      <c r="AW622" s="5"/>
      <c r="AX622" s="5"/>
      <c r="AY622" s="214"/>
      <c r="AZ622" s="83"/>
      <c r="BA622" s="83"/>
      <c r="BB622" s="83"/>
      <c r="BC622" s="5"/>
    </row>
    <row r="623" spans="37:55" x14ac:dyDescent="0.25">
      <c r="AK623" s="83"/>
      <c r="AL623" s="186"/>
      <c r="AM623" s="29"/>
      <c r="AN623" s="29"/>
      <c r="AO623" s="29"/>
      <c r="AP623" s="29"/>
      <c r="AQ623" s="29"/>
      <c r="AR623" s="29"/>
      <c r="AS623" s="5"/>
      <c r="AT623" s="5"/>
      <c r="AU623" s="5"/>
      <c r="AV623" s="5"/>
      <c r="AW623" s="5"/>
      <c r="AX623" s="5"/>
      <c r="AY623" s="214"/>
      <c r="AZ623" s="83"/>
      <c r="BA623" s="83"/>
      <c r="BB623" s="83"/>
      <c r="BC623" s="5"/>
    </row>
    <row r="624" spans="37:55" x14ac:dyDescent="0.25">
      <c r="AK624" s="83"/>
      <c r="AL624" s="186"/>
      <c r="AM624" s="29"/>
      <c r="AN624" s="29"/>
      <c r="AO624" s="29"/>
      <c r="AP624" s="29"/>
      <c r="AQ624" s="29"/>
      <c r="AR624" s="29"/>
      <c r="AS624" s="5"/>
      <c r="AT624" s="5"/>
      <c r="AU624" s="5"/>
      <c r="AV624" s="5"/>
      <c r="AW624" s="5"/>
      <c r="AX624" s="5"/>
      <c r="AY624" s="214"/>
      <c r="AZ624" s="83"/>
      <c r="BA624" s="83"/>
      <c r="BB624" s="83"/>
      <c r="BC624" s="5"/>
    </row>
    <row r="625" spans="37:55" x14ac:dyDescent="0.25">
      <c r="AK625" s="83"/>
      <c r="AL625" s="186"/>
      <c r="AM625" s="29"/>
      <c r="AN625" s="29"/>
      <c r="AO625" s="29"/>
      <c r="AP625" s="29"/>
      <c r="AQ625" s="29"/>
      <c r="AR625" s="29"/>
      <c r="AS625" s="5"/>
      <c r="AT625" s="5"/>
      <c r="AU625" s="5"/>
      <c r="AV625" s="5"/>
      <c r="AW625" s="5"/>
      <c r="AX625" s="5"/>
      <c r="AY625" s="214"/>
      <c r="AZ625" s="83"/>
      <c r="BA625" s="83"/>
      <c r="BB625" s="83"/>
      <c r="BC625" s="5"/>
    </row>
    <row r="626" spans="37:55" x14ac:dyDescent="0.25">
      <c r="AK626" s="83"/>
      <c r="AL626" s="186"/>
      <c r="AM626" s="29"/>
      <c r="AN626" s="29"/>
      <c r="AO626" s="29"/>
      <c r="AP626" s="29"/>
      <c r="AQ626" s="29"/>
      <c r="AR626" s="29"/>
      <c r="AS626" s="5"/>
      <c r="AT626" s="5"/>
      <c r="AU626" s="5"/>
      <c r="AV626" s="5"/>
      <c r="AW626" s="5"/>
      <c r="AX626" s="5"/>
      <c r="AY626" s="214"/>
      <c r="AZ626" s="83"/>
      <c r="BA626" s="83"/>
      <c r="BB626" s="83"/>
      <c r="BC626" s="5"/>
    </row>
    <row r="627" spans="37:55" x14ac:dyDescent="0.25">
      <c r="AK627" s="83"/>
      <c r="AL627" s="186"/>
      <c r="AM627" s="29"/>
      <c r="AN627" s="29"/>
      <c r="AO627" s="29"/>
      <c r="AP627" s="29"/>
      <c r="AQ627" s="29"/>
      <c r="AR627" s="29"/>
      <c r="AS627" s="5"/>
      <c r="AT627" s="5"/>
      <c r="AU627" s="5"/>
      <c r="AV627" s="5"/>
      <c r="AW627" s="5"/>
      <c r="AX627" s="5"/>
      <c r="AY627" s="214"/>
      <c r="AZ627" s="83"/>
      <c r="BA627" s="83"/>
      <c r="BB627" s="83"/>
      <c r="BC627" s="5"/>
    </row>
    <row r="628" spans="37:55" x14ac:dyDescent="0.25">
      <c r="AK628" s="83"/>
      <c r="AL628" s="186"/>
      <c r="AM628" s="29"/>
      <c r="AN628" s="29"/>
      <c r="AO628" s="29"/>
      <c r="AP628" s="29"/>
      <c r="AQ628" s="29"/>
      <c r="AR628" s="29"/>
      <c r="AS628" s="5"/>
      <c r="AT628" s="5"/>
      <c r="AU628" s="5"/>
      <c r="AV628" s="5"/>
      <c r="AW628" s="5"/>
      <c r="AX628" s="5"/>
      <c r="AY628" s="214"/>
      <c r="AZ628" s="83"/>
      <c r="BA628" s="83"/>
      <c r="BB628" s="83"/>
      <c r="BC628" s="5"/>
    </row>
    <row r="629" spans="37:55" x14ac:dyDescent="0.25">
      <c r="AK629" s="83"/>
      <c r="AL629" s="186"/>
      <c r="AM629" s="29"/>
      <c r="AN629" s="29"/>
      <c r="AO629" s="29"/>
      <c r="AP629" s="29"/>
      <c r="AQ629" s="29"/>
      <c r="AR629" s="29"/>
      <c r="AS629" s="5"/>
      <c r="AT629" s="5"/>
      <c r="AU629" s="5"/>
      <c r="AV629" s="5"/>
      <c r="AW629" s="5"/>
      <c r="AX629" s="5"/>
      <c r="AY629" s="214"/>
      <c r="AZ629" s="83"/>
      <c r="BA629" s="83"/>
      <c r="BB629" s="83"/>
      <c r="BC629" s="5"/>
    </row>
    <row r="630" spans="37:55" x14ac:dyDescent="0.25">
      <c r="AK630" s="83"/>
      <c r="AL630" s="186"/>
      <c r="AM630" s="29"/>
      <c r="AN630" s="29"/>
      <c r="AO630" s="29"/>
      <c r="AP630" s="29"/>
      <c r="AQ630" s="29"/>
      <c r="AR630" s="29"/>
      <c r="AS630" s="5"/>
      <c r="AT630" s="5"/>
      <c r="AU630" s="5"/>
      <c r="AV630" s="5"/>
      <c r="AW630" s="5"/>
      <c r="AX630" s="5"/>
      <c r="AY630" s="214"/>
      <c r="AZ630" s="83"/>
      <c r="BA630" s="83"/>
      <c r="BB630" s="83"/>
      <c r="BC630" s="5"/>
    </row>
    <row r="631" spans="37:55" x14ac:dyDescent="0.25">
      <c r="AK631" s="83"/>
      <c r="AL631" s="186"/>
      <c r="AM631" s="29"/>
      <c r="AN631" s="29"/>
      <c r="AO631" s="29"/>
      <c r="AP631" s="29"/>
      <c r="AQ631" s="29"/>
      <c r="AR631" s="29"/>
      <c r="AS631" s="5"/>
      <c r="AT631" s="5"/>
      <c r="AU631" s="5"/>
      <c r="AV631" s="5"/>
      <c r="AW631" s="5"/>
      <c r="AX631" s="5"/>
      <c r="AY631" s="214"/>
      <c r="AZ631" s="83"/>
      <c r="BA631" s="83"/>
      <c r="BB631" s="83"/>
      <c r="BC631" s="5"/>
    </row>
    <row r="632" spans="37:55" x14ac:dyDescent="0.25">
      <c r="AK632" s="83"/>
      <c r="AL632" s="186"/>
      <c r="AM632" s="29"/>
      <c r="AN632" s="29"/>
      <c r="AO632" s="29"/>
      <c r="AP632" s="29"/>
      <c r="AQ632" s="29"/>
      <c r="AR632" s="29"/>
      <c r="AS632" s="5"/>
      <c r="AT632" s="5"/>
      <c r="AU632" s="5"/>
      <c r="AV632" s="5"/>
      <c r="AW632" s="5"/>
      <c r="AX632" s="5"/>
      <c r="AY632" s="214"/>
      <c r="AZ632" s="83"/>
      <c r="BA632" s="83"/>
      <c r="BB632" s="83"/>
      <c r="BC632" s="5"/>
    </row>
    <row r="633" spans="37:55" x14ac:dyDescent="0.25">
      <c r="AK633" s="83"/>
      <c r="AL633" s="186"/>
      <c r="AM633" s="29"/>
      <c r="AN633" s="29"/>
      <c r="AO633" s="29"/>
      <c r="AP633" s="29"/>
      <c r="AQ633" s="29"/>
      <c r="AR633" s="29"/>
      <c r="AS633" s="5"/>
      <c r="AT633" s="5"/>
      <c r="AU633" s="5"/>
      <c r="AV633" s="5"/>
      <c r="AW633" s="5"/>
      <c r="AX633" s="5"/>
      <c r="AY633" s="214"/>
      <c r="AZ633" s="83"/>
      <c r="BA633" s="83"/>
      <c r="BB633" s="83"/>
      <c r="BC633" s="5"/>
    </row>
    <row r="634" spans="37:55" x14ac:dyDescent="0.25">
      <c r="AK634" s="83"/>
      <c r="AL634" s="186"/>
      <c r="AM634" s="29"/>
      <c r="AN634" s="29"/>
      <c r="AO634" s="29"/>
      <c r="AP634" s="29"/>
      <c r="AQ634" s="29"/>
      <c r="AR634" s="29"/>
      <c r="AS634" s="5"/>
      <c r="AT634" s="5"/>
      <c r="AU634" s="5"/>
      <c r="AV634" s="5"/>
      <c r="AW634" s="5"/>
      <c r="AX634" s="5"/>
      <c r="AY634" s="214"/>
      <c r="AZ634" s="83"/>
      <c r="BA634" s="83"/>
      <c r="BB634" s="83"/>
      <c r="BC634" s="5"/>
    </row>
    <row r="635" spans="37:55" x14ac:dyDescent="0.25">
      <c r="AK635" s="83"/>
      <c r="AL635" s="186"/>
      <c r="AM635" s="29"/>
      <c r="AN635" s="29"/>
      <c r="AO635" s="29"/>
      <c r="AP635" s="29"/>
      <c r="AQ635" s="29"/>
      <c r="AR635" s="29"/>
      <c r="AS635" s="5"/>
      <c r="AT635" s="5"/>
      <c r="AU635" s="5"/>
      <c r="AV635" s="5"/>
      <c r="AW635" s="5"/>
      <c r="AX635" s="5"/>
      <c r="AY635" s="214"/>
      <c r="AZ635" s="83"/>
      <c r="BA635" s="83"/>
      <c r="BB635" s="83"/>
      <c r="BC635" s="5"/>
    </row>
    <row r="636" spans="37:55" x14ac:dyDescent="0.25">
      <c r="AK636" s="83"/>
      <c r="AL636" s="186"/>
      <c r="AM636" s="29"/>
      <c r="AN636" s="29"/>
      <c r="AO636" s="29"/>
      <c r="AP636" s="29"/>
      <c r="AQ636" s="29"/>
      <c r="AR636" s="29"/>
      <c r="AS636" s="5"/>
      <c r="AT636" s="5"/>
      <c r="AU636" s="5"/>
      <c r="AV636" s="5"/>
      <c r="AW636" s="5"/>
      <c r="AX636" s="5"/>
      <c r="AY636" s="214"/>
      <c r="AZ636" s="83"/>
      <c r="BA636" s="83"/>
      <c r="BB636" s="83"/>
      <c r="BC636" s="5"/>
    </row>
    <row r="637" spans="37:55" x14ac:dyDescent="0.25">
      <c r="AK637" s="83"/>
      <c r="AL637" s="186"/>
      <c r="AM637" s="29"/>
      <c r="AN637" s="29"/>
      <c r="AO637" s="29"/>
      <c r="AP637" s="29"/>
      <c r="AQ637" s="29"/>
      <c r="AR637" s="29"/>
      <c r="AS637" s="5"/>
      <c r="AT637" s="5"/>
      <c r="AU637" s="5"/>
      <c r="AV637" s="5"/>
      <c r="AW637" s="5"/>
      <c r="AX637" s="5"/>
      <c r="AY637" s="214"/>
      <c r="AZ637" s="83"/>
      <c r="BA637" s="83"/>
      <c r="BB637" s="83"/>
      <c r="BC637" s="5"/>
    </row>
    <row r="638" spans="37:55" x14ac:dyDescent="0.25">
      <c r="AK638" s="83"/>
      <c r="AL638" s="186"/>
      <c r="AM638" s="29"/>
      <c r="AN638" s="29"/>
      <c r="AO638" s="29"/>
      <c r="AP638" s="29"/>
      <c r="AQ638" s="29"/>
      <c r="AR638" s="29"/>
      <c r="AS638" s="5"/>
      <c r="AT638" s="5"/>
      <c r="AU638" s="5"/>
      <c r="AV638" s="5"/>
      <c r="AW638" s="5"/>
      <c r="AX638" s="5"/>
      <c r="AY638" s="214"/>
      <c r="AZ638" s="83"/>
      <c r="BA638" s="83"/>
      <c r="BB638" s="83"/>
      <c r="BC638" s="5"/>
    </row>
    <row r="639" spans="37:55" x14ac:dyDescent="0.25">
      <c r="AK639" s="83"/>
      <c r="AL639" s="186"/>
      <c r="AM639" s="29"/>
      <c r="AN639" s="29"/>
      <c r="AO639" s="29"/>
      <c r="AP639" s="29"/>
      <c r="AQ639" s="29"/>
      <c r="AR639" s="29"/>
      <c r="AS639" s="5"/>
      <c r="AT639" s="5"/>
      <c r="AU639" s="5"/>
      <c r="AV639" s="5"/>
      <c r="AW639" s="5"/>
      <c r="AX639" s="5"/>
      <c r="AY639" s="214"/>
      <c r="AZ639" s="83"/>
      <c r="BA639" s="83"/>
      <c r="BB639" s="83"/>
      <c r="BC639" s="5"/>
    </row>
    <row r="640" spans="37:55" x14ac:dyDescent="0.25">
      <c r="AK640" s="83"/>
      <c r="AL640" s="186"/>
      <c r="AM640" s="29"/>
      <c r="AN640" s="29"/>
      <c r="AO640" s="29"/>
      <c r="AP640" s="29"/>
      <c r="AQ640" s="29"/>
      <c r="AR640" s="29"/>
      <c r="AS640" s="5"/>
      <c r="AT640" s="5"/>
      <c r="AU640" s="5"/>
      <c r="AV640" s="5"/>
      <c r="AW640" s="5"/>
      <c r="AX640" s="5"/>
      <c r="AY640" s="214"/>
      <c r="AZ640" s="83"/>
      <c r="BA640" s="83"/>
      <c r="BB640" s="83"/>
      <c r="BC640" s="5"/>
    </row>
    <row r="641" spans="37:55" x14ac:dyDescent="0.25">
      <c r="AK641" s="83"/>
      <c r="AL641" s="186"/>
      <c r="AM641" s="29"/>
      <c r="AN641" s="29"/>
      <c r="AO641" s="29"/>
      <c r="AP641" s="29"/>
      <c r="AQ641" s="29"/>
      <c r="AR641" s="29"/>
      <c r="AS641" s="5"/>
      <c r="AT641" s="5"/>
      <c r="AU641" s="5"/>
      <c r="AV641" s="5"/>
      <c r="AW641" s="5"/>
      <c r="AX641" s="5"/>
      <c r="AY641" s="214"/>
      <c r="AZ641" s="83"/>
      <c r="BA641" s="83"/>
      <c r="BB641" s="83"/>
      <c r="BC641" s="5"/>
    </row>
    <row r="642" spans="37:55" x14ac:dyDescent="0.25">
      <c r="AK642" s="83"/>
      <c r="AL642" s="186"/>
      <c r="AM642" s="29"/>
      <c r="AN642" s="29"/>
      <c r="AO642" s="29"/>
      <c r="AP642" s="29"/>
      <c r="AQ642" s="29"/>
      <c r="AR642" s="29"/>
      <c r="AS642" s="5"/>
      <c r="AT642" s="5"/>
      <c r="AU642" s="5"/>
      <c r="AV642" s="5"/>
      <c r="AW642" s="5"/>
      <c r="AX642" s="5"/>
      <c r="AY642" s="214"/>
      <c r="AZ642" s="83"/>
      <c r="BA642" s="83"/>
      <c r="BB642" s="83"/>
      <c r="BC642" s="5"/>
    </row>
    <row r="643" spans="37:55" x14ac:dyDescent="0.25">
      <c r="AK643" s="83"/>
      <c r="AL643" s="186"/>
      <c r="AM643" s="29"/>
      <c r="AN643" s="29"/>
      <c r="AO643" s="29"/>
      <c r="AP643" s="29"/>
      <c r="AQ643" s="29"/>
      <c r="AR643" s="29"/>
      <c r="AS643" s="5"/>
      <c r="AT643" s="5"/>
      <c r="AU643" s="5"/>
      <c r="AV643" s="5"/>
      <c r="AW643" s="5"/>
      <c r="AX643" s="5"/>
      <c r="AY643" s="214"/>
      <c r="AZ643" s="83"/>
      <c r="BA643" s="83"/>
      <c r="BB643" s="83"/>
      <c r="BC643" s="5"/>
    </row>
    <row r="644" spans="37:55" x14ac:dyDescent="0.25">
      <c r="AK644" s="83"/>
      <c r="AL644" s="186"/>
      <c r="AM644" s="29"/>
      <c r="AN644" s="29"/>
      <c r="AO644" s="29"/>
      <c r="AP644" s="29"/>
      <c r="AQ644" s="29"/>
      <c r="AR644" s="29"/>
      <c r="AS644" s="5"/>
      <c r="AT644" s="5"/>
      <c r="AU644" s="5"/>
      <c r="AV644" s="5"/>
      <c r="AW644" s="5"/>
      <c r="AX644" s="5"/>
      <c r="AY644" s="214"/>
      <c r="AZ644" s="83"/>
      <c r="BA644" s="83"/>
      <c r="BB644" s="83"/>
      <c r="BC644" s="5"/>
    </row>
    <row r="645" spans="37:55" x14ac:dyDescent="0.25">
      <c r="AK645" s="83"/>
      <c r="AL645" s="186"/>
      <c r="AM645" s="29"/>
      <c r="AN645" s="29"/>
      <c r="AO645" s="29"/>
      <c r="AP645" s="29"/>
      <c r="AQ645" s="29"/>
      <c r="AR645" s="29"/>
      <c r="AS645" s="5"/>
      <c r="AT645" s="5"/>
      <c r="AU645" s="5"/>
      <c r="AV645" s="5"/>
      <c r="AW645" s="5"/>
      <c r="AX645" s="5"/>
      <c r="AY645" s="214"/>
      <c r="AZ645" s="83"/>
      <c r="BA645" s="83"/>
      <c r="BB645" s="83"/>
      <c r="BC645" s="5"/>
    </row>
    <row r="646" spans="37:55" x14ac:dyDescent="0.25">
      <c r="AK646" s="83"/>
      <c r="AL646" s="186"/>
      <c r="AM646" s="29"/>
      <c r="AN646" s="29"/>
      <c r="AO646" s="29"/>
      <c r="AP646" s="29"/>
      <c r="AQ646" s="29"/>
      <c r="AR646" s="29"/>
      <c r="AS646" s="5"/>
      <c r="AT646" s="5"/>
      <c r="AU646" s="5"/>
      <c r="AV646" s="5"/>
      <c r="AW646" s="5"/>
      <c r="AX646" s="5"/>
      <c r="AY646" s="214"/>
      <c r="AZ646" s="83"/>
      <c r="BA646" s="83"/>
      <c r="BB646" s="83"/>
      <c r="BC646" s="5"/>
    </row>
    <row r="647" spans="37:55" x14ac:dyDescent="0.25">
      <c r="AK647" s="83"/>
      <c r="AL647" s="186"/>
      <c r="AM647" s="29"/>
      <c r="AN647" s="29"/>
      <c r="AO647" s="29"/>
      <c r="AP647" s="29"/>
      <c r="AQ647" s="29"/>
      <c r="AR647" s="29"/>
      <c r="AS647" s="5"/>
      <c r="AT647" s="5"/>
      <c r="AU647" s="5"/>
      <c r="AV647" s="5"/>
      <c r="AW647" s="5"/>
      <c r="AX647" s="5"/>
      <c r="AY647" s="214"/>
      <c r="AZ647" s="83"/>
      <c r="BA647" s="83"/>
      <c r="BB647" s="83"/>
      <c r="BC647" s="5"/>
    </row>
    <row r="648" spans="37:55" x14ac:dyDescent="0.25">
      <c r="AK648" s="83"/>
      <c r="AL648" s="186"/>
      <c r="AM648" s="29"/>
      <c r="AN648" s="29"/>
      <c r="AO648" s="29"/>
      <c r="AP648" s="29"/>
      <c r="AQ648" s="29"/>
      <c r="AR648" s="29"/>
      <c r="AS648" s="5"/>
      <c r="AT648" s="5"/>
      <c r="AU648" s="5"/>
      <c r="AV648" s="5"/>
      <c r="AW648" s="5"/>
      <c r="AX648" s="5"/>
      <c r="AY648" s="214"/>
      <c r="AZ648" s="83"/>
      <c r="BA648" s="83"/>
      <c r="BB648" s="83"/>
      <c r="BC648" s="5"/>
    </row>
    <row r="649" spans="37:55" x14ac:dyDescent="0.25">
      <c r="AK649" s="83"/>
      <c r="AL649" s="186"/>
      <c r="AM649" s="29"/>
      <c r="AN649" s="29"/>
      <c r="AO649" s="29"/>
      <c r="AP649" s="29"/>
      <c r="AQ649" s="29"/>
      <c r="AR649" s="29"/>
      <c r="AS649" s="5"/>
      <c r="AT649" s="5"/>
      <c r="AU649" s="5"/>
      <c r="AV649" s="5"/>
      <c r="AW649" s="5"/>
      <c r="AX649" s="5"/>
      <c r="AY649" s="214"/>
      <c r="AZ649" s="83"/>
      <c r="BA649" s="83"/>
      <c r="BB649" s="83"/>
      <c r="BC649" s="5"/>
    </row>
    <row r="650" spans="37:55" x14ac:dyDescent="0.25">
      <c r="AK650" s="83"/>
      <c r="AL650" s="186"/>
      <c r="AM650" s="29"/>
      <c r="AN650" s="29"/>
      <c r="AO650" s="29"/>
      <c r="AP650" s="29"/>
      <c r="AQ650" s="29"/>
      <c r="AR650" s="29"/>
      <c r="AS650" s="5"/>
      <c r="AT650" s="5"/>
      <c r="AU650" s="5"/>
      <c r="AV650" s="5"/>
      <c r="AW650" s="5"/>
      <c r="AX650" s="5"/>
      <c r="AY650" s="214"/>
      <c r="AZ650" s="83"/>
      <c r="BA650" s="83"/>
      <c r="BB650" s="83"/>
      <c r="BC650" s="5"/>
    </row>
    <row r="651" spans="37:55" x14ac:dyDescent="0.25">
      <c r="AK651" s="83"/>
      <c r="AL651" s="186"/>
      <c r="AM651" s="29"/>
      <c r="AN651" s="29"/>
      <c r="AO651" s="29"/>
      <c r="AP651" s="29"/>
      <c r="AQ651" s="29"/>
      <c r="AR651" s="29"/>
      <c r="AS651" s="5"/>
      <c r="AT651" s="5"/>
      <c r="AU651" s="5"/>
      <c r="AV651" s="5"/>
      <c r="AW651" s="5"/>
      <c r="AX651" s="5"/>
      <c r="AY651" s="214"/>
      <c r="AZ651" s="83"/>
      <c r="BA651" s="83"/>
      <c r="BB651" s="83"/>
      <c r="BC651" s="5"/>
    </row>
    <row r="652" spans="37:55" x14ac:dyDescent="0.25">
      <c r="AK652" s="83"/>
      <c r="AL652" s="186"/>
      <c r="AM652" s="29"/>
      <c r="AN652" s="29"/>
      <c r="AO652" s="29"/>
      <c r="AP652" s="29"/>
      <c r="AQ652" s="29"/>
      <c r="AR652" s="29"/>
      <c r="AS652" s="5"/>
      <c r="AT652" s="5"/>
      <c r="AU652" s="5"/>
      <c r="AV652" s="5"/>
      <c r="AW652" s="5"/>
      <c r="AX652" s="5"/>
      <c r="AY652" s="214"/>
      <c r="AZ652" s="83"/>
      <c r="BA652" s="83"/>
      <c r="BB652" s="83"/>
      <c r="BC652" s="5"/>
    </row>
    <row r="653" spans="37:55" x14ac:dyDescent="0.25">
      <c r="AK653" s="83"/>
      <c r="AL653" s="186"/>
      <c r="AM653" s="29"/>
      <c r="AN653" s="29"/>
      <c r="AO653" s="29"/>
      <c r="AP653" s="29"/>
      <c r="AQ653" s="29"/>
      <c r="AR653" s="29"/>
      <c r="AS653" s="5"/>
      <c r="AT653" s="5"/>
      <c r="AU653" s="5"/>
      <c r="AV653" s="5"/>
      <c r="AW653" s="5"/>
      <c r="AX653" s="5"/>
      <c r="AY653" s="214"/>
      <c r="AZ653" s="83"/>
      <c r="BA653" s="83"/>
      <c r="BB653" s="83"/>
      <c r="BC653" s="5"/>
    </row>
    <row r="654" spans="37:55" x14ac:dyDescent="0.25">
      <c r="AK654" s="83"/>
      <c r="AL654" s="186"/>
      <c r="AM654" s="29"/>
      <c r="AN654" s="29"/>
      <c r="AO654" s="29"/>
      <c r="AP654" s="29"/>
      <c r="AQ654" s="29"/>
      <c r="AR654" s="29"/>
      <c r="AS654" s="5"/>
      <c r="AT654" s="5"/>
      <c r="AU654" s="5"/>
      <c r="AV654" s="5"/>
      <c r="AW654" s="5"/>
      <c r="AX654" s="5"/>
      <c r="AY654" s="214"/>
      <c r="AZ654" s="83"/>
      <c r="BA654" s="83"/>
      <c r="BB654" s="83"/>
      <c r="BC654" s="5"/>
    </row>
    <row r="655" spans="37:55" x14ac:dyDescent="0.25">
      <c r="AK655" s="83"/>
      <c r="AL655" s="186"/>
      <c r="AM655" s="29"/>
      <c r="AN655" s="29"/>
      <c r="AO655" s="29"/>
      <c r="AP655" s="29"/>
      <c r="AQ655" s="29"/>
      <c r="AR655" s="29"/>
      <c r="AS655" s="5"/>
      <c r="AT655" s="5"/>
      <c r="AU655" s="5"/>
      <c r="AV655" s="5"/>
      <c r="AW655" s="5"/>
      <c r="AX655" s="5"/>
      <c r="AY655" s="214"/>
      <c r="AZ655" s="83"/>
      <c r="BA655" s="83"/>
      <c r="BB655" s="83"/>
      <c r="BC655" s="5"/>
    </row>
    <row r="656" spans="37:55" x14ac:dyDescent="0.25">
      <c r="AK656" s="83"/>
      <c r="AL656" s="186"/>
      <c r="AM656" s="29"/>
      <c r="AN656" s="29"/>
      <c r="AO656" s="29"/>
      <c r="AP656" s="29"/>
      <c r="AQ656" s="29"/>
      <c r="AR656" s="29"/>
      <c r="AS656" s="5"/>
      <c r="AT656" s="5"/>
      <c r="AU656" s="5"/>
      <c r="AV656" s="5"/>
      <c r="AW656" s="5"/>
      <c r="AX656" s="5"/>
      <c r="AY656" s="214"/>
      <c r="AZ656" s="83"/>
      <c r="BA656" s="83"/>
      <c r="BB656" s="83"/>
      <c r="BC656" s="5"/>
    </row>
    <row r="657" spans="37:55" x14ac:dyDescent="0.25">
      <c r="AK657" s="83"/>
      <c r="AL657" s="186"/>
      <c r="AM657" s="29"/>
      <c r="AN657" s="29"/>
      <c r="AO657" s="29"/>
      <c r="AP657" s="29"/>
      <c r="AQ657" s="29"/>
      <c r="AR657" s="29"/>
      <c r="AS657" s="5"/>
      <c r="AT657" s="5"/>
      <c r="AU657" s="5"/>
      <c r="AV657" s="5"/>
      <c r="AW657" s="5"/>
      <c r="AX657" s="5"/>
      <c r="AY657" s="214"/>
      <c r="AZ657" s="83"/>
      <c r="BA657" s="83"/>
      <c r="BB657" s="83"/>
      <c r="BC657" s="5"/>
    </row>
    <row r="658" spans="37:55" x14ac:dyDescent="0.25">
      <c r="AK658" s="83"/>
      <c r="AL658" s="186"/>
      <c r="AM658" s="29"/>
      <c r="AN658" s="29"/>
      <c r="AO658" s="29"/>
      <c r="AP658" s="29"/>
      <c r="AQ658" s="29"/>
      <c r="AR658" s="29"/>
      <c r="AS658" s="5"/>
      <c r="AT658" s="5"/>
      <c r="AU658" s="5"/>
      <c r="AV658" s="5"/>
      <c r="AW658" s="5"/>
      <c r="AX658" s="5"/>
      <c r="AY658" s="214"/>
      <c r="AZ658" s="83"/>
      <c r="BA658" s="83"/>
      <c r="BB658" s="83"/>
      <c r="BC658" s="5"/>
    </row>
    <row r="659" spans="37:55" x14ac:dyDescent="0.25">
      <c r="AK659" s="83"/>
      <c r="AL659" s="186"/>
      <c r="AM659" s="29"/>
      <c r="AN659" s="29"/>
      <c r="AO659" s="29"/>
      <c r="AP659" s="29"/>
      <c r="AQ659" s="29"/>
      <c r="AR659" s="29"/>
      <c r="AS659" s="5"/>
      <c r="AT659" s="5"/>
      <c r="AU659" s="5"/>
      <c r="AV659" s="5"/>
      <c r="AW659" s="5"/>
      <c r="AX659" s="5"/>
      <c r="AY659" s="214"/>
      <c r="AZ659" s="83"/>
      <c r="BA659" s="83"/>
      <c r="BB659" s="83"/>
      <c r="BC659" s="5"/>
    </row>
    <row r="660" spans="37:55" x14ac:dyDescent="0.25">
      <c r="AK660" s="83"/>
      <c r="AL660" s="186"/>
      <c r="AM660" s="29"/>
      <c r="AN660" s="29"/>
      <c r="AO660" s="29"/>
      <c r="AP660" s="29"/>
      <c r="AQ660" s="29"/>
      <c r="AR660" s="29"/>
      <c r="AS660" s="5"/>
      <c r="AT660" s="5"/>
      <c r="AU660" s="5"/>
      <c r="AV660" s="5"/>
      <c r="AW660" s="5"/>
      <c r="AX660" s="5"/>
      <c r="AY660" s="214"/>
      <c r="AZ660" s="83"/>
      <c r="BA660" s="83"/>
      <c r="BB660" s="83"/>
      <c r="BC660" s="5"/>
    </row>
    <row r="661" spans="37:55" x14ac:dyDescent="0.25">
      <c r="AK661" s="83"/>
      <c r="AL661" s="186"/>
      <c r="AM661" s="29"/>
      <c r="AN661" s="29"/>
      <c r="AO661" s="29"/>
      <c r="AP661" s="29"/>
      <c r="AQ661" s="29"/>
      <c r="AR661" s="29"/>
      <c r="AS661" s="5"/>
      <c r="AT661" s="5"/>
      <c r="AU661" s="5"/>
      <c r="AV661" s="5"/>
      <c r="AW661" s="5"/>
      <c r="AX661" s="5"/>
      <c r="AY661" s="214"/>
      <c r="AZ661" s="83"/>
      <c r="BA661" s="83"/>
      <c r="BB661" s="83"/>
      <c r="BC661" s="5"/>
    </row>
    <row r="662" spans="37:55" x14ac:dyDescent="0.25">
      <c r="AK662" s="83"/>
      <c r="AL662" s="186"/>
      <c r="AM662" s="29"/>
      <c r="AN662" s="29"/>
      <c r="AO662" s="29"/>
      <c r="AP662" s="29"/>
      <c r="AQ662" s="29"/>
      <c r="AR662" s="29"/>
      <c r="AS662" s="5"/>
      <c r="AT662" s="5"/>
      <c r="AU662" s="5"/>
      <c r="AV662" s="5"/>
      <c r="AW662" s="5"/>
      <c r="AX662" s="5"/>
      <c r="AY662" s="214"/>
      <c r="AZ662" s="83"/>
      <c r="BA662" s="83"/>
      <c r="BB662" s="83"/>
      <c r="BC662" s="5"/>
    </row>
    <row r="663" spans="37:55" x14ac:dyDescent="0.25">
      <c r="AK663" s="83"/>
      <c r="AL663" s="186"/>
      <c r="AM663" s="29"/>
      <c r="AN663" s="29"/>
      <c r="AO663" s="29"/>
      <c r="AP663" s="29"/>
      <c r="AQ663" s="29"/>
      <c r="AR663" s="29"/>
      <c r="AS663" s="5"/>
      <c r="AT663" s="5"/>
      <c r="AU663" s="5"/>
      <c r="AV663" s="5"/>
      <c r="AW663" s="5"/>
      <c r="AX663" s="5"/>
      <c r="AY663" s="214"/>
      <c r="AZ663" s="83"/>
      <c r="BA663" s="83"/>
      <c r="BB663" s="83"/>
      <c r="BC663" s="5"/>
    </row>
    <row r="664" spans="37:55" x14ac:dyDescent="0.25">
      <c r="AK664" s="83"/>
      <c r="AL664" s="186"/>
      <c r="AM664" s="29"/>
      <c r="AN664" s="29"/>
      <c r="AO664" s="29"/>
      <c r="AP664" s="29"/>
      <c r="AQ664" s="29"/>
      <c r="AR664" s="29"/>
      <c r="AS664" s="5"/>
      <c r="AT664" s="5"/>
      <c r="AU664" s="5"/>
      <c r="AV664" s="5"/>
      <c r="AW664" s="5"/>
      <c r="AX664" s="5"/>
      <c r="AY664" s="214"/>
      <c r="AZ664" s="83"/>
      <c r="BA664" s="83"/>
      <c r="BB664" s="83"/>
      <c r="BC664" s="5"/>
    </row>
    <row r="665" spans="37:55" x14ac:dyDescent="0.25">
      <c r="AK665" s="83"/>
      <c r="AL665" s="186"/>
      <c r="AM665" s="29"/>
      <c r="AN665" s="29"/>
      <c r="AO665" s="29"/>
      <c r="AP665" s="29"/>
      <c r="AQ665" s="29"/>
      <c r="AR665" s="29"/>
      <c r="AS665" s="5"/>
      <c r="AT665" s="5"/>
      <c r="AU665" s="5"/>
      <c r="AV665" s="5"/>
      <c r="AW665" s="5"/>
      <c r="AX665" s="5"/>
      <c r="AY665" s="214"/>
      <c r="AZ665" s="83"/>
      <c r="BA665" s="83"/>
      <c r="BB665" s="83"/>
      <c r="BC665" s="5"/>
    </row>
    <row r="666" spans="37:55" x14ac:dyDescent="0.25">
      <c r="AK666" s="83"/>
      <c r="AL666" s="186"/>
      <c r="AM666" s="29"/>
      <c r="AN666" s="29"/>
      <c r="AO666" s="29"/>
      <c r="AP666" s="29"/>
      <c r="AQ666" s="29"/>
      <c r="AR666" s="29"/>
      <c r="AS666" s="5"/>
      <c r="AT666" s="5"/>
      <c r="AU666" s="5"/>
      <c r="AV666" s="5"/>
      <c r="AW666" s="5"/>
      <c r="AX666" s="5"/>
      <c r="AY666" s="214"/>
      <c r="AZ666" s="83"/>
      <c r="BA666" s="83"/>
      <c r="BB666" s="83"/>
      <c r="BC666" s="5"/>
    </row>
    <row r="667" spans="37:55" x14ac:dyDescent="0.25">
      <c r="AK667" s="83"/>
      <c r="AL667" s="186"/>
      <c r="AM667" s="29"/>
      <c r="AN667" s="29"/>
      <c r="AO667" s="29"/>
      <c r="AP667" s="29"/>
      <c r="AQ667" s="29"/>
      <c r="AR667" s="29"/>
      <c r="AS667" s="5"/>
      <c r="AT667" s="5"/>
      <c r="AU667" s="5"/>
      <c r="AV667" s="5"/>
      <c r="AW667" s="5"/>
      <c r="AX667" s="5"/>
      <c r="AY667" s="214"/>
      <c r="AZ667" s="83"/>
      <c r="BA667" s="83"/>
      <c r="BB667" s="83"/>
      <c r="BC667" s="5"/>
    </row>
    <row r="668" spans="37:55" x14ac:dyDescent="0.25">
      <c r="AK668" s="83"/>
      <c r="AL668" s="186"/>
      <c r="AM668" s="29"/>
      <c r="AN668" s="29"/>
      <c r="AO668" s="29"/>
      <c r="AP668" s="29"/>
      <c r="AQ668" s="29"/>
      <c r="AR668" s="29"/>
      <c r="AS668" s="5"/>
      <c r="AT668" s="5"/>
      <c r="AU668" s="5"/>
      <c r="AV668" s="5"/>
      <c r="AW668" s="5"/>
      <c r="AX668" s="5"/>
      <c r="AY668" s="214"/>
      <c r="AZ668" s="83"/>
      <c r="BA668" s="83"/>
      <c r="BB668" s="83"/>
      <c r="BC668" s="5"/>
    </row>
    <row r="669" spans="37:55" x14ac:dyDescent="0.25">
      <c r="AK669" s="83"/>
      <c r="AL669" s="186"/>
      <c r="AM669" s="29"/>
      <c r="AN669" s="29"/>
      <c r="AO669" s="29"/>
      <c r="AP669" s="29"/>
      <c r="AQ669" s="29"/>
      <c r="AR669" s="29"/>
      <c r="AS669" s="5"/>
      <c r="AT669" s="5"/>
      <c r="AU669" s="5"/>
      <c r="AV669" s="5"/>
      <c r="AW669" s="5"/>
      <c r="AX669" s="5"/>
      <c r="AY669" s="214"/>
      <c r="AZ669" s="83"/>
      <c r="BA669" s="83"/>
      <c r="BB669" s="83"/>
      <c r="BC669" s="5"/>
    </row>
    <row r="670" spans="37:55" x14ac:dyDescent="0.25">
      <c r="AK670" s="83"/>
      <c r="AL670" s="186"/>
      <c r="AM670" s="29"/>
      <c r="AN670" s="29"/>
      <c r="AO670" s="29"/>
      <c r="AP670" s="29"/>
      <c r="AQ670" s="29"/>
      <c r="AR670" s="29"/>
      <c r="AS670" s="5"/>
      <c r="AT670" s="5"/>
      <c r="AU670" s="5"/>
      <c r="AV670" s="5"/>
      <c r="AW670" s="5"/>
      <c r="AX670" s="5"/>
      <c r="AY670" s="214"/>
      <c r="AZ670" s="83"/>
      <c r="BA670" s="83"/>
      <c r="BB670" s="83"/>
      <c r="BC670" s="5"/>
    </row>
    <row r="671" spans="37:55" x14ac:dyDescent="0.25">
      <c r="AK671" s="83"/>
      <c r="AL671" s="186"/>
      <c r="AM671" s="29"/>
      <c r="AN671" s="29"/>
      <c r="AO671" s="29"/>
      <c r="AP671" s="29"/>
      <c r="AQ671" s="29"/>
      <c r="AR671" s="29"/>
      <c r="AS671" s="5"/>
      <c r="AT671" s="5"/>
      <c r="AU671" s="5"/>
      <c r="AV671" s="5"/>
      <c r="AW671" s="5"/>
      <c r="AX671" s="5"/>
      <c r="AY671" s="214"/>
      <c r="AZ671" s="83"/>
      <c r="BA671" s="83"/>
      <c r="BB671" s="83"/>
      <c r="BC671" s="5"/>
    </row>
    <row r="672" spans="37:55" x14ac:dyDescent="0.25">
      <c r="AK672" s="83"/>
      <c r="AL672" s="186"/>
      <c r="AM672" s="29"/>
      <c r="AN672" s="29"/>
      <c r="AO672" s="29"/>
      <c r="AP672" s="29"/>
      <c r="AQ672" s="29"/>
      <c r="AR672" s="29"/>
      <c r="AS672" s="5"/>
      <c r="AT672" s="5"/>
      <c r="AU672" s="5"/>
      <c r="AV672" s="5"/>
      <c r="AW672" s="5"/>
      <c r="AX672" s="5"/>
      <c r="AY672" s="214"/>
      <c r="AZ672" s="83"/>
      <c r="BA672" s="83"/>
      <c r="BB672" s="83"/>
      <c r="BC672" s="5"/>
    </row>
    <row r="673" spans="37:55" x14ac:dyDescent="0.25">
      <c r="AK673" s="83"/>
      <c r="AL673" s="186"/>
      <c r="AM673" s="29"/>
      <c r="AN673" s="29"/>
      <c r="AO673" s="29"/>
      <c r="AP673" s="29"/>
      <c r="AQ673" s="29"/>
      <c r="AR673" s="29"/>
      <c r="AS673" s="5"/>
      <c r="AT673" s="5"/>
      <c r="AU673" s="5"/>
      <c r="AV673" s="5"/>
      <c r="AW673" s="5"/>
      <c r="AX673" s="5"/>
      <c r="AY673" s="214"/>
      <c r="AZ673" s="83"/>
      <c r="BA673" s="83"/>
      <c r="BB673" s="83"/>
      <c r="BC673" s="5"/>
    </row>
    <row r="674" spans="37:55" x14ac:dyDescent="0.25">
      <c r="AK674" s="83"/>
      <c r="AL674" s="186"/>
      <c r="AM674" s="29"/>
      <c r="AN674" s="29"/>
      <c r="AO674" s="29"/>
      <c r="AP674" s="29"/>
      <c r="AQ674" s="29"/>
      <c r="AR674" s="29"/>
      <c r="AS674" s="5"/>
      <c r="AT674" s="5"/>
      <c r="AU674" s="5"/>
      <c r="AV674" s="5"/>
      <c r="AW674" s="5"/>
      <c r="AX674" s="5"/>
      <c r="AY674" s="214"/>
      <c r="AZ674" s="83"/>
      <c r="BA674" s="83"/>
      <c r="BB674" s="83"/>
      <c r="BC674" s="5"/>
    </row>
    <row r="675" spans="37:55" x14ac:dyDescent="0.25">
      <c r="AK675" s="83"/>
      <c r="AL675" s="186"/>
      <c r="AM675" s="29"/>
      <c r="AN675" s="29"/>
      <c r="AO675" s="29"/>
      <c r="AP675" s="29"/>
      <c r="AQ675" s="29"/>
      <c r="AR675" s="29"/>
      <c r="AS675" s="5"/>
      <c r="AT675" s="5"/>
      <c r="AU675" s="5"/>
      <c r="AV675" s="5"/>
      <c r="AW675" s="5"/>
      <c r="AX675" s="5"/>
      <c r="AY675" s="214"/>
      <c r="AZ675" s="83"/>
      <c r="BA675" s="83"/>
      <c r="BB675" s="83"/>
      <c r="BC675" s="5"/>
    </row>
    <row r="676" spans="37:55" x14ac:dyDescent="0.25">
      <c r="AK676" s="83"/>
      <c r="AL676" s="186"/>
      <c r="AM676" s="29"/>
      <c r="AN676" s="29"/>
      <c r="AO676" s="29"/>
      <c r="AP676" s="29"/>
      <c r="AQ676" s="29"/>
      <c r="AR676" s="29"/>
      <c r="AS676" s="5"/>
      <c r="AT676" s="5"/>
      <c r="AU676" s="5"/>
      <c r="AV676" s="5"/>
      <c r="AW676" s="5"/>
      <c r="AX676" s="5"/>
      <c r="AY676" s="214"/>
      <c r="AZ676" s="83"/>
      <c r="BA676" s="83"/>
      <c r="BB676" s="83"/>
      <c r="BC676" s="5"/>
    </row>
    <row r="677" spans="37:55" x14ac:dyDescent="0.25">
      <c r="AK677" s="83"/>
      <c r="AL677" s="186"/>
      <c r="AM677" s="29"/>
      <c r="AN677" s="29"/>
      <c r="AO677" s="29"/>
      <c r="AP677" s="29"/>
      <c r="AQ677" s="29"/>
      <c r="AR677" s="29"/>
      <c r="AS677" s="5"/>
      <c r="AT677" s="5"/>
      <c r="AU677" s="5"/>
      <c r="AV677" s="5"/>
      <c r="AW677" s="5"/>
      <c r="AX677" s="5"/>
      <c r="AY677" s="214"/>
      <c r="AZ677" s="83"/>
      <c r="BA677" s="83"/>
      <c r="BB677" s="83"/>
      <c r="BC677" s="5"/>
    </row>
    <row r="678" spans="37:55" x14ac:dyDescent="0.25">
      <c r="AK678" s="83"/>
      <c r="AL678" s="186"/>
      <c r="AM678" s="29"/>
      <c r="AN678" s="29"/>
      <c r="AO678" s="29"/>
      <c r="AP678" s="29"/>
      <c r="AQ678" s="29"/>
      <c r="AR678" s="29"/>
      <c r="AS678" s="5"/>
      <c r="AT678" s="5"/>
      <c r="AU678" s="5"/>
      <c r="AV678" s="5"/>
      <c r="AW678" s="5"/>
      <c r="AX678" s="5"/>
      <c r="AY678" s="214"/>
      <c r="AZ678" s="83"/>
      <c r="BA678" s="83"/>
      <c r="BB678" s="83"/>
      <c r="BC678" s="5"/>
    </row>
    <row r="679" spans="37:55" x14ac:dyDescent="0.25">
      <c r="AK679" s="83"/>
      <c r="AL679" s="186"/>
      <c r="AM679" s="29"/>
      <c r="AN679" s="29"/>
      <c r="AO679" s="29"/>
      <c r="AP679" s="29"/>
      <c r="AQ679" s="29"/>
      <c r="AR679" s="29"/>
      <c r="AS679" s="5"/>
      <c r="AT679" s="5"/>
      <c r="AU679" s="5"/>
      <c r="AV679" s="5"/>
      <c r="AW679" s="5"/>
      <c r="AX679" s="5"/>
      <c r="AY679" s="214"/>
      <c r="AZ679" s="83"/>
      <c r="BA679" s="83"/>
      <c r="BB679" s="83"/>
      <c r="BC679" s="5"/>
    </row>
    <row r="680" spans="37:55" x14ac:dyDescent="0.25">
      <c r="AK680" s="83"/>
      <c r="AL680" s="186"/>
      <c r="AM680" s="29"/>
      <c r="AN680" s="29"/>
      <c r="AO680" s="29"/>
      <c r="AP680" s="29"/>
      <c r="AQ680" s="29"/>
      <c r="AR680" s="29"/>
      <c r="AS680" s="5"/>
      <c r="AT680" s="5"/>
      <c r="AU680" s="5"/>
      <c r="AV680" s="5"/>
      <c r="AW680" s="5"/>
      <c r="AX680" s="5"/>
      <c r="AY680" s="214"/>
      <c r="AZ680" s="83"/>
      <c r="BA680" s="83"/>
      <c r="BB680" s="83"/>
      <c r="BC680" s="5"/>
    </row>
    <row r="681" spans="37:55" x14ac:dyDescent="0.25">
      <c r="AK681" s="83"/>
      <c r="AL681" s="186"/>
      <c r="AM681" s="29"/>
      <c r="AN681" s="29"/>
      <c r="AO681" s="29"/>
      <c r="AP681" s="29"/>
      <c r="AQ681" s="29"/>
      <c r="AR681" s="29"/>
      <c r="AS681" s="5"/>
      <c r="AT681" s="5"/>
      <c r="AU681" s="5"/>
      <c r="AV681" s="5"/>
      <c r="AW681" s="5"/>
      <c r="AX681" s="5"/>
      <c r="AY681" s="214"/>
      <c r="AZ681" s="83"/>
      <c r="BA681" s="83"/>
      <c r="BB681" s="83"/>
      <c r="BC681" s="5"/>
    </row>
    <row r="682" spans="37:55" x14ac:dyDescent="0.25">
      <c r="AK682" s="83"/>
      <c r="AL682" s="186"/>
      <c r="AM682" s="29"/>
      <c r="AN682" s="29"/>
      <c r="AO682" s="29"/>
      <c r="AP682" s="29"/>
      <c r="AQ682" s="29"/>
      <c r="AR682" s="29"/>
      <c r="AS682" s="5"/>
      <c r="AT682" s="5"/>
      <c r="AU682" s="5"/>
      <c r="AV682" s="5"/>
      <c r="AW682" s="5"/>
      <c r="AX682" s="5"/>
      <c r="AY682" s="214"/>
      <c r="AZ682" s="83"/>
      <c r="BA682" s="83"/>
      <c r="BB682" s="83"/>
      <c r="BC682" s="5"/>
    </row>
    <row r="683" spans="37:55" x14ac:dyDescent="0.25">
      <c r="AK683" s="83"/>
      <c r="AL683" s="186"/>
      <c r="AM683" s="29"/>
      <c r="AN683" s="29"/>
      <c r="AO683" s="29"/>
      <c r="AP683" s="29"/>
      <c r="AQ683" s="29"/>
      <c r="AR683" s="29"/>
      <c r="AS683" s="5"/>
      <c r="AT683" s="5"/>
      <c r="AU683" s="5"/>
      <c r="AV683" s="5"/>
      <c r="AW683" s="5"/>
      <c r="AX683" s="5"/>
      <c r="AY683" s="214"/>
      <c r="AZ683" s="83"/>
      <c r="BA683" s="83"/>
      <c r="BB683" s="83"/>
      <c r="BC683" s="5"/>
    </row>
    <row r="684" spans="37:55" x14ac:dyDescent="0.25">
      <c r="AK684" s="83"/>
      <c r="AL684" s="186"/>
      <c r="AM684" s="29"/>
      <c r="AN684" s="29"/>
      <c r="AO684" s="29"/>
      <c r="AP684" s="29"/>
      <c r="AQ684" s="29"/>
      <c r="AR684" s="29"/>
      <c r="AS684" s="5"/>
      <c r="AT684" s="5"/>
      <c r="AU684" s="5"/>
      <c r="AV684" s="5"/>
      <c r="AW684" s="5"/>
      <c r="AX684" s="5"/>
      <c r="AY684" s="214"/>
      <c r="AZ684" s="83"/>
      <c r="BA684" s="83"/>
      <c r="BB684" s="83"/>
      <c r="BC684" s="5"/>
    </row>
    <row r="685" spans="37:55" x14ac:dyDescent="0.25">
      <c r="AK685" s="83"/>
      <c r="AL685" s="186"/>
      <c r="AM685" s="29"/>
      <c r="AN685" s="29"/>
      <c r="AO685" s="29"/>
      <c r="AP685" s="29"/>
      <c r="AQ685" s="29"/>
      <c r="AR685" s="29"/>
      <c r="AS685" s="5"/>
      <c r="AT685" s="5"/>
      <c r="AU685" s="5"/>
      <c r="AV685" s="5"/>
      <c r="AW685" s="5"/>
      <c r="AX685" s="5"/>
      <c r="AY685" s="214"/>
      <c r="AZ685" s="83"/>
      <c r="BA685" s="83"/>
      <c r="BB685" s="83"/>
      <c r="BC685" s="5"/>
    </row>
    <row r="686" spans="37:55" x14ac:dyDescent="0.25">
      <c r="AK686" s="83"/>
      <c r="AL686" s="186"/>
      <c r="AM686" s="29"/>
      <c r="AN686" s="29"/>
      <c r="AO686" s="29"/>
      <c r="AP686" s="29"/>
      <c r="AQ686" s="29"/>
      <c r="AR686" s="29"/>
      <c r="AS686" s="5"/>
      <c r="AT686" s="5"/>
      <c r="AU686" s="5"/>
      <c r="AV686" s="5"/>
      <c r="AW686" s="5"/>
      <c r="AX686" s="5"/>
      <c r="AY686" s="214"/>
      <c r="AZ686" s="83"/>
      <c r="BA686" s="83"/>
      <c r="BB686" s="83"/>
      <c r="BC686" s="5"/>
    </row>
    <row r="687" spans="37:55" x14ac:dyDescent="0.25">
      <c r="AK687" s="83"/>
      <c r="AL687" s="186"/>
      <c r="AM687" s="29"/>
      <c r="AN687" s="29"/>
      <c r="AO687" s="29"/>
      <c r="AP687" s="29"/>
      <c r="AQ687" s="29"/>
      <c r="AR687" s="29"/>
      <c r="AS687" s="5"/>
      <c r="AT687" s="5"/>
      <c r="AU687" s="5"/>
      <c r="AV687" s="5"/>
      <c r="AW687" s="5"/>
      <c r="AX687" s="5"/>
      <c r="AY687" s="214"/>
      <c r="AZ687" s="83"/>
      <c r="BA687" s="83"/>
      <c r="BB687" s="83"/>
      <c r="BC687" s="5"/>
    </row>
    <row r="688" spans="37:55" x14ac:dyDescent="0.25">
      <c r="AK688" s="83"/>
      <c r="AL688" s="186"/>
      <c r="AM688" s="29"/>
      <c r="AN688" s="29"/>
      <c r="AO688" s="29"/>
      <c r="AP688" s="29"/>
      <c r="AQ688" s="29"/>
      <c r="AR688" s="29"/>
      <c r="AS688" s="5"/>
      <c r="AT688" s="5"/>
      <c r="AU688" s="5"/>
      <c r="AV688" s="5"/>
      <c r="AW688" s="5"/>
      <c r="AX688" s="5"/>
      <c r="AY688" s="214"/>
      <c r="AZ688" s="83"/>
      <c r="BA688" s="83"/>
      <c r="BB688" s="83"/>
      <c r="BC688" s="5"/>
    </row>
    <row r="689" spans="37:55" x14ac:dyDescent="0.25">
      <c r="AK689" s="83"/>
      <c r="AL689" s="186"/>
      <c r="AM689" s="29"/>
      <c r="AN689" s="29"/>
      <c r="AO689" s="29"/>
      <c r="AP689" s="29"/>
      <c r="AQ689" s="29"/>
      <c r="AR689" s="29"/>
      <c r="AS689" s="5"/>
      <c r="AT689" s="5"/>
      <c r="AU689" s="5"/>
      <c r="AV689" s="5"/>
      <c r="AW689" s="5"/>
      <c r="AX689" s="5"/>
      <c r="AY689" s="214"/>
      <c r="AZ689" s="83"/>
      <c r="BA689" s="83"/>
      <c r="BB689" s="83"/>
      <c r="BC689" s="5"/>
    </row>
    <row r="690" spans="37:55" x14ac:dyDescent="0.25">
      <c r="AK690" s="83"/>
      <c r="AL690" s="186"/>
      <c r="AM690" s="29"/>
      <c r="AN690" s="29"/>
      <c r="AO690" s="29"/>
      <c r="AP690" s="29"/>
      <c r="AQ690" s="29"/>
      <c r="AR690" s="29"/>
      <c r="AS690" s="5"/>
      <c r="AT690" s="5"/>
      <c r="AU690" s="5"/>
      <c r="AV690" s="5"/>
      <c r="AW690" s="5"/>
      <c r="AX690" s="5"/>
      <c r="AY690" s="214"/>
      <c r="AZ690" s="83"/>
      <c r="BA690" s="83"/>
      <c r="BB690" s="83"/>
      <c r="BC690" s="5"/>
    </row>
    <row r="691" spans="37:55" x14ac:dyDescent="0.25">
      <c r="AK691" s="83"/>
      <c r="AL691" s="186"/>
      <c r="AM691" s="29"/>
      <c r="AN691" s="29"/>
      <c r="AO691" s="29"/>
      <c r="AP691" s="29"/>
      <c r="AQ691" s="29"/>
      <c r="AR691" s="29"/>
      <c r="AS691" s="5"/>
      <c r="AT691" s="5"/>
      <c r="AU691" s="5"/>
      <c r="AV691" s="5"/>
      <c r="AW691" s="5"/>
      <c r="AX691" s="5"/>
      <c r="AY691" s="214"/>
      <c r="AZ691" s="83"/>
      <c r="BA691" s="83"/>
      <c r="BB691" s="83"/>
      <c r="BC691" s="5"/>
    </row>
    <row r="692" spans="37:55" x14ac:dyDescent="0.25">
      <c r="AK692" s="83"/>
      <c r="AL692" s="186"/>
      <c r="AM692" s="29"/>
      <c r="AN692" s="29"/>
      <c r="AO692" s="29"/>
      <c r="AP692" s="29"/>
      <c r="AQ692" s="29"/>
      <c r="AR692" s="29"/>
      <c r="AS692" s="5"/>
      <c r="AT692" s="5"/>
      <c r="AU692" s="5"/>
      <c r="AV692" s="5"/>
      <c r="AW692" s="5"/>
      <c r="AX692" s="5"/>
      <c r="AY692" s="214"/>
      <c r="AZ692" s="83"/>
      <c r="BA692" s="83"/>
      <c r="BB692" s="83"/>
      <c r="BC692" s="5"/>
    </row>
    <row r="693" spans="37:55" x14ac:dyDescent="0.25">
      <c r="AK693" s="83"/>
      <c r="AL693" s="186"/>
      <c r="AM693" s="29"/>
      <c r="AN693" s="29"/>
      <c r="AO693" s="29"/>
      <c r="AP693" s="29"/>
      <c r="AQ693" s="29"/>
      <c r="AR693" s="29"/>
      <c r="AS693" s="5"/>
      <c r="AT693" s="5"/>
      <c r="AU693" s="5"/>
      <c r="AV693" s="5"/>
      <c r="AW693" s="5"/>
      <c r="AX693" s="5"/>
      <c r="AY693" s="214"/>
      <c r="AZ693" s="83"/>
      <c r="BA693" s="83"/>
      <c r="BB693" s="83"/>
      <c r="BC693" s="5"/>
    </row>
    <row r="694" spans="37:55" x14ac:dyDescent="0.25">
      <c r="AK694" s="83"/>
      <c r="AL694" s="186"/>
      <c r="AM694" s="29"/>
      <c r="AN694" s="29"/>
      <c r="AO694" s="29"/>
      <c r="AP694" s="29"/>
      <c r="AQ694" s="29"/>
      <c r="AR694" s="29"/>
      <c r="AS694" s="5"/>
      <c r="AT694" s="5"/>
      <c r="AU694" s="5"/>
      <c r="AV694" s="5"/>
      <c r="AW694" s="5"/>
      <c r="AX694" s="5"/>
      <c r="AY694" s="214"/>
      <c r="AZ694" s="83"/>
      <c r="BA694" s="83"/>
      <c r="BB694" s="83"/>
      <c r="BC694" s="5"/>
    </row>
    <row r="695" spans="37:55" x14ac:dyDescent="0.25">
      <c r="AK695" s="83"/>
      <c r="AL695" s="186"/>
      <c r="AM695" s="29"/>
      <c r="AN695" s="29"/>
      <c r="AO695" s="29"/>
      <c r="AP695" s="29"/>
      <c r="AQ695" s="29"/>
      <c r="AR695" s="29"/>
      <c r="AS695" s="5"/>
      <c r="AT695" s="5"/>
      <c r="AU695" s="5"/>
      <c r="AV695" s="5"/>
      <c r="AW695" s="5"/>
      <c r="AX695" s="5"/>
      <c r="AY695" s="214"/>
      <c r="AZ695" s="83"/>
      <c r="BA695" s="83"/>
      <c r="BB695" s="83"/>
      <c r="BC695" s="5"/>
    </row>
    <row r="696" spans="37:55" x14ac:dyDescent="0.25">
      <c r="AK696" s="83"/>
      <c r="AL696" s="186"/>
      <c r="AM696" s="29"/>
      <c r="AN696" s="29"/>
      <c r="AO696" s="29"/>
      <c r="AP696" s="29"/>
      <c r="AQ696" s="29"/>
      <c r="AR696" s="29"/>
      <c r="AS696" s="5"/>
      <c r="AT696" s="5"/>
      <c r="AU696" s="5"/>
      <c r="AV696" s="5"/>
      <c r="AW696" s="5"/>
      <c r="AX696" s="5"/>
      <c r="AY696" s="214"/>
      <c r="AZ696" s="83"/>
      <c r="BA696" s="83"/>
      <c r="BB696" s="83"/>
      <c r="BC696" s="5"/>
    </row>
    <row r="697" spans="37:55" x14ac:dyDescent="0.25">
      <c r="AK697" s="83"/>
      <c r="AL697" s="186"/>
      <c r="AM697" s="29"/>
      <c r="AN697" s="29"/>
      <c r="AO697" s="29"/>
      <c r="AP697" s="29"/>
      <c r="AQ697" s="29"/>
      <c r="AR697" s="29"/>
      <c r="AS697" s="5"/>
      <c r="AT697" s="5"/>
      <c r="AU697" s="5"/>
      <c r="AV697" s="5"/>
      <c r="AW697" s="5"/>
      <c r="AX697" s="5"/>
      <c r="AY697" s="214"/>
      <c r="AZ697" s="83"/>
      <c r="BA697" s="83"/>
      <c r="BB697" s="83"/>
      <c r="BC697" s="5"/>
    </row>
    <row r="698" spans="37:55" x14ac:dyDescent="0.25">
      <c r="AK698" s="83"/>
      <c r="AL698" s="186"/>
      <c r="AM698" s="29"/>
      <c r="AN698" s="29"/>
      <c r="AO698" s="29"/>
      <c r="AP698" s="29"/>
      <c r="AQ698" s="29"/>
      <c r="AR698" s="29"/>
      <c r="AS698" s="5"/>
      <c r="AT698" s="5"/>
      <c r="AU698" s="5"/>
      <c r="AV698" s="5"/>
      <c r="AW698" s="5"/>
      <c r="AX698" s="5"/>
      <c r="AY698" s="214"/>
      <c r="AZ698" s="83"/>
      <c r="BA698" s="83"/>
      <c r="BB698" s="83"/>
      <c r="BC698" s="5"/>
    </row>
    <row r="699" spans="37:55" x14ac:dyDescent="0.25">
      <c r="AK699" s="83"/>
      <c r="AL699" s="186"/>
      <c r="AM699" s="29"/>
      <c r="AN699" s="29"/>
      <c r="AO699" s="29"/>
      <c r="AP699" s="29"/>
      <c r="AQ699" s="29"/>
      <c r="AR699" s="29"/>
      <c r="AS699" s="5"/>
      <c r="AT699" s="5"/>
      <c r="AU699" s="5"/>
      <c r="AV699" s="5"/>
      <c r="AW699" s="5"/>
      <c r="AX699" s="5"/>
      <c r="AY699" s="214"/>
      <c r="AZ699" s="83"/>
      <c r="BA699" s="83"/>
      <c r="BB699" s="83"/>
      <c r="BC699" s="5"/>
    </row>
    <row r="700" spans="37:55" x14ac:dyDescent="0.25">
      <c r="AK700" s="83"/>
      <c r="AL700" s="186"/>
      <c r="AM700" s="29"/>
      <c r="AN700" s="29"/>
      <c r="AO700" s="29"/>
      <c r="AP700" s="29"/>
      <c r="AQ700" s="29"/>
      <c r="AR700" s="29"/>
      <c r="AS700" s="5"/>
      <c r="AT700" s="5"/>
      <c r="AU700" s="5"/>
      <c r="AV700" s="5"/>
      <c r="AW700" s="5"/>
      <c r="AX700" s="5"/>
      <c r="AY700" s="214"/>
      <c r="AZ700" s="83"/>
      <c r="BA700" s="83"/>
      <c r="BB700" s="83"/>
      <c r="BC700" s="5"/>
    </row>
    <row r="701" spans="37:55" x14ac:dyDescent="0.25">
      <c r="AK701" s="83"/>
      <c r="AL701" s="186"/>
      <c r="AM701" s="29"/>
      <c r="AN701" s="29"/>
      <c r="AO701" s="29"/>
      <c r="AP701" s="29"/>
      <c r="AQ701" s="29"/>
      <c r="AR701" s="29"/>
      <c r="AS701" s="5"/>
      <c r="AT701" s="5"/>
      <c r="AU701" s="5"/>
      <c r="AV701" s="5"/>
      <c r="AW701" s="5"/>
      <c r="AX701" s="5"/>
      <c r="AY701" s="214"/>
      <c r="AZ701" s="83"/>
      <c r="BA701" s="83"/>
      <c r="BB701" s="83"/>
      <c r="BC701" s="5"/>
    </row>
    <row r="702" spans="37:55" x14ac:dyDescent="0.25">
      <c r="AK702" s="83"/>
      <c r="AL702" s="186"/>
      <c r="AM702" s="29"/>
      <c r="AN702" s="29"/>
      <c r="AO702" s="29"/>
      <c r="AP702" s="29"/>
      <c r="AQ702" s="29"/>
      <c r="AR702" s="29"/>
      <c r="AS702" s="5"/>
      <c r="AT702" s="5"/>
      <c r="AU702" s="5"/>
      <c r="AV702" s="5"/>
      <c r="AW702" s="5"/>
      <c r="AX702" s="5"/>
      <c r="AY702" s="214"/>
      <c r="AZ702" s="83"/>
      <c r="BA702" s="83"/>
      <c r="BB702" s="83"/>
      <c r="BC702" s="5"/>
    </row>
    <row r="703" spans="37:55" x14ac:dyDescent="0.25">
      <c r="AK703" s="83"/>
      <c r="AL703" s="186"/>
      <c r="AM703" s="29"/>
      <c r="AN703" s="29"/>
      <c r="AO703" s="29"/>
      <c r="AP703" s="29"/>
      <c r="AQ703" s="29"/>
      <c r="AR703" s="29"/>
      <c r="AS703" s="5"/>
      <c r="AT703" s="5"/>
      <c r="AU703" s="5"/>
      <c r="AV703" s="5"/>
      <c r="AW703" s="5"/>
      <c r="AX703" s="5"/>
      <c r="AY703" s="214"/>
      <c r="AZ703" s="83"/>
      <c r="BA703" s="83"/>
      <c r="BB703" s="83"/>
      <c r="BC703" s="5"/>
    </row>
    <row r="704" spans="37:55" x14ac:dyDescent="0.25">
      <c r="AK704" s="83"/>
      <c r="AL704" s="186"/>
      <c r="AM704" s="29"/>
      <c r="AN704" s="29"/>
      <c r="AO704" s="29"/>
      <c r="AP704" s="29"/>
      <c r="AQ704" s="29"/>
      <c r="AR704" s="29"/>
      <c r="AS704" s="5"/>
      <c r="AT704" s="5"/>
      <c r="AU704" s="5"/>
      <c r="AV704" s="5"/>
      <c r="AW704" s="5"/>
      <c r="AX704" s="5"/>
      <c r="AY704" s="214"/>
      <c r="AZ704" s="83"/>
      <c r="BA704" s="83"/>
      <c r="BB704" s="83"/>
      <c r="BC704" s="5"/>
    </row>
    <row r="705" spans="37:55" x14ac:dyDescent="0.25">
      <c r="AK705" s="83"/>
      <c r="AL705" s="186"/>
      <c r="AM705" s="29"/>
      <c r="AN705" s="29"/>
      <c r="AO705" s="29"/>
      <c r="AP705" s="29"/>
      <c r="AQ705" s="29"/>
      <c r="AR705" s="29"/>
      <c r="AS705" s="5"/>
      <c r="AT705" s="5"/>
      <c r="AU705" s="5"/>
      <c r="AV705" s="5"/>
      <c r="AW705" s="5"/>
      <c r="AX705" s="5"/>
      <c r="AY705" s="214"/>
      <c r="AZ705" s="83"/>
      <c r="BA705" s="83"/>
      <c r="BB705" s="83"/>
      <c r="BC705" s="5"/>
    </row>
    <row r="706" spans="37:55" x14ac:dyDescent="0.25">
      <c r="AK706" s="83"/>
      <c r="AL706" s="186"/>
      <c r="AM706" s="29"/>
      <c r="AN706" s="29"/>
      <c r="AO706" s="29"/>
      <c r="AP706" s="29"/>
      <c r="AQ706" s="29"/>
      <c r="AR706" s="29"/>
      <c r="AS706" s="5"/>
      <c r="AT706" s="5"/>
      <c r="AU706" s="5"/>
      <c r="AV706" s="5"/>
      <c r="AW706" s="5"/>
      <c r="AX706" s="5"/>
      <c r="AY706" s="214"/>
      <c r="AZ706" s="83"/>
      <c r="BA706" s="83"/>
      <c r="BB706" s="83"/>
      <c r="BC706" s="5"/>
    </row>
    <row r="707" spans="37:55" x14ac:dyDescent="0.25">
      <c r="AK707" s="83"/>
      <c r="AL707" s="186"/>
      <c r="AM707" s="29"/>
      <c r="AN707" s="29"/>
      <c r="AO707" s="29"/>
      <c r="AP707" s="29"/>
      <c r="AQ707" s="29"/>
      <c r="AR707" s="29"/>
      <c r="AS707" s="5"/>
      <c r="AT707" s="5"/>
      <c r="AU707" s="5"/>
      <c r="AV707" s="5"/>
      <c r="AW707" s="5"/>
      <c r="AX707" s="5"/>
      <c r="AY707" s="214"/>
      <c r="AZ707" s="83"/>
      <c r="BA707" s="83"/>
      <c r="BB707" s="83"/>
      <c r="BC707" s="5"/>
    </row>
    <row r="708" spans="37:55" x14ac:dyDescent="0.25">
      <c r="AK708" s="83"/>
      <c r="AL708" s="186"/>
      <c r="AM708" s="29"/>
      <c r="AN708" s="29"/>
      <c r="AO708" s="29"/>
      <c r="AP708" s="29"/>
      <c r="AQ708" s="29"/>
      <c r="AR708" s="29"/>
      <c r="AS708" s="5"/>
      <c r="AT708" s="5"/>
      <c r="AU708" s="5"/>
      <c r="AV708" s="5"/>
      <c r="AW708" s="5"/>
      <c r="AX708" s="5"/>
      <c r="AY708" s="214"/>
      <c r="AZ708" s="83"/>
      <c r="BA708" s="83"/>
      <c r="BB708" s="83"/>
      <c r="BC708" s="5"/>
    </row>
    <row r="709" spans="37:55" x14ac:dyDescent="0.25">
      <c r="AK709" s="83"/>
      <c r="AL709" s="186"/>
      <c r="AM709" s="29"/>
      <c r="AN709" s="29"/>
      <c r="AO709" s="29"/>
      <c r="AP709" s="29"/>
      <c r="AQ709" s="29"/>
      <c r="AR709" s="29"/>
      <c r="AS709" s="5"/>
      <c r="AT709" s="5"/>
      <c r="AU709" s="5"/>
      <c r="AV709" s="5"/>
      <c r="AW709" s="5"/>
      <c r="AX709" s="5"/>
      <c r="AY709" s="214"/>
      <c r="AZ709" s="83"/>
      <c r="BA709" s="83"/>
      <c r="BB709" s="83"/>
      <c r="BC709" s="5"/>
    </row>
    <row r="710" spans="37:55" x14ac:dyDescent="0.25">
      <c r="AK710" s="83"/>
      <c r="AL710" s="186"/>
      <c r="AM710" s="29"/>
      <c r="AN710" s="29"/>
      <c r="AO710" s="29"/>
      <c r="AP710" s="29"/>
      <c r="AQ710" s="29"/>
      <c r="AR710" s="29"/>
      <c r="AS710" s="5"/>
      <c r="AT710" s="5"/>
      <c r="AU710" s="5"/>
      <c r="AV710" s="5"/>
      <c r="AW710" s="5"/>
      <c r="AX710" s="5"/>
      <c r="AY710" s="214"/>
      <c r="AZ710" s="83"/>
      <c r="BA710" s="83"/>
      <c r="BB710" s="83"/>
      <c r="BC710" s="5"/>
    </row>
    <row r="711" spans="37:55" x14ac:dyDescent="0.25">
      <c r="AK711" s="83"/>
      <c r="AL711" s="186"/>
      <c r="AM711" s="29"/>
      <c r="AN711" s="29"/>
      <c r="AO711" s="29"/>
      <c r="AP711" s="29"/>
      <c r="AQ711" s="29"/>
      <c r="AR711" s="29"/>
      <c r="AS711" s="5"/>
      <c r="AT711" s="5"/>
      <c r="AU711" s="5"/>
      <c r="AV711" s="5"/>
      <c r="AW711" s="5"/>
      <c r="AX711" s="5"/>
      <c r="AY711" s="214"/>
      <c r="AZ711" s="83"/>
      <c r="BA711" s="83"/>
      <c r="BB711" s="83"/>
      <c r="BC711" s="5"/>
    </row>
    <row r="712" spans="37:55" x14ac:dyDescent="0.25">
      <c r="AK712" s="83"/>
      <c r="AL712" s="186"/>
      <c r="AM712" s="29"/>
      <c r="AN712" s="29"/>
      <c r="AO712" s="29"/>
      <c r="AP712" s="29"/>
      <c r="AQ712" s="29"/>
      <c r="AR712" s="29"/>
      <c r="AS712" s="5"/>
      <c r="AT712" s="5"/>
      <c r="AU712" s="5"/>
      <c r="AV712" s="5"/>
      <c r="AW712" s="5"/>
      <c r="AX712" s="5"/>
      <c r="AY712" s="214"/>
      <c r="AZ712" s="83"/>
      <c r="BA712" s="83"/>
      <c r="BB712" s="83"/>
      <c r="BC712" s="5"/>
    </row>
    <row r="713" spans="37:55" x14ac:dyDescent="0.25">
      <c r="AK713" s="83"/>
      <c r="AL713" s="186"/>
      <c r="AM713" s="29"/>
      <c r="AN713" s="29"/>
      <c r="AO713" s="29"/>
      <c r="AP713" s="29"/>
      <c r="AQ713" s="29"/>
      <c r="AR713" s="29"/>
      <c r="AS713" s="5"/>
      <c r="AT713" s="5"/>
      <c r="AU713" s="5"/>
      <c r="AV713" s="5"/>
      <c r="AW713" s="5"/>
      <c r="AX713" s="5"/>
      <c r="AY713" s="214"/>
      <c r="AZ713" s="83"/>
      <c r="BA713" s="83"/>
      <c r="BB713" s="83"/>
      <c r="BC713" s="5"/>
    </row>
    <row r="714" spans="37:55" x14ac:dyDescent="0.25">
      <c r="AK714" s="83"/>
      <c r="AL714" s="186"/>
      <c r="AM714" s="29"/>
      <c r="AN714" s="29"/>
      <c r="AO714" s="29"/>
      <c r="AP714" s="29"/>
      <c r="AQ714" s="29"/>
      <c r="AR714" s="29"/>
      <c r="AS714" s="5"/>
      <c r="AT714" s="5"/>
      <c r="AU714" s="5"/>
      <c r="AV714" s="5"/>
      <c r="AW714" s="5"/>
      <c r="AX714" s="5"/>
      <c r="AY714" s="214"/>
      <c r="AZ714" s="83"/>
      <c r="BA714" s="83"/>
      <c r="BB714" s="83"/>
      <c r="BC714" s="5"/>
    </row>
    <row r="715" spans="37:55" x14ac:dyDescent="0.25">
      <c r="AK715" s="83"/>
      <c r="AL715" s="186"/>
      <c r="AM715" s="29"/>
      <c r="AN715" s="29"/>
      <c r="AO715" s="29"/>
      <c r="AP715" s="29"/>
      <c r="AQ715" s="29"/>
      <c r="AR715" s="29"/>
      <c r="AS715" s="5"/>
      <c r="AT715" s="5"/>
      <c r="AU715" s="5"/>
      <c r="AV715" s="5"/>
      <c r="AW715" s="5"/>
      <c r="AX715" s="5"/>
      <c r="AY715" s="214"/>
      <c r="AZ715" s="83"/>
      <c r="BA715" s="83"/>
      <c r="BB715" s="83"/>
      <c r="BC715" s="5"/>
    </row>
    <row r="716" spans="37:55" x14ac:dyDescent="0.25">
      <c r="AK716" s="83"/>
      <c r="AL716" s="186"/>
      <c r="AM716" s="29"/>
      <c r="AN716" s="29"/>
      <c r="AO716" s="29"/>
      <c r="AP716" s="29"/>
      <c r="AQ716" s="29"/>
      <c r="AR716" s="29"/>
      <c r="AS716" s="5"/>
      <c r="AT716" s="5"/>
      <c r="AU716" s="5"/>
      <c r="AV716" s="5"/>
      <c r="AW716" s="5"/>
      <c r="AX716" s="5"/>
      <c r="AY716" s="214"/>
      <c r="AZ716" s="83"/>
      <c r="BA716" s="83"/>
      <c r="BB716" s="83"/>
      <c r="BC716" s="5"/>
    </row>
    <row r="717" spans="37:55" x14ac:dyDescent="0.25">
      <c r="AK717" s="83"/>
      <c r="AL717" s="186"/>
      <c r="AM717" s="29"/>
      <c r="AN717" s="29"/>
      <c r="AO717" s="29"/>
      <c r="AP717" s="29"/>
      <c r="AQ717" s="29"/>
      <c r="AR717" s="29"/>
      <c r="AS717" s="5"/>
      <c r="AT717" s="5"/>
      <c r="AU717" s="5"/>
      <c r="AV717" s="5"/>
      <c r="AW717" s="5"/>
      <c r="AX717" s="5"/>
      <c r="AY717" s="214"/>
      <c r="AZ717" s="83"/>
      <c r="BA717" s="83"/>
      <c r="BB717" s="83"/>
      <c r="BC717" s="5"/>
    </row>
    <row r="718" spans="37:55" x14ac:dyDescent="0.25">
      <c r="AK718" s="83"/>
      <c r="AL718" s="186"/>
      <c r="AM718" s="29"/>
      <c r="AN718" s="29"/>
      <c r="AO718" s="29"/>
      <c r="AP718" s="29"/>
      <c r="AQ718" s="29"/>
      <c r="AR718" s="29"/>
      <c r="AS718" s="5"/>
      <c r="AT718" s="5"/>
      <c r="AU718" s="5"/>
      <c r="AV718" s="5"/>
      <c r="AW718" s="5"/>
      <c r="AX718" s="5"/>
      <c r="AY718" s="214"/>
      <c r="AZ718" s="83"/>
      <c r="BA718" s="83"/>
      <c r="BB718" s="83"/>
      <c r="BC718" s="5"/>
    </row>
    <row r="719" spans="37:55" x14ac:dyDescent="0.25">
      <c r="AK719" s="83"/>
      <c r="AL719" s="186"/>
      <c r="AM719" s="29"/>
      <c r="AN719" s="29"/>
      <c r="AO719" s="29"/>
      <c r="AP719" s="29"/>
      <c r="AQ719" s="29"/>
      <c r="AR719" s="29"/>
      <c r="AS719" s="5"/>
      <c r="AT719" s="5"/>
      <c r="AU719" s="5"/>
      <c r="AV719" s="5"/>
      <c r="AW719" s="5"/>
      <c r="AX719" s="5"/>
      <c r="AY719" s="214"/>
      <c r="AZ719" s="83"/>
      <c r="BA719" s="83"/>
      <c r="BB719" s="83"/>
      <c r="BC719" s="5"/>
    </row>
    <row r="720" spans="37:55" x14ac:dyDescent="0.25">
      <c r="AK720" s="83"/>
      <c r="AL720" s="186"/>
      <c r="AM720" s="29"/>
      <c r="AN720" s="29"/>
      <c r="AO720" s="29"/>
      <c r="AP720" s="29"/>
      <c r="AQ720" s="29"/>
      <c r="AR720" s="29"/>
      <c r="AS720" s="5"/>
      <c r="AT720" s="5"/>
      <c r="AU720" s="5"/>
      <c r="AV720" s="5"/>
      <c r="AW720" s="5"/>
      <c r="AX720" s="5"/>
      <c r="AY720" s="214"/>
      <c r="AZ720" s="83"/>
      <c r="BA720" s="83"/>
      <c r="BB720" s="83"/>
      <c r="BC720" s="5"/>
    </row>
    <row r="721" spans="37:55" x14ac:dyDescent="0.25">
      <c r="AK721" s="83"/>
      <c r="AL721" s="186"/>
      <c r="AM721" s="29"/>
      <c r="AN721" s="29"/>
      <c r="AO721" s="29"/>
      <c r="AP721" s="29"/>
      <c r="AQ721" s="29"/>
      <c r="AR721" s="29"/>
      <c r="AS721" s="5"/>
      <c r="AT721" s="5"/>
      <c r="AU721" s="5"/>
      <c r="AV721" s="5"/>
      <c r="AW721" s="5"/>
      <c r="AX721" s="5"/>
      <c r="AY721" s="214"/>
      <c r="AZ721" s="83"/>
      <c r="BA721" s="83"/>
      <c r="BB721" s="83"/>
      <c r="BC721" s="5"/>
    </row>
    <row r="722" spans="37:55" x14ac:dyDescent="0.25">
      <c r="AK722" s="83"/>
      <c r="AL722" s="186"/>
      <c r="AM722" s="29"/>
      <c r="AN722" s="29"/>
      <c r="AO722" s="29"/>
      <c r="AP722" s="29"/>
      <c r="AQ722" s="29"/>
      <c r="AR722" s="29"/>
      <c r="AS722" s="5"/>
      <c r="AT722" s="5"/>
      <c r="AU722" s="5"/>
      <c r="AV722" s="5"/>
      <c r="AW722" s="5"/>
      <c r="AX722" s="5"/>
      <c r="AY722" s="214"/>
      <c r="AZ722" s="83"/>
      <c r="BA722" s="83"/>
      <c r="BB722" s="83"/>
      <c r="BC722" s="5"/>
    </row>
    <row r="723" spans="37:55" x14ac:dyDescent="0.25">
      <c r="AK723" s="83"/>
      <c r="AL723" s="186"/>
      <c r="AM723" s="29"/>
      <c r="AN723" s="29"/>
      <c r="AO723" s="29"/>
      <c r="AP723" s="29"/>
      <c r="AQ723" s="29"/>
      <c r="AR723" s="29"/>
      <c r="AS723" s="5"/>
      <c r="AT723" s="5"/>
      <c r="AU723" s="5"/>
      <c r="AV723" s="5"/>
      <c r="AW723" s="5"/>
      <c r="AX723" s="5"/>
      <c r="AY723" s="214"/>
      <c r="AZ723" s="83"/>
      <c r="BA723" s="83"/>
      <c r="BB723" s="83"/>
      <c r="BC723" s="5"/>
    </row>
    <row r="724" spans="37:55" x14ac:dyDescent="0.25">
      <c r="AK724" s="83"/>
      <c r="AL724" s="186"/>
      <c r="AM724" s="29"/>
      <c r="AN724" s="29"/>
      <c r="AO724" s="29"/>
      <c r="AP724" s="29"/>
      <c r="AQ724" s="29"/>
      <c r="AR724" s="29"/>
      <c r="AS724" s="5"/>
      <c r="AT724" s="5"/>
      <c r="AU724" s="5"/>
      <c r="AV724" s="5"/>
      <c r="AW724" s="5"/>
      <c r="AX724" s="5"/>
      <c r="AY724" s="214"/>
      <c r="AZ724" s="83"/>
      <c r="BA724" s="83"/>
      <c r="BB724" s="83"/>
      <c r="BC724" s="5"/>
    </row>
    <row r="725" spans="37:55" x14ac:dyDescent="0.25">
      <c r="AK725" s="83"/>
      <c r="AL725" s="186"/>
      <c r="AM725" s="29"/>
      <c r="AN725" s="29"/>
      <c r="AO725" s="29"/>
      <c r="AP725" s="29"/>
      <c r="AQ725" s="29"/>
      <c r="AR725" s="29"/>
      <c r="AS725" s="5"/>
      <c r="AT725" s="5"/>
      <c r="AU725" s="5"/>
      <c r="AV725" s="5"/>
      <c r="AW725" s="5"/>
      <c r="AX725" s="5"/>
      <c r="AY725" s="214"/>
      <c r="AZ725" s="83"/>
      <c r="BA725" s="83"/>
      <c r="BB725" s="83"/>
      <c r="BC725" s="5"/>
    </row>
    <row r="726" spans="37:55" x14ac:dyDescent="0.25">
      <c r="AK726" s="83"/>
      <c r="AL726" s="186"/>
      <c r="AM726" s="29"/>
      <c r="AN726" s="29"/>
      <c r="AO726" s="29"/>
      <c r="AP726" s="29"/>
      <c r="AQ726" s="29"/>
      <c r="AR726" s="29"/>
      <c r="AS726" s="5"/>
      <c r="AT726" s="5"/>
      <c r="AU726" s="5"/>
      <c r="AV726" s="5"/>
      <c r="AW726" s="5"/>
      <c r="AX726" s="5"/>
      <c r="AY726" s="214"/>
      <c r="AZ726" s="83"/>
      <c r="BA726" s="83"/>
      <c r="BB726" s="83"/>
      <c r="BC726" s="5"/>
    </row>
    <row r="727" spans="37:55" x14ac:dyDescent="0.25">
      <c r="AK727" s="83"/>
      <c r="AL727" s="186"/>
      <c r="AM727" s="29"/>
      <c r="AN727" s="29"/>
      <c r="AO727" s="29"/>
      <c r="AP727" s="29"/>
      <c r="AQ727" s="29"/>
      <c r="AR727" s="29"/>
      <c r="AS727" s="5"/>
      <c r="AT727" s="5"/>
      <c r="AU727" s="5"/>
      <c r="AV727" s="5"/>
      <c r="AW727" s="5"/>
      <c r="AX727" s="5"/>
      <c r="AY727" s="214"/>
      <c r="AZ727" s="83"/>
      <c r="BA727" s="83"/>
      <c r="BB727" s="83"/>
      <c r="BC727" s="5"/>
    </row>
    <row r="728" spans="37:55" x14ac:dyDescent="0.25">
      <c r="AK728" s="83"/>
      <c r="AL728" s="186"/>
      <c r="AM728" s="29"/>
      <c r="AN728" s="29"/>
      <c r="AO728" s="29"/>
      <c r="AP728" s="29"/>
      <c r="AQ728" s="29"/>
      <c r="AR728" s="29"/>
      <c r="AS728" s="5"/>
      <c r="AT728" s="5"/>
      <c r="AU728" s="5"/>
      <c r="AV728" s="5"/>
      <c r="AW728" s="5"/>
      <c r="AX728" s="5"/>
      <c r="AY728" s="214"/>
      <c r="AZ728" s="83"/>
      <c r="BA728" s="83"/>
      <c r="BB728" s="83"/>
      <c r="BC728" s="5"/>
    </row>
    <row r="729" spans="37:55" x14ac:dyDescent="0.25">
      <c r="AK729" s="83"/>
      <c r="AL729" s="186"/>
      <c r="AM729" s="29"/>
      <c r="AN729" s="29"/>
      <c r="AO729" s="29"/>
      <c r="AP729" s="29"/>
      <c r="AQ729" s="29"/>
      <c r="AR729" s="29"/>
      <c r="AS729" s="5"/>
      <c r="AT729" s="5"/>
      <c r="AU729" s="5"/>
      <c r="AV729" s="5"/>
      <c r="AW729" s="5"/>
      <c r="AX729" s="5"/>
      <c r="AY729" s="214"/>
      <c r="AZ729" s="83"/>
      <c r="BA729" s="83"/>
      <c r="BB729" s="83"/>
      <c r="BC729" s="5"/>
    </row>
    <row r="730" spans="37:55" x14ac:dyDescent="0.25">
      <c r="AK730" s="83"/>
      <c r="AL730" s="186"/>
      <c r="AM730" s="29"/>
      <c r="AN730" s="29"/>
      <c r="AO730" s="29"/>
      <c r="AP730" s="29"/>
      <c r="AQ730" s="29"/>
      <c r="AR730" s="29"/>
      <c r="AS730" s="5"/>
      <c r="AT730" s="5"/>
      <c r="AU730" s="5"/>
      <c r="AV730" s="5"/>
      <c r="AW730" s="5"/>
      <c r="AX730" s="5"/>
      <c r="AY730" s="214"/>
      <c r="AZ730" s="83"/>
      <c r="BA730" s="83"/>
      <c r="BB730" s="83"/>
      <c r="BC730" s="5"/>
    </row>
    <row r="731" spans="37:55" x14ac:dyDescent="0.25">
      <c r="AK731" s="83"/>
      <c r="AL731" s="186"/>
      <c r="AM731" s="29"/>
      <c r="AN731" s="29"/>
      <c r="AO731" s="29"/>
      <c r="AP731" s="29"/>
      <c r="AQ731" s="29"/>
      <c r="AR731" s="29"/>
      <c r="AS731" s="5"/>
      <c r="AT731" s="5"/>
      <c r="AU731" s="5"/>
      <c r="AV731" s="5"/>
      <c r="AW731" s="5"/>
      <c r="AX731" s="5"/>
      <c r="AY731" s="214"/>
      <c r="AZ731" s="83"/>
      <c r="BA731" s="83"/>
      <c r="BB731" s="83"/>
      <c r="BC731" s="5"/>
    </row>
    <row r="732" spans="37:55" x14ac:dyDescent="0.25">
      <c r="AK732" s="83"/>
      <c r="AL732" s="186"/>
      <c r="AM732" s="29"/>
      <c r="AN732" s="29"/>
      <c r="AO732" s="29"/>
      <c r="AP732" s="29"/>
      <c r="AQ732" s="29"/>
      <c r="AR732" s="29"/>
      <c r="AS732" s="5"/>
      <c r="AT732" s="5"/>
      <c r="AU732" s="5"/>
      <c r="AV732" s="5"/>
      <c r="AW732" s="5"/>
      <c r="AX732" s="5"/>
      <c r="AY732" s="214"/>
      <c r="AZ732" s="83"/>
      <c r="BA732" s="83"/>
      <c r="BB732" s="83"/>
      <c r="BC732" s="5"/>
    </row>
    <row r="733" spans="37:55" x14ac:dyDescent="0.25">
      <c r="AK733" s="83"/>
      <c r="AL733" s="186"/>
      <c r="AM733" s="29"/>
      <c r="AN733" s="29"/>
      <c r="AO733" s="29"/>
      <c r="AP733" s="29"/>
      <c r="AQ733" s="29"/>
      <c r="AR733" s="29"/>
      <c r="AS733" s="5"/>
      <c r="AT733" s="5"/>
      <c r="AU733" s="5"/>
      <c r="AV733" s="5"/>
      <c r="AW733" s="5"/>
      <c r="AX733" s="5"/>
      <c r="AY733" s="214"/>
      <c r="AZ733" s="83"/>
      <c r="BA733" s="83"/>
      <c r="BB733" s="83"/>
      <c r="BC733" s="5"/>
    </row>
    <row r="734" spans="37:55" x14ac:dyDescent="0.25">
      <c r="AK734" s="83"/>
      <c r="AL734" s="186"/>
      <c r="AM734" s="29"/>
      <c r="AN734" s="29"/>
      <c r="AO734" s="29"/>
      <c r="AP734" s="29"/>
      <c r="AQ734" s="29"/>
      <c r="AR734" s="29"/>
      <c r="AS734" s="5"/>
      <c r="AT734" s="5"/>
      <c r="AU734" s="5"/>
      <c r="AV734" s="5"/>
      <c r="AW734" s="5"/>
      <c r="AX734" s="5"/>
      <c r="AY734" s="214"/>
      <c r="AZ734" s="83"/>
      <c r="BA734" s="83"/>
      <c r="BB734" s="83"/>
      <c r="BC734" s="5"/>
    </row>
    <row r="735" spans="37:55" x14ac:dyDescent="0.25">
      <c r="AK735" s="83"/>
      <c r="AL735" s="186"/>
      <c r="AM735" s="29"/>
      <c r="AN735" s="29"/>
      <c r="AO735" s="29"/>
      <c r="AP735" s="29"/>
      <c r="AQ735" s="29"/>
      <c r="AR735" s="29"/>
      <c r="AS735" s="5"/>
      <c r="AT735" s="5"/>
      <c r="AU735" s="5"/>
      <c r="AV735" s="5"/>
      <c r="AW735" s="5"/>
      <c r="AX735" s="5"/>
      <c r="AY735" s="214"/>
      <c r="AZ735" s="83"/>
      <c r="BA735" s="83"/>
      <c r="BB735" s="83"/>
      <c r="BC735" s="5"/>
    </row>
    <row r="736" spans="37:55" x14ac:dyDescent="0.25">
      <c r="AK736" s="83"/>
      <c r="AL736" s="186"/>
      <c r="AM736" s="29"/>
      <c r="AN736" s="29"/>
      <c r="AO736" s="29"/>
      <c r="AP736" s="29"/>
      <c r="AQ736" s="29"/>
      <c r="AR736" s="29"/>
      <c r="AS736" s="5"/>
      <c r="AT736" s="5"/>
      <c r="AU736" s="5"/>
      <c r="AV736" s="5"/>
      <c r="AW736" s="5"/>
      <c r="AX736" s="5"/>
      <c r="AY736" s="214"/>
      <c r="AZ736" s="83"/>
      <c r="BA736" s="83"/>
      <c r="BB736" s="83"/>
      <c r="BC736" s="5"/>
    </row>
    <row r="737" spans="37:55" x14ac:dyDescent="0.25">
      <c r="AK737" s="83"/>
      <c r="AL737" s="186"/>
      <c r="AM737" s="29"/>
      <c r="AN737" s="29"/>
      <c r="AO737" s="29"/>
      <c r="AP737" s="29"/>
      <c r="AQ737" s="29"/>
      <c r="AR737" s="29"/>
      <c r="AS737" s="5"/>
      <c r="AT737" s="5"/>
      <c r="AU737" s="5"/>
      <c r="AV737" s="5"/>
      <c r="AW737" s="5"/>
      <c r="AX737" s="5"/>
      <c r="AY737" s="214"/>
      <c r="AZ737" s="83"/>
      <c r="BA737" s="83"/>
      <c r="BB737" s="83"/>
      <c r="BC737" s="5"/>
    </row>
    <row r="738" spans="37:55" x14ac:dyDescent="0.25">
      <c r="AK738" s="83"/>
      <c r="AL738" s="186"/>
      <c r="AM738" s="29"/>
      <c r="AN738" s="29"/>
      <c r="AO738" s="29"/>
      <c r="AP738" s="29"/>
      <c r="AQ738" s="29"/>
      <c r="AR738" s="29"/>
      <c r="AS738" s="5"/>
      <c r="AT738" s="5"/>
      <c r="AU738" s="5"/>
      <c r="AV738" s="5"/>
      <c r="AW738" s="5"/>
      <c r="AX738" s="5"/>
      <c r="AY738" s="214"/>
      <c r="AZ738" s="83"/>
      <c r="BA738" s="83"/>
      <c r="BB738" s="83"/>
      <c r="BC738" s="5"/>
    </row>
    <row r="739" spans="37:55" x14ac:dyDescent="0.25">
      <c r="AK739" s="83"/>
      <c r="AL739" s="186"/>
      <c r="AM739" s="29"/>
      <c r="AN739" s="29"/>
      <c r="AO739" s="29"/>
      <c r="AP739" s="29"/>
      <c r="AQ739" s="29"/>
      <c r="AR739" s="29"/>
      <c r="AS739" s="5"/>
      <c r="AT739" s="5"/>
      <c r="AU739" s="5"/>
      <c r="AV739" s="5"/>
      <c r="AW739" s="5"/>
      <c r="AX739" s="5"/>
      <c r="AY739" s="214"/>
      <c r="AZ739" s="83"/>
      <c r="BA739" s="83"/>
      <c r="BB739" s="83"/>
      <c r="BC739" s="5"/>
    </row>
    <row r="740" spans="37:55" x14ac:dyDescent="0.25">
      <c r="AK740" s="83"/>
      <c r="AL740" s="186"/>
      <c r="AM740" s="29"/>
      <c r="AN740" s="29"/>
      <c r="AO740" s="29"/>
      <c r="AP740" s="29"/>
      <c r="AQ740" s="29"/>
      <c r="AR740" s="29"/>
      <c r="AS740" s="5"/>
      <c r="AT740" s="5"/>
      <c r="AU740" s="5"/>
      <c r="AV740" s="5"/>
      <c r="AW740" s="5"/>
      <c r="AX740" s="5"/>
      <c r="AY740" s="214"/>
      <c r="AZ740" s="83"/>
      <c r="BA740" s="83"/>
      <c r="BB740" s="83"/>
      <c r="BC740" s="5"/>
    </row>
    <row r="741" spans="37:55" x14ac:dyDescent="0.25">
      <c r="AK741" s="83"/>
      <c r="AL741" s="186"/>
      <c r="AM741" s="29"/>
      <c r="AN741" s="29"/>
      <c r="AO741" s="29"/>
      <c r="AP741" s="29"/>
      <c r="AQ741" s="29"/>
      <c r="AR741" s="29"/>
      <c r="AS741" s="5"/>
      <c r="AT741" s="5"/>
      <c r="AU741" s="5"/>
      <c r="AV741" s="5"/>
      <c r="AW741" s="5"/>
      <c r="AX741" s="5"/>
      <c r="AY741" s="214"/>
      <c r="AZ741" s="83"/>
      <c r="BA741" s="83"/>
      <c r="BB741" s="83"/>
      <c r="BC741" s="5"/>
    </row>
    <row r="742" spans="37:55" x14ac:dyDescent="0.25">
      <c r="AK742" s="83"/>
      <c r="AL742" s="186"/>
      <c r="AM742" s="29"/>
      <c r="AN742" s="29"/>
      <c r="AO742" s="29"/>
      <c r="AP742" s="29"/>
      <c r="AQ742" s="29"/>
      <c r="AR742" s="29"/>
      <c r="AS742" s="5"/>
      <c r="AT742" s="5"/>
      <c r="AU742" s="5"/>
      <c r="AV742" s="5"/>
      <c r="AW742" s="5"/>
      <c r="AX742" s="5"/>
      <c r="AY742" s="214"/>
      <c r="AZ742" s="83"/>
      <c r="BA742" s="83"/>
      <c r="BB742" s="83"/>
      <c r="BC742" s="5"/>
    </row>
    <row r="743" spans="37:55" x14ac:dyDescent="0.25">
      <c r="AK743" s="83"/>
      <c r="AL743" s="186"/>
      <c r="AM743" s="29"/>
      <c r="AN743" s="29"/>
      <c r="AO743" s="29"/>
      <c r="AP743" s="29"/>
      <c r="AQ743" s="29"/>
      <c r="AR743" s="29"/>
      <c r="AS743" s="5"/>
      <c r="AT743" s="5"/>
      <c r="AU743" s="5"/>
      <c r="AV743" s="5"/>
      <c r="AW743" s="5"/>
      <c r="AX743" s="5"/>
      <c r="AY743" s="214"/>
      <c r="AZ743" s="83"/>
      <c r="BA743" s="83"/>
      <c r="BB743" s="83"/>
      <c r="BC743" s="5"/>
    </row>
    <row r="744" spans="37:55" x14ac:dyDescent="0.25">
      <c r="AK744" s="83"/>
      <c r="AL744" s="186"/>
      <c r="AM744" s="29"/>
      <c r="AN744" s="29"/>
      <c r="AO744" s="29"/>
      <c r="AP744" s="29"/>
      <c r="AQ744" s="29"/>
      <c r="AR744" s="29"/>
      <c r="AS744" s="5"/>
      <c r="AT744" s="5"/>
      <c r="AU744" s="5"/>
      <c r="AV744" s="5"/>
      <c r="AW744" s="5"/>
      <c r="AX744" s="5"/>
      <c r="AY744" s="214"/>
      <c r="AZ744" s="83"/>
      <c r="BA744" s="83"/>
      <c r="BB744" s="83"/>
      <c r="BC744" s="5"/>
    </row>
    <row r="745" spans="37:55" x14ac:dyDescent="0.25">
      <c r="AK745" s="83"/>
      <c r="AL745" s="186"/>
      <c r="AM745" s="29"/>
      <c r="AN745" s="29"/>
      <c r="AO745" s="29"/>
      <c r="AP745" s="29"/>
      <c r="AQ745" s="29"/>
      <c r="AR745" s="29"/>
      <c r="AS745" s="5"/>
      <c r="AT745" s="5"/>
      <c r="AU745" s="5"/>
      <c r="AV745" s="5"/>
      <c r="AW745" s="5"/>
      <c r="AX745" s="5"/>
      <c r="AY745" s="214"/>
      <c r="AZ745" s="83"/>
      <c r="BA745" s="83"/>
      <c r="BB745" s="83"/>
      <c r="BC745" s="5"/>
    </row>
    <row r="746" spans="37:55" x14ac:dyDescent="0.25">
      <c r="AK746" s="83"/>
      <c r="AL746" s="186"/>
      <c r="AM746" s="29"/>
      <c r="AN746" s="29"/>
      <c r="AO746" s="29"/>
      <c r="AP746" s="29"/>
      <c r="AQ746" s="29"/>
      <c r="AR746" s="29"/>
      <c r="AS746" s="5"/>
      <c r="AT746" s="5"/>
      <c r="AU746" s="5"/>
      <c r="AV746" s="5"/>
      <c r="AW746" s="5"/>
      <c r="AX746" s="5"/>
      <c r="AY746" s="214"/>
      <c r="AZ746" s="83"/>
      <c r="BA746" s="83"/>
      <c r="BB746" s="83"/>
      <c r="BC746" s="5"/>
    </row>
    <row r="747" spans="37:55" x14ac:dyDescent="0.25">
      <c r="AK747" s="83"/>
      <c r="AL747" s="186"/>
      <c r="AM747" s="29"/>
      <c r="AN747" s="29"/>
      <c r="AO747" s="29"/>
      <c r="AP747" s="29"/>
      <c r="AQ747" s="29"/>
      <c r="AR747" s="29"/>
      <c r="AS747" s="5"/>
      <c r="AT747" s="5"/>
      <c r="AU747" s="5"/>
      <c r="AV747" s="5"/>
      <c r="AW747" s="5"/>
      <c r="AX747" s="5"/>
      <c r="AY747" s="214"/>
      <c r="AZ747" s="83"/>
      <c r="BA747" s="83"/>
      <c r="BB747" s="83"/>
      <c r="BC747" s="5"/>
    </row>
    <row r="748" spans="37:55" x14ac:dyDescent="0.25">
      <c r="AK748" s="83"/>
      <c r="AL748" s="186"/>
      <c r="AM748" s="29"/>
      <c r="AN748" s="29"/>
      <c r="AO748" s="29"/>
      <c r="AP748" s="29"/>
      <c r="AQ748" s="29"/>
      <c r="AR748" s="29"/>
      <c r="AS748" s="5"/>
      <c r="AT748" s="5"/>
      <c r="AU748" s="5"/>
      <c r="AV748" s="5"/>
      <c r="AW748" s="5"/>
      <c r="AX748" s="5"/>
      <c r="AY748" s="214"/>
      <c r="AZ748" s="83"/>
      <c r="BA748" s="83"/>
      <c r="BB748" s="83"/>
      <c r="BC748" s="5"/>
    </row>
    <row r="749" spans="37:55" x14ac:dyDescent="0.25">
      <c r="AK749" s="83"/>
      <c r="AL749" s="186"/>
      <c r="AM749" s="29"/>
      <c r="AN749" s="29"/>
      <c r="AO749" s="29"/>
      <c r="AP749" s="29"/>
      <c r="AQ749" s="29"/>
      <c r="AR749" s="29"/>
      <c r="AS749" s="5"/>
      <c r="AT749" s="5"/>
      <c r="AU749" s="5"/>
      <c r="AV749" s="5"/>
      <c r="AW749" s="5"/>
      <c r="AX749" s="5"/>
      <c r="AY749" s="214"/>
      <c r="AZ749" s="83"/>
      <c r="BA749" s="83"/>
      <c r="BB749" s="83"/>
      <c r="BC749" s="5"/>
    </row>
    <row r="750" spans="37:55" x14ac:dyDescent="0.25">
      <c r="AK750" s="83"/>
      <c r="AL750" s="186"/>
      <c r="AM750" s="29"/>
      <c r="AN750" s="29"/>
      <c r="AO750" s="29"/>
      <c r="AP750" s="29"/>
      <c r="AQ750" s="29"/>
      <c r="AR750" s="29"/>
      <c r="AS750" s="5"/>
      <c r="AT750" s="5"/>
      <c r="AU750" s="5"/>
      <c r="AV750" s="5"/>
      <c r="AW750" s="5"/>
      <c r="AX750" s="5"/>
      <c r="AY750" s="214"/>
      <c r="AZ750" s="83"/>
      <c r="BA750" s="83"/>
      <c r="BB750" s="83"/>
      <c r="BC750" s="5"/>
    </row>
    <row r="751" spans="37:55" x14ac:dyDescent="0.25">
      <c r="AK751" s="83"/>
      <c r="AL751" s="186"/>
      <c r="AM751" s="29"/>
      <c r="AN751" s="29"/>
      <c r="AO751" s="29"/>
      <c r="AP751" s="29"/>
      <c r="AQ751" s="29"/>
      <c r="AR751" s="29"/>
      <c r="AS751" s="5"/>
      <c r="AT751" s="5"/>
      <c r="AU751" s="5"/>
      <c r="AV751" s="5"/>
      <c r="AW751" s="5"/>
      <c r="AX751" s="5"/>
      <c r="AY751" s="214"/>
      <c r="AZ751" s="83"/>
      <c r="BA751" s="83"/>
      <c r="BB751" s="83"/>
      <c r="BC751" s="5"/>
    </row>
    <row r="752" spans="37:55" x14ac:dyDescent="0.25">
      <c r="AK752" s="83"/>
      <c r="AL752" s="186"/>
      <c r="AM752" s="29"/>
      <c r="AN752" s="29"/>
      <c r="AO752" s="29"/>
      <c r="AP752" s="29"/>
      <c r="AQ752" s="29"/>
      <c r="AR752" s="29"/>
      <c r="AS752" s="5"/>
      <c r="AT752" s="5"/>
      <c r="AU752" s="5"/>
      <c r="AV752" s="5"/>
      <c r="AW752" s="5"/>
      <c r="AX752" s="5"/>
      <c r="AY752" s="214"/>
      <c r="AZ752" s="83"/>
      <c r="BA752" s="83"/>
      <c r="BB752" s="83"/>
      <c r="BC752" s="5"/>
    </row>
    <row r="753" spans="37:55" x14ac:dyDescent="0.25">
      <c r="AK753" s="83"/>
      <c r="AL753" s="186"/>
      <c r="AM753" s="29"/>
      <c r="AN753" s="29"/>
      <c r="AO753" s="29"/>
      <c r="AP753" s="29"/>
      <c r="AQ753" s="29"/>
      <c r="AR753" s="29"/>
      <c r="AS753" s="5"/>
      <c r="AT753" s="5"/>
      <c r="AU753" s="5"/>
      <c r="AV753" s="5"/>
      <c r="AW753" s="5"/>
      <c r="AX753" s="5"/>
      <c r="AY753" s="214"/>
      <c r="AZ753" s="83"/>
      <c r="BA753" s="83"/>
      <c r="BB753" s="83"/>
      <c r="BC753" s="5"/>
    </row>
    <row r="754" spans="37:55" x14ac:dyDescent="0.25">
      <c r="AK754" s="83"/>
      <c r="AL754" s="186"/>
      <c r="AM754" s="29"/>
      <c r="AN754" s="29"/>
      <c r="AO754" s="29"/>
      <c r="AP754" s="29"/>
      <c r="AQ754" s="29"/>
      <c r="AR754" s="29"/>
      <c r="AS754" s="5"/>
      <c r="AT754" s="5"/>
      <c r="AU754" s="5"/>
      <c r="AV754" s="5"/>
      <c r="AW754" s="5"/>
      <c r="AX754" s="5"/>
      <c r="AY754" s="214"/>
      <c r="AZ754" s="83"/>
      <c r="BA754" s="83"/>
      <c r="BB754" s="83"/>
      <c r="BC754" s="5"/>
    </row>
    <row r="755" spans="37:55" x14ac:dyDescent="0.25">
      <c r="AK755" s="83"/>
      <c r="AL755" s="186"/>
      <c r="AM755" s="29"/>
      <c r="AN755" s="29"/>
      <c r="AO755" s="29"/>
      <c r="AP755" s="29"/>
      <c r="AQ755" s="29"/>
      <c r="AR755" s="29"/>
      <c r="AS755" s="5"/>
      <c r="AT755" s="5"/>
      <c r="AU755" s="5"/>
      <c r="AV755" s="5"/>
      <c r="AW755" s="5"/>
      <c r="AX755" s="5"/>
      <c r="AY755" s="214"/>
      <c r="AZ755" s="83"/>
      <c r="BA755" s="83"/>
      <c r="BB755" s="83"/>
      <c r="BC755" s="5"/>
    </row>
    <row r="756" spans="37:55" x14ac:dyDescent="0.25">
      <c r="AK756" s="83"/>
      <c r="AL756" s="186"/>
      <c r="AM756" s="29"/>
      <c r="AN756" s="29"/>
      <c r="AO756" s="29"/>
      <c r="AP756" s="29"/>
      <c r="AQ756" s="29"/>
      <c r="AR756" s="29"/>
      <c r="AS756" s="5"/>
      <c r="AT756" s="5"/>
      <c r="AU756" s="5"/>
      <c r="AV756" s="5"/>
      <c r="AW756" s="5"/>
      <c r="AX756" s="5"/>
      <c r="AY756" s="214"/>
      <c r="AZ756" s="83"/>
      <c r="BA756" s="83"/>
      <c r="BB756" s="83"/>
      <c r="BC756" s="5"/>
    </row>
    <row r="757" spans="37:55" x14ac:dyDescent="0.25">
      <c r="AK757" s="83"/>
      <c r="AL757" s="186"/>
      <c r="AM757" s="29"/>
      <c r="AN757" s="29"/>
      <c r="AO757" s="29"/>
      <c r="AP757" s="29"/>
      <c r="AQ757" s="29"/>
      <c r="AR757" s="29"/>
      <c r="AS757" s="5"/>
      <c r="AT757" s="5"/>
      <c r="AU757" s="5"/>
      <c r="AV757" s="5"/>
      <c r="AW757" s="5"/>
      <c r="AX757" s="5"/>
      <c r="AY757" s="214"/>
      <c r="AZ757" s="83"/>
      <c r="BA757" s="83"/>
      <c r="BB757" s="83"/>
      <c r="BC757" s="5"/>
    </row>
    <row r="758" spans="37:55" x14ac:dyDescent="0.25">
      <c r="AK758" s="83"/>
      <c r="AL758" s="186"/>
      <c r="AM758" s="29"/>
      <c r="AN758" s="29"/>
      <c r="AO758" s="29"/>
      <c r="AP758" s="29"/>
      <c r="AQ758" s="29"/>
      <c r="AR758" s="29"/>
      <c r="AS758" s="5"/>
      <c r="AT758" s="5"/>
      <c r="AU758" s="5"/>
      <c r="AV758" s="5"/>
      <c r="AW758" s="5"/>
      <c r="AX758" s="5"/>
      <c r="AY758" s="214"/>
      <c r="AZ758" s="83"/>
      <c r="BA758" s="83"/>
      <c r="BB758" s="83"/>
      <c r="BC758" s="5"/>
    </row>
    <row r="759" spans="37:55" x14ac:dyDescent="0.25">
      <c r="AK759" s="83"/>
      <c r="AL759" s="186"/>
      <c r="AM759" s="29"/>
      <c r="AN759" s="29"/>
      <c r="AO759" s="29"/>
      <c r="AP759" s="29"/>
      <c r="AQ759" s="29"/>
      <c r="AR759" s="29"/>
      <c r="AS759" s="5"/>
      <c r="AT759" s="5"/>
      <c r="AU759" s="5"/>
      <c r="AV759" s="5"/>
      <c r="AW759" s="5"/>
      <c r="AX759" s="5"/>
      <c r="AY759" s="214"/>
      <c r="AZ759" s="83"/>
      <c r="BA759" s="83"/>
      <c r="BB759" s="83"/>
      <c r="BC759" s="5"/>
    </row>
    <row r="760" spans="37:55" x14ac:dyDescent="0.25">
      <c r="AK760" s="83"/>
      <c r="AL760" s="186"/>
      <c r="AM760" s="29"/>
      <c r="AN760" s="29"/>
      <c r="AO760" s="29"/>
      <c r="AP760" s="29"/>
      <c r="AQ760" s="29"/>
      <c r="AR760" s="29"/>
      <c r="AS760" s="5"/>
      <c r="AT760" s="5"/>
      <c r="AU760" s="5"/>
      <c r="AV760" s="5"/>
      <c r="AW760" s="5"/>
      <c r="AX760" s="5"/>
      <c r="AY760" s="214"/>
      <c r="AZ760" s="83"/>
      <c r="BA760" s="83"/>
      <c r="BB760" s="83"/>
      <c r="BC760" s="5"/>
    </row>
    <row r="761" spans="37:55" x14ac:dyDescent="0.25">
      <c r="AK761" s="83"/>
      <c r="AL761" s="186"/>
      <c r="AM761" s="29"/>
      <c r="AN761" s="29"/>
      <c r="AO761" s="29"/>
      <c r="AP761" s="29"/>
      <c r="AQ761" s="29"/>
      <c r="AR761" s="29"/>
      <c r="AS761" s="5"/>
      <c r="AT761" s="5"/>
      <c r="AU761" s="5"/>
      <c r="AV761" s="5"/>
      <c r="AW761" s="5"/>
      <c r="AX761" s="5"/>
      <c r="AY761" s="214"/>
      <c r="AZ761" s="83"/>
      <c r="BA761" s="83"/>
      <c r="BB761" s="83"/>
      <c r="BC761" s="5"/>
    </row>
    <row r="762" spans="37:55" x14ac:dyDescent="0.25">
      <c r="AK762" s="83"/>
      <c r="AL762" s="186"/>
      <c r="AM762" s="29"/>
      <c r="AN762" s="29"/>
      <c r="AO762" s="29"/>
      <c r="AP762" s="29"/>
      <c r="AQ762" s="29"/>
      <c r="AR762" s="29"/>
      <c r="AS762" s="5"/>
      <c r="AT762" s="5"/>
      <c r="AU762" s="5"/>
      <c r="AV762" s="5"/>
      <c r="AW762" s="5"/>
      <c r="AX762" s="5"/>
      <c r="AY762" s="214"/>
      <c r="AZ762" s="83"/>
      <c r="BA762" s="83"/>
      <c r="BB762" s="83"/>
      <c r="BC762" s="5"/>
    </row>
    <row r="763" spans="37:55" x14ac:dyDescent="0.25">
      <c r="AK763" s="83"/>
      <c r="AL763" s="186"/>
      <c r="AM763" s="29"/>
      <c r="AN763" s="29"/>
      <c r="AO763" s="29"/>
      <c r="AP763" s="29"/>
      <c r="AQ763" s="29"/>
      <c r="AR763" s="29"/>
      <c r="AS763" s="5"/>
      <c r="AT763" s="5"/>
      <c r="AU763" s="5"/>
      <c r="AV763" s="5"/>
      <c r="AW763" s="5"/>
      <c r="AX763" s="5"/>
      <c r="AY763" s="214"/>
      <c r="AZ763" s="83"/>
      <c r="BA763" s="83"/>
      <c r="BB763" s="83"/>
      <c r="BC763" s="5"/>
    </row>
    <row r="764" spans="37:55" x14ac:dyDescent="0.25">
      <c r="AK764" s="83"/>
      <c r="AL764" s="186"/>
      <c r="AM764" s="29"/>
      <c r="AN764" s="29"/>
      <c r="AO764" s="29"/>
      <c r="AP764" s="29"/>
      <c r="AQ764" s="29"/>
      <c r="AR764" s="29"/>
      <c r="AS764" s="5"/>
      <c r="AT764" s="5"/>
      <c r="AU764" s="5"/>
      <c r="AV764" s="5"/>
      <c r="AW764" s="5"/>
      <c r="AX764" s="5"/>
      <c r="AY764" s="214"/>
      <c r="AZ764" s="83"/>
      <c r="BA764" s="83"/>
      <c r="BB764" s="83"/>
      <c r="BC764" s="5"/>
    </row>
    <row r="765" spans="37:55" x14ac:dyDescent="0.25">
      <c r="AK765" s="83"/>
      <c r="AL765" s="186"/>
      <c r="AM765" s="29"/>
      <c r="AN765" s="29"/>
      <c r="AO765" s="29"/>
      <c r="AP765" s="29"/>
      <c r="AQ765" s="29"/>
      <c r="AR765" s="29"/>
      <c r="AS765" s="5"/>
      <c r="AT765" s="5"/>
      <c r="AU765" s="5"/>
      <c r="AV765" s="5"/>
      <c r="AW765" s="5"/>
      <c r="AX765" s="5"/>
      <c r="AY765" s="214"/>
      <c r="AZ765" s="83"/>
      <c r="BA765" s="83"/>
      <c r="BB765" s="83"/>
      <c r="BC765" s="5"/>
    </row>
    <row r="766" spans="37:55" x14ac:dyDescent="0.25">
      <c r="AK766" s="83"/>
      <c r="AL766" s="186"/>
      <c r="AM766" s="29"/>
      <c r="AN766" s="29"/>
      <c r="AO766" s="29"/>
      <c r="AP766" s="29"/>
      <c r="AQ766" s="29"/>
      <c r="AR766" s="29"/>
      <c r="AS766" s="5"/>
      <c r="AT766" s="5"/>
      <c r="AU766" s="5"/>
      <c r="AV766" s="5"/>
      <c r="AW766" s="5"/>
      <c r="AX766" s="5"/>
      <c r="AY766" s="214"/>
      <c r="AZ766" s="83"/>
      <c r="BA766" s="83"/>
      <c r="BB766" s="83"/>
      <c r="BC766" s="5"/>
    </row>
    <row r="767" spans="37:55" x14ac:dyDescent="0.25">
      <c r="AK767" s="83"/>
      <c r="AL767" s="186"/>
      <c r="AM767" s="29"/>
      <c r="AN767" s="29"/>
      <c r="AO767" s="29"/>
      <c r="AP767" s="29"/>
      <c r="AQ767" s="29"/>
      <c r="AR767" s="29"/>
      <c r="AS767" s="5"/>
      <c r="AT767" s="5"/>
      <c r="AU767" s="5"/>
      <c r="AV767" s="5"/>
      <c r="AW767" s="5"/>
      <c r="AX767" s="5"/>
      <c r="AY767" s="214"/>
      <c r="AZ767" s="83"/>
      <c r="BA767" s="83"/>
      <c r="BB767" s="83"/>
      <c r="BC767" s="5"/>
    </row>
    <row r="768" spans="37:55" x14ac:dyDescent="0.25">
      <c r="AK768" s="83"/>
      <c r="AL768" s="186"/>
      <c r="AM768" s="29"/>
      <c r="AN768" s="29"/>
      <c r="AO768" s="29"/>
      <c r="AP768" s="29"/>
      <c r="AQ768" s="29"/>
      <c r="AR768" s="29"/>
      <c r="AS768" s="5"/>
      <c r="AT768" s="5"/>
      <c r="AU768" s="5"/>
      <c r="AV768" s="5"/>
      <c r="AW768" s="5"/>
      <c r="AX768" s="5"/>
      <c r="AY768" s="214"/>
      <c r="AZ768" s="83"/>
      <c r="BA768" s="83"/>
      <c r="BB768" s="83"/>
      <c r="BC768" s="5"/>
    </row>
    <row r="769" spans="37:55" x14ac:dyDescent="0.25">
      <c r="AK769" s="83"/>
      <c r="AL769" s="186"/>
      <c r="AM769" s="29"/>
      <c r="AN769" s="29"/>
      <c r="AO769" s="29"/>
      <c r="AP769" s="29"/>
      <c r="AQ769" s="29"/>
      <c r="AR769" s="29"/>
      <c r="AS769" s="5"/>
      <c r="AT769" s="5"/>
      <c r="AU769" s="5"/>
      <c r="AV769" s="5"/>
      <c r="AW769" s="5"/>
      <c r="AX769" s="5"/>
      <c r="AY769" s="214"/>
      <c r="AZ769" s="83"/>
      <c r="BA769" s="83"/>
      <c r="BB769" s="83"/>
      <c r="BC769" s="5"/>
    </row>
    <row r="770" spans="37:55" x14ac:dyDescent="0.25">
      <c r="AK770" s="83"/>
      <c r="AL770" s="186"/>
      <c r="AM770" s="29"/>
      <c r="AN770" s="29"/>
      <c r="AO770" s="29"/>
      <c r="AP770" s="29"/>
      <c r="AQ770" s="29"/>
      <c r="AR770" s="29"/>
      <c r="AS770" s="5"/>
      <c r="AT770" s="5"/>
      <c r="AU770" s="5"/>
      <c r="AV770" s="5"/>
      <c r="AW770" s="5"/>
      <c r="AX770" s="5"/>
      <c r="AY770" s="214"/>
      <c r="AZ770" s="83"/>
      <c r="BA770" s="83"/>
      <c r="BB770" s="83"/>
      <c r="BC770" s="5"/>
    </row>
    <row r="771" spans="37:55" x14ac:dyDescent="0.25">
      <c r="AK771" s="83"/>
      <c r="AL771" s="186"/>
      <c r="AM771" s="29"/>
      <c r="AN771" s="29"/>
      <c r="AO771" s="29"/>
      <c r="AP771" s="29"/>
      <c r="AQ771" s="29"/>
      <c r="AR771" s="29"/>
      <c r="AS771" s="5"/>
      <c r="AT771" s="5"/>
      <c r="AU771" s="5"/>
      <c r="AV771" s="5"/>
      <c r="AW771" s="5"/>
      <c r="AX771" s="5"/>
      <c r="AY771" s="214"/>
      <c r="AZ771" s="83"/>
      <c r="BA771" s="83"/>
      <c r="BB771" s="83"/>
      <c r="BC771" s="5"/>
    </row>
    <row r="772" spans="37:55" x14ac:dyDescent="0.25">
      <c r="AK772" s="83"/>
      <c r="AL772" s="186"/>
      <c r="AM772" s="29"/>
      <c r="AN772" s="29"/>
      <c r="AO772" s="29"/>
      <c r="AP772" s="29"/>
      <c r="AQ772" s="29"/>
      <c r="AR772" s="29"/>
      <c r="AS772" s="5"/>
      <c r="AT772" s="5"/>
      <c r="AU772" s="5"/>
      <c r="AV772" s="5"/>
      <c r="AW772" s="5"/>
      <c r="AX772" s="5"/>
      <c r="AY772" s="214"/>
      <c r="AZ772" s="83"/>
      <c r="BA772" s="83"/>
      <c r="BB772" s="83"/>
      <c r="BC772" s="5"/>
    </row>
    <row r="773" spans="37:55" x14ac:dyDescent="0.25">
      <c r="AK773" s="83"/>
      <c r="AL773" s="186"/>
      <c r="AM773" s="29"/>
      <c r="AN773" s="29"/>
      <c r="AO773" s="29"/>
      <c r="AP773" s="29"/>
      <c r="AQ773" s="29"/>
      <c r="AR773" s="29"/>
      <c r="AS773" s="5"/>
      <c r="AT773" s="5"/>
      <c r="AU773" s="5"/>
      <c r="AV773" s="5"/>
      <c r="AW773" s="5"/>
      <c r="AX773" s="5"/>
      <c r="AY773" s="214"/>
      <c r="AZ773" s="83"/>
      <c r="BA773" s="83"/>
      <c r="BB773" s="83"/>
      <c r="BC773" s="5"/>
    </row>
    <row r="774" spans="37:55" x14ac:dyDescent="0.25">
      <c r="AK774" s="83"/>
      <c r="AL774" s="186"/>
      <c r="AM774" s="29"/>
      <c r="AN774" s="29"/>
      <c r="AO774" s="29"/>
      <c r="AP774" s="29"/>
      <c r="AQ774" s="29"/>
      <c r="AR774" s="29"/>
      <c r="AS774" s="5"/>
      <c r="AT774" s="5"/>
      <c r="AU774" s="5"/>
      <c r="AV774" s="5"/>
      <c r="AW774" s="5"/>
      <c r="AX774" s="5"/>
      <c r="AY774" s="214"/>
      <c r="AZ774" s="83"/>
      <c r="BA774" s="83"/>
      <c r="BB774" s="83"/>
      <c r="BC774" s="5"/>
    </row>
    <row r="775" spans="37:55" x14ac:dyDescent="0.25">
      <c r="AK775" s="83"/>
      <c r="AL775" s="186"/>
      <c r="AM775" s="29"/>
      <c r="AN775" s="29"/>
      <c r="AO775" s="29"/>
      <c r="AP775" s="29"/>
      <c r="AQ775" s="29"/>
      <c r="AR775" s="29"/>
      <c r="AS775" s="5"/>
      <c r="AT775" s="5"/>
      <c r="AU775" s="5"/>
      <c r="AV775" s="5"/>
      <c r="AW775" s="5"/>
      <c r="AX775" s="5"/>
      <c r="AY775" s="214"/>
      <c r="AZ775" s="83"/>
      <c r="BA775" s="83"/>
      <c r="BB775" s="83"/>
      <c r="BC775" s="5"/>
    </row>
    <row r="776" spans="37:55" x14ac:dyDescent="0.25">
      <c r="AK776" s="83"/>
      <c r="AL776" s="186"/>
      <c r="AM776" s="29"/>
      <c r="AN776" s="29"/>
      <c r="AO776" s="29"/>
      <c r="AP776" s="29"/>
      <c r="AQ776" s="29"/>
      <c r="AR776" s="29"/>
      <c r="AS776" s="5"/>
      <c r="AT776" s="5"/>
      <c r="AU776" s="5"/>
      <c r="AV776" s="5"/>
      <c r="AW776" s="5"/>
      <c r="AX776" s="5"/>
      <c r="AY776" s="214"/>
      <c r="AZ776" s="83"/>
      <c r="BA776" s="83"/>
      <c r="BB776" s="83"/>
      <c r="BC776" s="5"/>
    </row>
    <row r="777" spans="37:55" x14ac:dyDescent="0.25">
      <c r="AK777" s="83"/>
      <c r="AL777" s="186"/>
      <c r="AM777" s="29"/>
      <c r="AN777" s="29"/>
      <c r="AO777" s="29"/>
      <c r="AP777" s="29"/>
      <c r="AQ777" s="29"/>
      <c r="AR777" s="29"/>
      <c r="AS777" s="5"/>
      <c r="AT777" s="5"/>
      <c r="AU777" s="5"/>
      <c r="AV777" s="5"/>
      <c r="AW777" s="5"/>
      <c r="AX777" s="5"/>
      <c r="AY777" s="214"/>
      <c r="AZ777" s="83"/>
      <c r="BA777" s="83"/>
      <c r="BB777" s="83"/>
      <c r="BC777" s="5"/>
    </row>
    <row r="778" spans="37:55" x14ac:dyDescent="0.25">
      <c r="AK778" s="83"/>
      <c r="AL778" s="186"/>
      <c r="AM778" s="29"/>
      <c r="AN778" s="29"/>
      <c r="AO778" s="29"/>
      <c r="AP778" s="29"/>
      <c r="AQ778" s="29"/>
      <c r="AR778" s="29"/>
      <c r="AS778" s="5"/>
      <c r="AT778" s="5"/>
      <c r="AU778" s="5"/>
      <c r="AV778" s="5"/>
      <c r="AW778" s="5"/>
      <c r="AX778" s="5"/>
      <c r="AY778" s="214"/>
      <c r="AZ778" s="83"/>
      <c r="BA778" s="83"/>
      <c r="BB778" s="83"/>
      <c r="BC778" s="5"/>
    </row>
    <row r="779" spans="37:55" x14ac:dyDescent="0.25">
      <c r="AK779" s="83"/>
      <c r="AL779" s="186"/>
      <c r="AM779" s="29"/>
      <c r="AN779" s="29"/>
      <c r="AO779" s="29"/>
      <c r="AP779" s="29"/>
      <c r="AQ779" s="29"/>
      <c r="AR779" s="29"/>
      <c r="AS779" s="5"/>
      <c r="AT779" s="5"/>
      <c r="AU779" s="5"/>
      <c r="AV779" s="5"/>
      <c r="AW779" s="5"/>
      <c r="AX779" s="5"/>
      <c r="AY779" s="214"/>
      <c r="AZ779" s="83"/>
      <c r="BA779" s="83"/>
      <c r="BB779" s="83"/>
      <c r="BC779" s="5"/>
    </row>
    <row r="780" spans="37:55" x14ac:dyDescent="0.25">
      <c r="AK780" s="83"/>
      <c r="AL780" s="186"/>
      <c r="AM780" s="29"/>
      <c r="AN780" s="29"/>
      <c r="AO780" s="29"/>
      <c r="AP780" s="29"/>
      <c r="AQ780" s="29"/>
      <c r="AR780" s="29"/>
      <c r="AS780" s="5"/>
      <c r="AT780" s="5"/>
      <c r="AU780" s="5"/>
      <c r="AV780" s="5"/>
      <c r="AW780" s="5"/>
      <c r="AX780" s="5"/>
      <c r="AY780" s="214"/>
      <c r="AZ780" s="83"/>
      <c r="BA780" s="83"/>
      <c r="BB780" s="83"/>
      <c r="BC780" s="5"/>
    </row>
    <row r="781" spans="37:55" x14ac:dyDescent="0.25">
      <c r="AK781" s="83"/>
      <c r="AL781" s="186"/>
      <c r="AM781" s="29"/>
      <c r="AN781" s="29"/>
      <c r="AO781" s="29"/>
      <c r="AP781" s="29"/>
      <c r="AQ781" s="29"/>
      <c r="AR781" s="29"/>
      <c r="AS781" s="5"/>
      <c r="AT781" s="5"/>
      <c r="AU781" s="5"/>
      <c r="AV781" s="5"/>
      <c r="AW781" s="5"/>
      <c r="AX781" s="5"/>
      <c r="AY781" s="214"/>
      <c r="AZ781" s="83"/>
      <c r="BA781" s="83"/>
      <c r="BB781" s="83"/>
      <c r="BC781" s="5"/>
    </row>
    <row r="782" spans="37:55" x14ac:dyDescent="0.25">
      <c r="AK782" s="83"/>
      <c r="AL782" s="186"/>
      <c r="AM782" s="29"/>
      <c r="AN782" s="29"/>
      <c r="AO782" s="29"/>
      <c r="AP782" s="29"/>
      <c r="AQ782" s="29"/>
      <c r="AR782" s="29"/>
      <c r="AS782" s="5"/>
      <c r="AT782" s="5"/>
      <c r="AU782" s="5"/>
      <c r="AV782" s="5"/>
      <c r="AW782" s="5"/>
      <c r="AX782" s="5"/>
      <c r="AY782" s="214"/>
      <c r="AZ782" s="83"/>
      <c r="BA782" s="83"/>
      <c r="BB782" s="83"/>
      <c r="BC782" s="5"/>
    </row>
    <row r="783" spans="37:55" x14ac:dyDescent="0.25">
      <c r="AK783" s="83"/>
      <c r="AL783" s="186"/>
      <c r="AM783" s="29"/>
      <c r="AN783" s="29"/>
      <c r="AO783" s="29"/>
      <c r="AP783" s="29"/>
      <c r="AQ783" s="29"/>
      <c r="AR783" s="29"/>
      <c r="AS783" s="5"/>
      <c r="AT783" s="5"/>
      <c r="AU783" s="5"/>
      <c r="AV783" s="5"/>
      <c r="AW783" s="5"/>
      <c r="AX783" s="5"/>
      <c r="AY783" s="214"/>
      <c r="AZ783" s="83"/>
      <c r="BA783" s="83"/>
      <c r="BB783" s="83"/>
      <c r="BC783" s="5"/>
    </row>
    <row r="784" spans="37:55" x14ac:dyDescent="0.25">
      <c r="AK784" s="83"/>
      <c r="AL784" s="186"/>
      <c r="AM784" s="29"/>
      <c r="AN784" s="29"/>
      <c r="AO784" s="29"/>
      <c r="AP784" s="29"/>
      <c r="AQ784" s="29"/>
      <c r="AR784" s="29"/>
      <c r="AS784" s="5"/>
      <c r="AT784" s="5"/>
      <c r="AU784" s="5"/>
      <c r="AV784" s="5"/>
      <c r="AW784" s="5"/>
      <c r="AX784" s="5"/>
      <c r="AY784" s="214"/>
      <c r="AZ784" s="83"/>
      <c r="BA784" s="83"/>
      <c r="BB784" s="83"/>
      <c r="BC784" s="5"/>
    </row>
    <row r="785" spans="37:55" x14ac:dyDescent="0.25">
      <c r="AK785" s="83"/>
      <c r="AL785" s="186"/>
      <c r="AM785" s="29"/>
      <c r="AN785" s="29"/>
      <c r="AO785" s="29"/>
      <c r="AP785" s="29"/>
      <c r="AQ785" s="29"/>
      <c r="AR785" s="29"/>
      <c r="AS785" s="5"/>
      <c r="AT785" s="5"/>
      <c r="AU785" s="5"/>
      <c r="AV785" s="5"/>
      <c r="AW785" s="5"/>
      <c r="AX785" s="5"/>
      <c r="AY785" s="214"/>
      <c r="AZ785" s="83"/>
      <c r="BA785" s="83"/>
      <c r="BB785" s="83"/>
      <c r="BC785" s="5"/>
    </row>
    <row r="786" spans="37:55" x14ac:dyDescent="0.25">
      <c r="AK786" s="83"/>
      <c r="AL786" s="186"/>
      <c r="AM786" s="29"/>
      <c r="AN786" s="29"/>
      <c r="AO786" s="29"/>
      <c r="AP786" s="29"/>
      <c r="AQ786" s="29"/>
      <c r="AR786" s="29"/>
      <c r="AS786" s="5"/>
      <c r="AT786" s="5"/>
      <c r="AU786" s="5"/>
      <c r="AV786" s="5"/>
      <c r="AW786" s="5"/>
      <c r="AX786" s="5"/>
      <c r="AY786" s="214"/>
      <c r="AZ786" s="83"/>
      <c r="BA786" s="83"/>
      <c r="BB786" s="83"/>
      <c r="BC786" s="5"/>
    </row>
    <row r="787" spans="37:55" x14ac:dyDescent="0.25">
      <c r="AK787" s="83"/>
      <c r="AL787" s="186"/>
      <c r="AM787" s="29"/>
      <c r="AN787" s="29"/>
      <c r="AO787" s="29"/>
      <c r="AP787" s="29"/>
      <c r="AQ787" s="29"/>
      <c r="AR787" s="29"/>
      <c r="AS787" s="5"/>
      <c r="AT787" s="5"/>
      <c r="AU787" s="5"/>
      <c r="AV787" s="5"/>
      <c r="AW787" s="5"/>
      <c r="AX787" s="5"/>
      <c r="AY787" s="214"/>
      <c r="AZ787" s="83"/>
      <c r="BA787" s="83"/>
      <c r="BB787" s="83"/>
      <c r="BC787" s="5"/>
    </row>
    <row r="788" spans="37:55" x14ac:dyDescent="0.25">
      <c r="AK788" s="83"/>
      <c r="AL788" s="186"/>
      <c r="AM788" s="29"/>
      <c r="AN788" s="29"/>
      <c r="AO788" s="29"/>
      <c r="AP788" s="29"/>
      <c r="AQ788" s="29"/>
      <c r="AR788" s="29"/>
      <c r="AS788" s="5"/>
      <c r="AT788" s="5"/>
      <c r="AU788" s="5"/>
      <c r="AV788" s="5"/>
      <c r="AW788" s="5"/>
      <c r="AX788" s="5"/>
      <c r="AY788" s="214"/>
      <c r="AZ788" s="83"/>
      <c r="BA788" s="83"/>
      <c r="BB788" s="83"/>
      <c r="BC788" s="5"/>
    </row>
    <row r="789" spans="37:55" x14ac:dyDescent="0.25">
      <c r="AK789" s="83"/>
      <c r="AL789" s="186"/>
      <c r="AM789" s="29"/>
      <c r="AN789" s="29"/>
      <c r="AO789" s="29"/>
      <c r="AP789" s="29"/>
      <c r="AQ789" s="29"/>
      <c r="AR789" s="29"/>
      <c r="AS789" s="5"/>
      <c r="AT789" s="5"/>
      <c r="AU789" s="5"/>
      <c r="AV789" s="5"/>
      <c r="AW789" s="5"/>
      <c r="AX789" s="5"/>
      <c r="AY789" s="214"/>
      <c r="AZ789" s="83"/>
      <c r="BA789" s="83"/>
      <c r="BB789" s="83"/>
      <c r="BC789" s="5"/>
    </row>
    <row r="790" spans="37:55" x14ac:dyDescent="0.25">
      <c r="AK790" s="83"/>
      <c r="AL790" s="186"/>
      <c r="AM790" s="29"/>
      <c r="AN790" s="29"/>
      <c r="AO790" s="29"/>
      <c r="AP790" s="29"/>
      <c r="AQ790" s="29"/>
      <c r="AR790" s="29"/>
      <c r="AS790" s="5"/>
      <c r="AT790" s="5"/>
      <c r="AU790" s="5"/>
      <c r="AV790" s="5"/>
      <c r="AW790" s="5"/>
      <c r="AX790" s="5"/>
      <c r="AY790" s="214"/>
      <c r="AZ790" s="83"/>
      <c r="BA790" s="83"/>
      <c r="BB790" s="83"/>
      <c r="BC790" s="5"/>
    </row>
    <row r="791" spans="37:55" x14ac:dyDescent="0.25">
      <c r="AK791" s="83"/>
      <c r="AL791" s="186"/>
      <c r="AM791" s="29"/>
      <c r="AN791" s="29"/>
      <c r="AO791" s="29"/>
      <c r="AP791" s="29"/>
      <c r="AQ791" s="29"/>
      <c r="AR791" s="29"/>
      <c r="AS791" s="5"/>
      <c r="AT791" s="5"/>
      <c r="AU791" s="5"/>
      <c r="AV791" s="5"/>
      <c r="AW791" s="5"/>
      <c r="AX791" s="5"/>
      <c r="AY791" s="214"/>
      <c r="AZ791" s="83"/>
      <c r="BA791" s="83"/>
      <c r="BB791" s="83"/>
      <c r="BC791" s="5"/>
    </row>
    <row r="792" spans="37:55" x14ac:dyDescent="0.25">
      <c r="AK792" s="83"/>
      <c r="AL792" s="186"/>
      <c r="AM792" s="29"/>
      <c r="AN792" s="29"/>
      <c r="AO792" s="29"/>
      <c r="AP792" s="29"/>
      <c r="AQ792" s="29"/>
      <c r="AR792" s="29"/>
      <c r="AS792" s="5"/>
      <c r="AT792" s="5"/>
      <c r="AU792" s="5"/>
      <c r="AV792" s="5"/>
      <c r="AW792" s="5"/>
      <c r="AX792" s="5"/>
      <c r="AY792" s="214"/>
      <c r="AZ792" s="83"/>
      <c r="BA792" s="83"/>
      <c r="BB792" s="83"/>
      <c r="BC792" s="5"/>
    </row>
    <row r="793" spans="37:55" x14ac:dyDescent="0.25">
      <c r="AK793" s="83"/>
      <c r="AL793" s="186"/>
      <c r="AM793" s="29"/>
      <c r="AN793" s="29"/>
      <c r="AO793" s="29"/>
      <c r="AP793" s="29"/>
      <c r="AQ793" s="29"/>
      <c r="AR793" s="29"/>
      <c r="AS793" s="5"/>
      <c r="AT793" s="5"/>
      <c r="AU793" s="5"/>
      <c r="AV793" s="5"/>
      <c r="AW793" s="5"/>
      <c r="AX793" s="5"/>
      <c r="AY793" s="214"/>
      <c r="AZ793" s="83"/>
      <c r="BA793" s="83"/>
      <c r="BB793" s="83"/>
      <c r="BC793" s="5"/>
    </row>
    <row r="794" spans="37:55" x14ac:dyDescent="0.25">
      <c r="AK794" s="83"/>
      <c r="AL794" s="186"/>
      <c r="AM794" s="29"/>
      <c r="AN794" s="29"/>
      <c r="AO794" s="29"/>
      <c r="AP794" s="29"/>
      <c r="AQ794" s="29"/>
      <c r="AR794" s="29"/>
      <c r="AS794" s="5"/>
      <c r="AT794" s="5"/>
      <c r="AU794" s="5"/>
      <c r="AV794" s="5"/>
      <c r="AW794" s="5"/>
      <c r="AX794" s="5"/>
      <c r="AY794" s="214"/>
      <c r="AZ794" s="83"/>
      <c r="BA794" s="83"/>
      <c r="BB794" s="83"/>
      <c r="BC794" s="5"/>
    </row>
    <row r="795" spans="37:55" x14ac:dyDescent="0.25">
      <c r="AK795" s="83"/>
      <c r="AL795" s="186"/>
      <c r="AM795" s="29"/>
      <c r="AN795" s="29"/>
      <c r="AO795" s="29"/>
      <c r="AP795" s="29"/>
      <c r="AQ795" s="29"/>
      <c r="AR795" s="29"/>
      <c r="AS795" s="5"/>
      <c r="AT795" s="5"/>
      <c r="AU795" s="5"/>
      <c r="AV795" s="5"/>
      <c r="AW795" s="5"/>
      <c r="AX795" s="5"/>
      <c r="AY795" s="214"/>
      <c r="AZ795" s="83"/>
      <c r="BA795" s="83"/>
      <c r="BB795" s="83"/>
      <c r="BC795" s="5"/>
    </row>
    <row r="796" spans="37:55" x14ac:dyDescent="0.25">
      <c r="AK796" s="83"/>
      <c r="AL796" s="186"/>
      <c r="AM796" s="29"/>
      <c r="AN796" s="29"/>
      <c r="AO796" s="29"/>
      <c r="AP796" s="29"/>
      <c r="AQ796" s="29"/>
      <c r="AR796" s="29"/>
      <c r="AS796" s="5"/>
      <c r="AT796" s="5"/>
      <c r="AU796" s="5"/>
      <c r="AV796" s="5"/>
      <c r="AW796" s="5"/>
      <c r="AX796" s="5"/>
      <c r="AY796" s="214"/>
      <c r="AZ796" s="83"/>
      <c r="BA796" s="83"/>
      <c r="BB796" s="83"/>
      <c r="BC796" s="5"/>
    </row>
    <row r="797" spans="37:55" x14ac:dyDescent="0.25">
      <c r="AK797" s="83"/>
      <c r="AL797" s="186"/>
      <c r="AM797" s="29"/>
      <c r="AN797" s="29"/>
      <c r="AO797" s="29"/>
      <c r="AP797" s="29"/>
      <c r="AQ797" s="29"/>
      <c r="AR797" s="29"/>
      <c r="AS797" s="5"/>
      <c r="AT797" s="5"/>
      <c r="AU797" s="5"/>
      <c r="AV797" s="5"/>
      <c r="AW797" s="5"/>
      <c r="AX797" s="5"/>
      <c r="AY797" s="214"/>
      <c r="AZ797" s="83"/>
      <c r="BA797" s="83"/>
      <c r="BB797" s="83"/>
      <c r="BC797" s="5"/>
    </row>
    <row r="798" spans="37:55" x14ac:dyDescent="0.25">
      <c r="AK798" s="83"/>
      <c r="AL798" s="186"/>
      <c r="AM798" s="29"/>
      <c r="AN798" s="29"/>
      <c r="AO798" s="29"/>
      <c r="AP798" s="29"/>
      <c r="AQ798" s="29"/>
      <c r="AR798" s="29"/>
      <c r="AS798" s="5"/>
      <c r="AT798" s="5"/>
      <c r="AU798" s="5"/>
      <c r="AV798" s="5"/>
      <c r="AW798" s="5"/>
      <c r="AX798" s="5"/>
      <c r="AY798" s="214"/>
      <c r="AZ798" s="83"/>
      <c r="BA798" s="83"/>
      <c r="BB798" s="83"/>
      <c r="BC798" s="5"/>
    </row>
    <row r="799" spans="37:55" x14ac:dyDescent="0.25">
      <c r="AK799" s="83"/>
      <c r="AL799" s="186"/>
      <c r="AM799" s="29"/>
      <c r="AN799" s="29"/>
      <c r="AO799" s="29"/>
      <c r="AP799" s="29"/>
      <c r="AQ799" s="29"/>
      <c r="AR799" s="29"/>
      <c r="AS799" s="5"/>
      <c r="AT799" s="5"/>
      <c r="AU799" s="5"/>
      <c r="AV799" s="5"/>
      <c r="AW799" s="5"/>
      <c r="AX799" s="5"/>
      <c r="AY799" s="214"/>
      <c r="AZ799" s="83"/>
      <c r="BA799" s="83"/>
      <c r="BB799" s="83"/>
      <c r="BC799" s="5"/>
    </row>
    <row r="800" spans="37:55" x14ac:dyDescent="0.25">
      <c r="AK800" s="83"/>
      <c r="AL800" s="186"/>
      <c r="AM800" s="29"/>
      <c r="AN800" s="29"/>
      <c r="AO800" s="29"/>
      <c r="AP800" s="29"/>
      <c r="AQ800" s="29"/>
      <c r="AR800" s="29"/>
      <c r="AS800" s="5"/>
      <c r="AT800" s="5"/>
      <c r="AU800" s="5"/>
      <c r="AV800" s="5"/>
      <c r="AW800" s="5"/>
      <c r="AX800" s="5"/>
      <c r="AY800" s="214"/>
      <c r="AZ800" s="83"/>
      <c r="BA800" s="83"/>
      <c r="BB800" s="83"/>
      <c r="BC800" s="5"/>
    </row>
    <row r="801" spans="37:55" x14ac:dyDescent="0.25">
      <c r="AK801" s="83"/>
      <c r="AL801" s="186"/>
      <c r="AM801" s="29"/>
      <c r="AN801" s="29"/>
      <c r="AO801" s="29"/>
      <c r="AP801" s="29"/>
      <c r="AQ801" s="29"/>
      <c r="AR801" s="29"/>
      <c r="AS801" s="5"/>
      <c r="AT801" s="5"/>
      <c r="AU801" s="5"/>
      <c r="AV801" s="5"/>
      <c r="AW801" s="5"/>
      <c r="AX801" s="5"/>
      <c r="AY801" s="214"/>
      <c r="AZ801" s="83"/>
      <c r="BA801" s="83"/>
      <c r="BB801" s="83"/>
      <c r="BC801" s="5"/>
    </row>
    <row r="802" spans="37:55" x14ac:dyDescent="0.25">
      <c r="AK802" s="83"/>
      <c r="AL802" s="186"/>
      <c r="AM802" s="29"/>
      <c r="AN802" s="29"/>
      <c r="AO802" s="29"/>
      <c r="AP802" s="29"/>
      <c r="AQ802" s="29"/>
      <c r="AR802" s="29"/>
      <c r="AS802" s="5"/>
      <c r="AT802" s="5"/>
      <c r="AU802" s="5"/>
      <c r="AV802" s="5"/>
      <c r="AW802" s="5"/>
      <c r="AX802" s="5"/>
      <c r="AY802" s="214"/>
      <c r="AZ802" s="83"/>
      <c r="BA802" s="83"/>
      <c r="BB802" s="83"/>
      <c r="BC802" s="5"/>
    </row>
    <row r="803" spans="37:55" x14ac:dyDescent="0.25">
      <c r="AK803" s="83"/>
      <c r="AL803" s="186"/>
      <c r="AM803" s="29"/>
      <c r="AN803" s="29"/>
      <c r="AO803" s="29"/>
      <c r="AP803" s="29"/>
      <c r="AQ803" s="29"/>
      <c r="AR803" s="29"/>
      <c r="AS803" s="5"/>
      <c r="AT803" s="5"/>
      <c r="AU803" s="5"/>
      <c r="AV803" s="5"/>
      <c r="AW803" s="5"/>
      <c r="AX803" s="5"/>
      <c r="AY803" s="214"/>
      <c r="AZ803" s="83"/>
      <c r="BA803" s="83"/>
      <c r="BB803" s="83"/>
      <c r="BC803" s="5"/>
    </row>
    <row r="804" spans="37:55" x14ac:dyDescent="0.25">
      <c r="AK804" s="83"/>
      <c r="AL804" s="186"/>
      <c r="AM804" s="29"/>
      <c r="AN804" s="29"/>
      <c r="AO804" s="29"/>
      <c r="AP804" s="29"/>
      <c r="AQ804" s="29"/>
      <c r="AR804" s="29"/>
      <c r="AS804" s="5"/>
      <c r="AT804" s="5"/>
      <c r="AU804" s="5"/>
      <c r="AV804" s="5"/>
      <c r="AW804" s="5"/>
      <c r="AX804" s="5"/>
      <c r="AY804" s="214"/>
      <c r="AZ804" s="83"/>
      <c r="BA804" s="83"/>
      <c r="BB804" s="83"/>
      <c r="BC804" s="5"/>
    </row>
    <row r="805" spans="37:55" x14ac:dyDescent="0.25">
      <c r="AK805" s="83"/>
      <c r="AL805" s="186"/>
      <c r="AM805" s="29"/>
      <c r="AN805" s="29"/>
      <c r="AO805" s="29"/>
      <c r="AP805" s="29"/>
      <c r="AQ805" s="29"/>
      <c r="AR805" s="29"/>
      <c r="AS805" s="5"/>
      <c r="AT805" s="5"/>
      <c r="AU805" s="5"/>
      <c r="AV805" s="5"/>
      <c r="AW805" s="5"/>
      <c r="AX805" s="5"/>
      <c r="AY805" s="214"/>
      <c r="AZ805" s="83"/>
      <c r="BA805" s="83"/>
      <c r="BB805" s="83"/>
      <c r="BC805" s="5"/>
    </row>
    <row r="806" spans="37:55" x14ac:dyDescent="0.25">
      <c r="AK806" s="83"/>
      <c r="AL806" s="186"/>
      <c r="AM806" s="29"/>
      <c r="AN806" s="29"/>
      <c r="AO806" s="29"/>
      <c r="AP806" s="29"/>
      <c r="AQ806" s="29"/>
      <c r="AR806" s="29"/>
      <c r="AS806" s="5"/>
      <c r="AT806" s="5"/>
      <c r="AU806" s="5"/>
      <c r="AV806" s="5"/>
      <c r="AW806" s="5"/>
      <c r="AX806" s="5"/>
      <c r="AY806" s="214"/>
      <c r="AZ806" s="83"/>
      <c r="BA806" s="83"/>
      <c r="BB806" s="83"/>
      <c r="BC806" s="5"/>
    </row>
    <row r="807" spans="37:55" x14ac:dyDescent="0.25">
      <c r="AK807" s="83"/>
      <c r="AL807" s="186"/>
      <c r="AM807" s="29"/>
      <c r="AN807" s="29"/>
      <c r="AO807" s="29"/>
      <c r="AP807" s="29"/>
      <c r="AQ807" s="29"/>
      <c r="AR807" s="29"/>
      <c r="AS807" s="5"/>
      <c r="AT807" s="5"/>
      <c r="AU807" s="5"/>
      <c r="AV807" s="5"/>
      <c r="AW807" s="5"/>
      <c r="AX807" s="5"/>
      <c r="AY807" s="214"/>
      <c r="AZ807" s="83"/>
      <c r="BA807" s="83"/>
      <c r="BB807" s="83"/>
      <c r="BC807" s="5"/>
    </row>
    <row r="808" spans="37:55" x14ac:dyDescent="0.25">
      <c r="AK808" s="83"/>
      <c r="AL808" s="186"/>
      <c r="AM808" s="29"/>
      <c r="AN808" s="29"/>
      <c r="AO808" s="29"/>
      <c r="AP808" s="29"/>
      <c r="AQ808" s="29"/>
      <c r="AR808" s="29"/>
      <c r="AS808" s="5"/>
      <c r="AT808" s="5"/>
      <c r="AU808" s="5"/>
      <c r="AV808" s="5"/>
      <c r="AW808" s="5"/>
      <c r="AX808" s="5"/>
      <c r="AY808" s="214"/>
      <c r="AZ808" s="83"/>
      <c r="BA808" s="83"/>
      <c r="BB808" s="83"/>
      <c r="BC808" s="5"/>
    </row>
    <row r="809" spans="37:55" x14ac:dyDescent="0.25">
      <c r="AK809" s="83"/>
      <c r="AL809" s="186"/>
      <c r="AM809" s="29"/>
      <c r="AN809" s="29"/>
      <c r="AO809" s="29"/>
      <c r="AP809" s="29"/>
      <c r="AQ809" s="29"/>
      <c r="AR809" s="29"/>
      <c r="AS809" s="5"/>
      <c r="AT809" s="5"/>
      <c r="AU809" s="5"/>
      <c r="AV809" s="5"/>
      <c r="AW809" s="5"/>
      <c r="AX809" s="5"/>
      <c r="AY809" s="214"/>
      <c r="AZ809" s="83"/>
      <c r="BA809" s="83"/>
      <c r="BB809" s="83"/>
      <c r="BC809" s="5"/>
    </row>
    <row r="810" spans="37:55" x14ac:dyDescent="0.25">
      <c r="AK810" s="83"/>
      <c r="AL810" s="186"/>
      <c r="AM810" s="29"/>
      <c r="AN810" s="29"/>
      <c r="AO810" s="29"/>
      <c r="AP810" s="29"/>
      <c r="AQ810" s="29"/>
      <c r="AR810" s="29"/>
      <c r="AS810" s="5"/>
      <c r="AT810" s="5"/>
      <c r="AU810" s="5"/>
      <c r="AV810" s="5"/>
      <c r="AW810" s="5"/>
      <c r="AX810" s="5"/>
      <c r="AY810" s="214"/>
      <c r="AZ810" s="83"/>
      <c r="BA810" s="83"/>
      <c r="BB810" s="83"/>
      <c r="BC810" s="5"/>
    </row>
    <row r="811" spans="37:55" x14ac:dyDescent="0.25">
      <c r="AK811" s="83"/>
      <c r="AL811" s="186"/>
      <c r="AM811" s="29"/>
      <c r="AN811" s="29"/>
      <c r="AO811" s="29"/>
      <c r="AP811" s="29"/>
      <c r="AQ811" s="29"/>
      <c r="AR811" s="29"/>
      <c r="AS811" s="5"/>
      <c r="AT811" s="5"/>
      <c r="AU811" s="5"/>
      <c r="AV811" s="5"/>
      <c r="AW811" s="5"/>
      <c r="AX811" s="5"/>
      <c r="AY811" s="214"/>
      <c r="AZ811" s="83"/>
      <c r="BA811" s="83"/>
      <c r="BB811" s="83"/>
      <c r="BC811" s="5"/>
    </row>
    <row r="812" spans="37:55" x14ac:dyDescent="0.25">
      <c r="AK812" s="83"/>
      <c r="AL812" s="186"/>
      <c r="AM812" s="29"/>
      <c r="AN812" s="29"/>
      <c r="AO812" s="29"/>
      <c r="AP812" s="29"/>
      <c r="AQ812" s="29"/>
      <c r="AR812" s="29"/>
      <c r="AS812" s="5"/>
      <c r="AT812" s="5"/>
      <c r="AU812" s="5"/>
      <c r="AV812" s="5"/>
      <c r="AW812" s="5"/>
      <c r="AX812" s="5"/>
      <c r="AY812" s="214"/>
      <c r="AZ812" s="83"/>
      <c r="BA812" s="83"/>
      <c r="BB812" s="83"/>
      <c r="BC812" s="5"/>
    </row>
    <row r="813" spans="37:55" x14ac:dyDescent="0.25">
      <c r="AK813" s="83"/>
      <c r="AL813" s="186"/>
      <c r="AM813" s="29"/>
      <c r="AN813" s="29"/>
      <c r="AO813" s="29"/>
      <c r="AP813" s="29"/>
      <c r="AQ813" s="29"/>
      <c r="AR813" s="29"/>
      <c r="AS813" s="5"/>
      <c r="AT813" s="5"/>
      <c r="AU813" s="5"/>
      <c r="AV813" s="5"/>
      <c r="AW813" s="5"/>
      <c r="AX813" s="5"/>
      <c r="AY813" s="214"/>
      <c r="AZ813" s="83"/>
      <c r="BA813" s="83"/>
      <c r="BB813" s="83"/>
      <c r="BC813" s="5"/>
    </row>
    <row r="814" spans="37:55" x14ac:dyDescent="0.25">
      <c r="AK814" s="83"/>
      <c r="AL814" s="186"/>
      <c r="AM814" s="29"/>
      <c r="AN814" s="29"/>
      <c r="AO814" s="29"/>
      <c r="AP814" s="29"/>
      <c r="AQ814" s="29"/>
      <c r="AR814" s="29"/>
      <c r="AS814" s="5"/>
      <c r="AT814" s="5"/>
      <c r="AU814" s="5"/>
      <c r="AV814" s="5"/>
      <c r="AW814" s="5"/>
      <c r="AX814" s="5"/>
      <c r="AY814" s="214"/>
      <c r="AZ814" s="83"/>
      <c r="BA814" s="83"/>
      <c r="BB814" s="83"/>
      <c r="BC814" s="5"/>
    </row>
    <row r="815" spans="37:55" x14ac:dyDescent="0.25">
      <c r="AK815" s="83"/>
      <c r="AL815" s="186"/>
      <c r="AM815" s="29"/>
      <c r="AN815" s="29"/>
      <c r="AO815" s="29"/>
      <c r="AP815" s="29"/>
      <c r="AQ815" s="29"/>
      <c r="AR815" s="29"/>
      <c r="AS815" s="5"/>
      <c r="AT815" s="5"/>
      <c r="AU815" s="5"/>
      <c r="AV815" s="5"/>
      <c r="AW815" s="5"/>
      <c r="AX815" s="5"/>
      <c r="AY815" s="214"/>
      <c r="AZ815" s="83"/>
      <c r="BA815" s="83"/>
      <c r="BB815" s="83"/>
      <c r="BC815" s="5"/>
    </row>
    <row r="816" spans="37:55" x14ac:dyDescent="0.25">
      <c r="AK816" s="83"/>
      <c r="AL816" s="186"/>
      <c r="AM816" s="29"/>
      <c r="AN816" s="29"/>
      <c r="AO816" s="29"/>
      <c r="AP816" s="29"/>
      <c r="AQ816" s="29"/>
      <c r="AR816" s="29"/>
      <c r="AS816" s="5"/>
      <c r="AT816" s="5"/>
      <c r="AU816" s="5"/>
      <c r="AV816" s="5"/>
      <c r="AW816" s="5"/>
      <c r="AX816" s="5"/>
      <c r="AY816" s="214"/>
      <c r="AZ816" s="83"/>
      <c r="BA816" s="83"/>
      <c r="BB816" s="83"/>
      <c r="BC816" s="5"/>
    </row>
    <row r="817" spans="37:55" x14ac:dyDescent="0.25">
      <c r="AK817" s="83"/>
      <c r="AL817" s="186"/>
      <c r="AM817" s="29"/>
      <c r="AN817" s="29"/>
      <c r="AO817" s="29"/>
      <c r="AP817" s="29"/>
      <c r="AQ817" s="29"/>
      <c r="AR817" s="29"/>
      <c r="AS817" s="5"/>
      <c r="AT817" s="5"/>
      <c r="AU817" s="5"/>
      <c r="AV817" s="5"/>
      <c r="AW817" s="5"/>
      <c r="AX817" s="5"/>
      <c r="AY817" s="214"/>
      <c r="AZ817" s="83"/>
      <c r="BA817" s="83"/>
      <c r="BB817" s="83"/>
      <c r="BC817" s="5"/>
    </row>
    <row r="818" spans="37:55" x14ac:dyDescent="0.25">
      <c r="AK818" s="83"/>
      <c r="AL818" s="186"/>
      <c r="AM818" s="29"/>
      <c r="AN818" s="29"/>
      <c r="AO818" s="29"/>
      <c r="AP818" s="29"/>
      <c r="AQ818" s="29"/>
      <c r="AR818" s="29"/>
      <c r="AS818" s="5"/>
      <c r="AT818" s="5"/>
      <c r="AU818" s="5"/>
      <c r="AV818" s="5"/>
      <c r="AW818" s="5"/>
      <c r="AX818" s="5"/>
      <c r="AY818" s="214"/>
      <c r="AZ818" s="83"/>
      <c r="BA818" s="83"/>
      <c r="BB818" s="83"/>
      <c r="BC818" s="5"/>
    </row>
    <row r="819" spans="37:55" x14ac:dyDescent="0.25">
      <c r="AK819" s="83"/>
      <c r="AL819" s="186"/>
      <c r="AM819" s="29"/>
      <c r="AN819" s="29"/>
      <c r="AO819" s="29"/>
      <c r="AP819" s="29"/>
      <c r="AQ819" s="29"/>
      <c r="AR819" s="29"/>
      <c r="AS819" s="5"/>
      <c r="AT819" s="5"/>
      <c r="AU819" s="5"/>
      <c r="AV819" s="5"/>
      <c r="AW819" s="5"/>
      <c r="AX819" s="5"/>
      <c r="AY819" s="214"/>
      <c r="AZ819" s="83"/>
      <c r="BA819" s="83"/>
      <c r="BB819" s="83"/>
      <c r="BC819" s="5"/>
    </row>
    <row r="820" spans="37:55" x14ac:dyDescent="0.25">
      <c r="AK820" s="83"/>
      <c r="AL820" s="186"/>
      <c r="AM820" s="29"/>
      <c r="AN820" s="29"/>
      <c r="AO820" s="29"/>
      <c r="AP820" s="29"/>
      <c r="AQ820" s="29"/>
      <c r="AR820" s="29"/>
      <c r="AS820" s="5"/>
      <c r="AT820" s="5"/>
      <c r="AU820" s="5"/>
      <c r="AV820" s="5"/>
      <c r="AW820" s="5"/>
      <c r="AX820" s="5"/>
      <c r="AY820" s="214"/>
      <c r="AZ820" s="83"/>
      <c r="BA820" s="83"/>
      <c r="BB820" s="83"/>
      <c r="BC820" s="5"/>
    </row>
    <row r="821" spans="37:55" x14ac:dyDescent="0.25">
      <c r="AK821" s="83"/>
      <c r="AL821" s="186"/>
      <c r="AM821" s="29"/>
      <c r="AN821" s="29"/>
      <c r="AO821" s="29"/>
      <c r="AP821" s="29"/>
      <c r="AQ821" s="29"/>
      <c r="AR821" s="29"/>
      <c r="AS821" s="5"/>
      <c r="AT821" s="5"/>
      <c r="AU821" s="5"/>
      <c r="AV821" s="5"/>
      <c r="AW821" s="5"/>
      <c r="AX821" s="5"/>
      <c r="AY821" s="214"/>
      <c r="AZ821" s="83"/>
      <c r="BA821" s="83"/>
      <c r="BB821" s="83"/>
      <c r="BC821" s="5"/>
    </row>
    <row r="822" spans="37:55" x14ac:dyDescent="0.25">
      <c r="AK822" s="83"/>
      <c r="AL822" s="186"/>
      <c r="AM822" s="29"/>
      <c r="AN822" s="29"/>
      <c r="AO822" s="29"/>
      <c r="AP822" s="29"/>
      <c r="AQ822" s="29"/>
      <c r="AR822" s="29"/>
      <c r="AS822" s="5"/>
      <c r="AT822" s="5"/>
      <c r="AU822" s="5"/>
      <c r="AV822" s="5"/>
      <c r="AW822" s="5"/>
      <c r="AX822" s="5"/>
      <c r="AY822" s="214"/>
      <c r="AZ822" s="83"/>
      <c r="BA822" s="83"/>
      <c r="BB822" s="83"/>
      <c r="BC822" s="5"/>
    </row>
    <row r="823" spans="37:55" x14ac:dyDescent="0.25">
      <c r="AK823" s="83"/>
      <c r="AL823" s="186"/>
      <c r="AM823" s="29"/>
      <c r="AN823" s="29"/>
      <c r="AO823" s="29"/>
      <c r="AP823" s="29"/>
      <c r="AQ823" s="29"/>
      <c r="AR823" s="29"/>
      <c r="AS823" s="5"/>
      <c r="AT823" s="5"/>
      <c r="AU823" s="5"/>
      <c r="AV823" s="5"/>
      <c r="AW823" s="5"/>
      <c r="AX823" s="5"/>
      <c r="AY823" s="214"/>
      <c r="AZ823" s="83"/>
      <c r="BA823" s="83"/>
      <c r="BB823" s="83"/>
      <c r="BC823" s="5"/>
    </row>
    <row r="824" spans="37:55" x14ac:dyDescent="0.25">
      <c r="AK824" s="83"/>
      <c r="AL824" s="186"/>
      <c r="AM824" s="29"/>
      <c r="AN824" s="29"/>
      <c r="AO824" s="29"/>
      <c r="AP824" s="29"/>
      <c r="AQ824" s="29"/>
      <c r="AR824" s="29"/>
      <c r="AS824" s="5"/>
      <c r="AT824" s="5"/>
      <c r="AU824" s="5"/>
      <c r="AV824" s="5"/>
      <c r="AW824" s="5"/>
      <c r="AX824" s="5"/>
      <c r="AY824" s="214"/>
      <c r="AZ824" s="83"/>
      <c r="BA824" s="83"/>
      <c r="BB824" s="83"/>
      <c r="BC824" s="5"/>
    </row>
    <row r="825" spans="37:55" x14ac:dyDescent="0.25">
      <c r="AK825" s="83"/>
      <c r="AL825" s="186"/>
      <c r="AM825" s="29"/>
      <c r="AN825" s="29"/>
      <c r="AO825" s="29"/>
      <c r="AP825" s="29"/>
      <c r="AQ825" s="29"/>
      <c r="AR825" s="29"/>
      <c r="AS825" s="5"/>
      <c r="AT825" s="5"/>
      <c r="AU825" s="5"/>
      <c r="AV825" s="5"/>
      <c r="AW825" s="5"/>
      <c r="AX825" s="5"/>
      <c r="AY825" s="214"/>
      <c r="AZ825" s="83"/>
      <c r="BA825" s="83"/>
      <c r="BB825" s="83"/>
      <c r="BC825" s="5"/>
    </row>
    <row r="826" spans="37:55" x14ac:dyDescent="0.25">
      <c r="AK826" s="83"/>
      <c r="AL826" s="186"/>
      <c r="AM826" s="29"/>
      <c r="AN826" s="29"/>
      <c r="AO826" s="29"/>
      <c r="AP826" s="29"/>
      <c r="AQ826" s="29"/>
      <c r="AR826" s="29"/>
      <c r="AS826" s="5"/>
      <c r="AT826" s="5"/>
      <c r="AU826" s="5"/>
      <c r="AV826" s="5"/>
      <c r="AW826" s="5"/>
      <c r="AX826" s="5"/>
      <c r="AY826" s="214"/>
      <c r="AZ826" s="83"/>
      <c r="BA826" s="83"/>
      <c r="BB826" s="83"/>
      <c r="BC826" s="5"/>
    </row>
    <row r="827" spans="37:55" x14ac:dyDescent="0.25">
      <c r="AK827" s="83"/>
      <c r="AL827" s="186"/>
      <c r="AM827" s="29"/>
      <c r="AN827" s="29"/>
      <c r="AO827" s="29"/>
      <c r="AP827" s="29"/>
      <c r="AQ827" s="29"/>
      <c r="AR827" s="29"/>
      <c r="AS827" s="5"/>
      <c r="AT827" s="5"/>
      <c r="AU827" s="5"/>
      <c r="AV827" s="5"/>
      <c r="AW827" s="5"/>
      <c r="AX827" s="5"/>
      <c r="AY827" s="214"/>
      <c r="AZ827" s="83"/>
      <c r="BA827" s="83"/>
      <c r="BB827" s="83"/>
      <c r="BC827" s="5"/>
    </row>
    <row r="828" spans="37:55" x14ac:dyDescent="0.25">
      <c r="AK828" s="83"/>
      <c r="AL828" s="186"/>
      <c r="AM828" s="29"/>
      <c r="AN828" s="29"/>
      <c r="AO828" s="29"/>
      <c r="AP828" s="29"/>
      <c r="AQ828" s="29"/>
      <c r="AR828" s="29"/>
      <c r="AS828" s="5"/>
      <c r="AT828" s="5"/>
      <c r="AU828" s="5"/>
      <c r="AV828" s="5"/>
      <c r="AW828" s="5"/>
      <c r="AX828" s="5"/>
      <c r="AY828" s="214"/>
      <c r="AZ828" s="83"/>
      <c r="BA828" s="83"/>
      <c r="BB828" s="83"/>
      <c r="BC828" s="5"/>
    </row>
    <row r="829" spans="37:55" x14ac:dyDescent="0.25">
      <c r="AK829" s="83"/>
      <c r="AL829" s="186"/>
      <c r="AM829" s="29"/>
      <c r="AN829" s="29"/>
      <c r="AO829" s="29"/>
      <c r="AP829" s="29"/>
      <c r="AQ829" s="29"/>
      <c r="AR829" s="29"/>
      <c r="AS829" s="5"/>
      <c r="AT829" s="5"/>
      <c r="AU829" s="5"/>
      <c r="AV829" s="5"/>
      <c r="AW829" s="5"/>
      <c r="AX829" s="5"/>
      <c r="AY829" s="214"/>
      <c r="AZ829" s="83"/>
      <c r="BA829" s="83"/>
      <c r="BB829" s="83"/>
      <c r="BC829" s="5"/>
    </row>
    <row r="830" spans="37:55" x14ac:dyDescent="0.25">
      <c r="AK830" s="83"/>
      <c r="AL830" s="186"/>
      <c r="AM830" s="29"/>
      <c r="AN830" s="29"/>
      <c r="AO830" s="29"/>
      <c r="AP830" s="29"/>
      <c r="AQ830" s="29"/>
      <c r="AR830" s="29"/>
      <c r="AS830" s="5"/>
      <c r="AT830" s="5"/>
      <c r="AU830" s="5"/>
      <c r="AV830" s="5"/>
      <c r="AW830" s="5"/>
      <c r="AX830" s="5"/>
      <c r="AY830" s="214"/>
      <c r="AZ830" s="83"/>
      <c r="BA830" s="83"/>
      <c r="BB830" s="83"/>
      <c r="BC830" s="5"/>
    </row>
    <row r="831" spans="37:55" x14ac:dyDescent="0.25">
      <c r="AK831" s="83"/>
      <c r="AL831" s="186"/>
      <c r="AM831" s="29"/>
      <c r="AN831" s="29"/>
      <c r="AO831" s="29"/>
      <c r="AP831" s="29"/>
      <c r="AQ831" s="29"/>
      <c r="AR831" s="29"/>
      <c r="AS831" s="5"/>
      <c r="AT831" s="5"/>
      <c r="AU831" s="5"/>
      <c r="AV831" s="5"/>
      <c r="AW831" s="5"/>
      <c r="AX831" s="5"/>
      <c r="AY831" s="214"/>
      <c r="AZ831" s="83"/>
      <c r="BA831" s="83"/>
      <c r="BB831" s="83"/>
      <c r="BC831" s="5"/>
    </row>
    <row r="832" spans="37:55" x14ac:dyDescent="0.25">
      <c r="AK832" s="83"/>
      <c r="AL832" s="186"/>
      <c r="AM832" s="29"/>
      <c r="AN832" s="29"/>
      <c r="AO832" s="29"/>
      <c r="AP832" s="29"/>
      <c r="AQ832" s="29"/>
      <c r="AR832" s="29"/>
      <c r="AS832" s="5"/>
      <c r="AT832" s="5"/>
      <c r="AU832" s="5"/>
      <c r="AV832" s="5"/>
      <c r="AW832" s="5"/>
      <c r="AX832" s="5"/>
      <c r="AY832" s="214"/>
      <c r="AZ832" s="83"/>
      <c r="BA832" s="83"/>
      <c r="BB832" s="83"/>
      <c r="BC832" s="5"/>
    </row>
    <row r="833" spans="37:55" x14ac:dyDescent="0.25">
      <c r="AK833" s="83"/>
      <c r="AL833" s="186"/>
      <c r="AM833" s="29"/>
      <c r="AN833" s="29"/>
      <c r="AO833" s="29"/>
      <c r="AP833" s="29"/>
      <c r="AQ833" s="29"/>
      <c r="AR833" s="29"/>
      <c r="AS833" s="5"/>
      <c r="AT833" s="5"/>
      <c r="AU833" s="5"/>
      <c r="AV833" s="5"/>
      <c r="AW833" s="5"/>
      <c r="AX833" s="5"/>
      <c r="AY833" s="214"/>
      <c r="AZ833" s="83"/>
      <c r="BA833" s="83"/>
      <c r="BB833" s="83"/>
      <c r="BC833" s="5"/>
    </row>
    <row r="834" spans="37:55" x14ac:dyDescent="0.25">
      <c r="AK834" s="83"/>
      <c r="AL834" s="186"/>
      <c r="AM834" s="29"/>
      <c r="AN834" s="29"/>
      <c r="AO834" s="29"/>
      <c r="AP834" s="29"/>
      <c r="AQ834" s="29"/>
      <c r="AR834" s="29"/>
      <c r="AS834" s="5"/>
      <c r="AT834" s="5"/>
      <c r="AU834" s="5"/>
      <c r="AV834" s="5"/>
      <c r="AW834" s="5"/>
      <c r="AX834" s="5"/>
      <c r="AY834" s="214"/>
      <c r="AZ834" s="83"/>
      <c r="BA834" s="83"/>
      <c r="BB834" s="83"/>
      <c r="BC834" s="5"/>
    </row>
    <row r="835" spans="37:55" x14ac:dyDescent="0.25">
      <c r="AK835" s="83"/>
      <c r="AL835" s="186"/>
      <c r="AM835" s="29"/>
      <c r="AN835" s="29"/>
      <c r="AO835" s="29"/>
      <c r="AP835" s="29"/>
      <c r="AQ835" s="29"/>
      <c r="AR835" s="29"/>
      <c r="AS835" s="5"/>
      <c r="AT835" s="5"/>
      <c r="AU835" s="5"/>
      <c r="AV835" s="5"/>
      <c r="AW835" s="5"/>
      <c r="AX835" s="5"/>
      <c r="AY835" s="214"/>
      <c r="AZ835" s="83"/>
      <c r="BA835" s="83"/>
      <c r="BB835" s="83"/>
      <c r="BC835" s="5"/>
    </row>
    <row r="836" spans="37:55" x14ac:dyDescent="0.25">
      <c r="AK836" s="83"/>
      <c r="AL836" s="186"/>
      <c r="AM836" s="29"/>
      <c r="AN836" s="29"/>
      <c r="AO836" s="29"/>
      <c r="AP836" s="29"/>
      <c r="AQ836" s="29"/>
      <c r="AR836" s="29"/>
      <c r="AS836" s="5"/>
      <c r="AT836" s="5"/>
      <c r="AU836" s="5"/>
      <c r="AV836" s="5"/>
      <c r="AW836" s="5"/>
      <c r="AX836" s="5"/>
      <c r="AY836" s="214"/>
      <c r="AZ836" s="83"/>
      <c r="BA836" s="83"/>
      <c r="BB836" s="83"/>
      <c r="BC836" s="5"/>
    </row>
    <row r="837" spans="37:55" x14ac:dyDescent="0.25">
      <c r="AK837" s="83"/>
      <c r="AL837" s="186"/>
      <c r="AM837" s="29"/>
      <c r="AN837" s="29"/>
      <c r="AO837" s="29"/>
      <c r="AP837" s="29"/>
      <c r="AQ837" s="29"/>
      <c r="AR837" s="29"/>
      <c r="AS837" s="5"/>
      <c r="AT837" s="5"/>
      <c r="AU837" s="5"/>
      <c r="AV837" s="5"/>
      <c r="AW837" s="5"/>
      <c r="AX837" s="5"/>
      <c r="AY837" s="214"/>
      <c r="AZ837" s="83"/>
      <c r="BA837" s="83"/>
      <c r="BB837" s="83"/>
      <c r="BC837" s="5"/>
    </row>
    <row r="838" spans="37:55" x14ac:dyDescent="0.25">
      <c r="AK838" s="83"/>
      <c r="AL838" s="186"/>
      <c r="AM838" s="29"/>
      <c r="AN838" s="29"/>
      <c r="AO838" s="29"/>
      <c r="AP838" s="29"/>
      <c r="AQ838" s="29"/>
      <c r="AR838" s="29"/>
      <c r="AS838" s="5"/>
      <c r="AT838" s="5"/>
      <c r="AU838" s="5"/>
      <c r="AV838" s="5"/>
      <c r="AW838" s="5"/>
      <c r="AX838" s="5"/>
      <c r="AY838" s="214"/>
      <c r="AZ838" s="83"/>
      <c r="BA838" s="83"/>
      <c r="BB838" s="83"/>
      <c r="BC838" s="5"/>
    </row>
    <row r="839" spans="37:55" x14ac:dyDescent="0.25">
      <c r="AK839" s="83"/>
      <c r="AL839" s="186"/>
      <c r="AM839" s="29"/>
      <c r="AN839" s="29"/>
      <c r="AO839" s="29"/>
      <c r="AP839" s="29"/>
      <c r="AQ839" s="29"/>
      <c r="AR839" s="29"/>
      <c r="AS839" s="5"/>
      <c r="AT839" s="5"/>
      <c r="AU839" s="5"/>
      <c r="AV839" s="5"/>
      <c r="AW839" s="5"/>
      <c r="AX839" s="5"/>
      <c r="AY839" s="214"/>
      <c r="AZ839" s="83"/>
      <c r="BA839" s="83"/>
      <c r="BB839" s="83"/>
      <c r="BC839" s="5"/>
    </row>
    <row r="840" spans="37:55" x14ac:dyDescent="0.25">
      <c r="AK840" s="83"/>
      <c r="AL840" s="186"/>
      <c r="AM840" s="29"/>
      <c r="AN840" s="29"/>
      <c r="AO840" s="29"/>
      <c r="AP840" s="29"/>
      <c r="AQ840" s="29"/>
      <c r="AR840" s="29"/>
      <c r="AS840" s="5"/>
      <c r="AT840" s="5"/>
      <c r="AU840" s="5"/>
      <c r="AV840" s="5"/>
      <c r="AW840" s="5"/>
      <c r="AX840" s="5"/>
      <c r="AY840" s="214"/>
      <c r="AZ840" s="83"/>
      <c r="BA840" s="83"/>
      <c r="BB840" s="83"/>
      <c r="BC840" s="5"/>
    </row>
    <row r="841" spans="37:55" x14ac:dyDescent="0.25">
      <c r="AK841" s="83"/>
      <c r="AL841" s="186"/>
      <c r="AM841" s="29"/>
      <c r="AN841" s="29"/>
      <c r="AO841" s="29"/>
      <c r="AP841" s="29"/>
      <c r="AQ841" s="29"/>
      <c r="AR841" s="29"/>
      <c r="AS841" s="5"/>
      <c r="AT841" s="5"/>
      <c r="AU841" s="5"/>
      <c r="AV841" s="5"/>
      <c r="AW841" s="5"/>
      <c r="AX841" s="5"/>
      <c r="AY841" s="214"/>
      <c r="AZ841" s="83"/>
      <c r="BA841" s="83"/>
      <c r="BB841" s="83"/>
      <c r="BC841" s="5"/>
    </row>
    <row r="842" spans="37:55" x14ac:dyDescent="0.25">
      <c r="AK842" s="83"/>
      <c r="AL842" s="186"/>
      <c r="AM842" s="29"/>
      <c r="AN842" s="29"/>
      <c r="AO842" s="29"/>
      <c r="AP842" s="29"/>
      <c r="AQ842" s="29"/>
      <c r="AR842" s="29"/>
      <c r="AS842" s="5"/>
      <c r="AT842" s="5"/>
      <c r="AU842" s="5"/>
      <c r="AV842" s="5"/>
      <c r="AW842" s="5"/>
      <c r="AX842" s="5"/>
      <c r="AY842" s="214"/>
      <c r="AZ842" s="83"/>
      <c r="BA842" s="83"/>
      <c r="BB842" s="83"/>
      <c r="BC842" s="5"/>
    </row>
    <row r="843" spans="37:55" x14ac:dyDescent="0.25">
      <c r="AK843" s="83"/>
      <c r="AL843" s="186"/>
      <c r="AM843" s="29"/>
      <c r="AN843" s="29"/>
      <c r="AO843" s="29"/>
      <c r="AP843" s="29"/>
      <c r="AQ843" s="29"/>
      <c r="AR843" s="29"/>
      <c r="AS843" s="5"/>
      <c r="AT843" s="5"/>
      <c r="AU843" s="5"/>
      <c r="AV843" s="5"/>
      <c r="AW843" s="5"/>
      <c r="AX843" s="5"/>
      <c r="AY843" s="214"/>
      <c r="AZ843" s="83"/>
      <c r="BA843" s="83"/>
      <c r="BB843" s="83"/>
      <c r="BC843" s="5"/>
    </row>
    <row r="844" spans="37:55" x14ac:dyDescent="0.25">
      <c r="AK844" s="83"/>
      <c r="AL844" s="186"/>
      <c r="AM844" s="29"/>
      <c r="AN844" s="29"/>
      <c r="AO844" s="29"/>
      <c r="AP844" s="29"/>
      <c r="AQ844" s="29"/>
      <c r="AR844" s="29"/>
      <c r="AS844" s="5"/>
      <c r="AT844" s="5"/>
      <c r="AU844" s="5"/>
      <c r="AV844" s="5"/>
      <c r="AW844" s="5"/>
      <c r="AX844" s="5"/>
      <c r="AY844" s="214"/>
      <c r="AZ844" s="83"/>
      <c r="BA844" s="83"/>
      <c r="BB844" s="83"/>
      <c r="BC844" s="5"/>
    </row>
    <row r="845" spans="37:55" x14ac:dyDescent="0.25">
      <c r="AK845" s="83"/>
      <c r="AL845" s="186"/>
      <c r="AM845" s="29"/>
      <c r="AN845" s="29"/>
      <c r="AO845" s="29"/>
      <c r="AP845" s="29"/>
      <c r="AQ845" s="29"/>
      <c r="AR845" s="29"/>
      <c r="AS845" s="5"/>
      <c r="AT845" s="5"/>
      <c r="AU845" s="5"/>
      <c r="AV845" s="5"/>
      <c r="AW845" s="5"/>
      <c r="AX845" s="5"/>
      <c r="AY845" s="214"/>
      <c r="AZ845" s="83"/>
      <c r="BA845" s="83"/>
      <c r="BB845" s="83"/>
      <c r="BC845" s="5"/>
    </row>
    <row r="846" spans="37:55" x14ac:dyDescent="0.25">
      <c r="AK846" s="83"/>
      <c r="AL846" s="186"/>
      <c r="AM846" s="29"/>
      <c r="AN846" s="29"/>
      <c r="AO846" s="29"/>
      <c r="AP846" s="29"/>
      <c r="AQ846" s="29"/>
      <c r="AR846" s="29"/>
      <c r="AS846" s="5"/>
      <c r="AT846" s="5"/>
      <c r="AU846" s="5"/>
      <c r="AV846" s="5"/>
      <c r="AW846" s="5"/>
      <c r="AX846" s="5"/>
      <c r="AY846" s="214"/>
      <c r="AZ846" s="83"/>
      <c r="BA846" s="83"/>
      <c r="BB846" s="83"/>
      <c r="BC846" s="5"/>
    </row>
    <row r="847" spans="37:55" x14ac:dyDescent="0.25">
      <c r="AK847" s="83"/>
      <c r="AL847" s="186"/>
      <c r="AM847" s="29"/>
      <c r="AN847" s="29"/>
      <c r="AO847" s="29"/>
      <c r="AP847" s="29"/>
      <c r="AQ847" s="29"/>
      <c r="AR847" s="29"/>
      <c r="AS847" s="5"/>
      <c r="AT847" s="5"/>
      <c r="AU847" s="5"/>
      <c r="AV847" s="5"/>
      <c r="AW847" s="5"/>
      <c r="AX847" s="5"/>
      <c r="AY847" s="214"/>
      <c r="AZ847" s="83"/>
      <c r="BA847" s="83"/>
      <c r="BB847" s="83"/>
      <c r="BC847" s="5"/>
    </row>
    <row r="848" spans="37:55" x14ac:dyDescent="0.25">
      <c r="AK848" s="83"/>
      <c r="AL848" s="186"/>
      <c r="AM848" s="29"/>
      <c r="AN848" s="29"/>
      <c r="AO848" s="29"/>
      <c r="AP848" s="29"/>
      <c r="AQ848" s="29"/>
      <c r="AR848" s="29"/>
      <c r="AS848" s="5"/>
      <c r="AT848" s="5"/>
      <c r="AU848" s="5"/>
      <c r="AV848" s="5"/>
      <c r="AW848" s="5"/>
      <c r="AX848" s="5"/>
      <c r="AY848" s="214"/>
      <c r="AZ848" s="83"/>
      <c r="BA848" s="83"/>
      <c r="BB848" s="83"/>
      <c r="BC848" s="5"/>
    </row>
    <row r="849" spans="37:55" x14ac:dyDescent="0.25">
      <c r="AK849" s="83"/>
      <c r="AL849" s="186"/>
      <c r="AM849" s="29"/>
      <c r="AN849" s="29"/>
      <c r="AO849" s="29"/>
      <c r="AP849" s="29"/>
      <c r="AQ849" s="29"/>
      <c r="AR849" s="29"/>
      <c r="AS849" s="5"/>
      <c r="AT849" s="5"/>
      <c r="AU849" s="5"/>
      <c r="AV849" s="5"/>
      <c r="AW849" s="5"/>
      <c r="AX849" s="5"/>
      <c r="AY849" s="214"/>
      <c r="AZ849" s="83"/>
      <c r="BA849" s="83"/>
      <c r="BB849" s="83"/>
      <c r="BC849" s="5"/>
    </row>
    <row r="850" spans="37:55" x14ac:dyDescent="0.25">
      <c r="AK850" s="83"/>
      <c r="AL850" s="186"/>
      <c r="AM850" s="29"/>
      <c r="AN850" s="29"/>
      <c r="AO850" s="29"/>
      <c r="AP850" s="29"/>
      <c r="AQ850" s="29"/>
      <c r="AR850" s="29"/>
      <c r="AS850" s="5"/>
      <c r="AT850" s="5"/>
      <c r="AU850" s="5"/>
      <c r="AV850" s="5"/>
      <c r="AW850" s="5"/>
      <c r="AX850" s="5"/>
      <c r="AY850" s="214"/>
      <c r="AZ850" s="83"/>
      <c r="BA850" s="83"/>
      <c r="BB850" s="83"/>
      <c r="BC850" s="5"/>
    </row>
    <row r="851" spans="37:55" x14ac:dyDescent="0.25">
      <c r="AK851" s="83"/>
      <c r="AL851" s="186"/>
      <c r="AM851" s="29"/>
      <c r="AN851" s="29"/>
      <c r="AO851" s="29"/>
      <c r="AP851" s="29"/>
      <c r="AQ851" s="29"/>
      <c r="AR851" s="29"/>
      <c r="AS851" s="5"/>
      <c r="AT851" s="5"/>
      <c r="AU851" s="5"/>
      <c r="AV851" s="5"/>
      <c r="AW851" s="5"/>
      <c r="AX851" s="5"/>
      <c r="AY851" s="214"/>
      <c r="AZ851" s="83"/>
      <c r="BA851" s="83"/>
      <c r="BB851" s="83"/>
      <c r="BC851" s="5"/>
    </row>
    <row r="852" spans="37:55" x14ac:dyDescent="0.25">
      <c r="AK852" s="83"/>
      <c r="AL852" s="186"/>
      <c r="AM852" s="29"/>
      <c r="AN852" s="29"/>
      <c r="AO852" s="29"/>
      <c r="AP852" s="29"/>
      <c r="AQ852" s="29"/>
      <c r="AR852" s="29"/>
      <c r="AS852" s="5"/>
      <c r="AT852" s="5"/>
      <c r="AU852" s="5"/>
      <c r="AV852" s="5"/>
      <c r="AW852" s="5"/>
      <c r="AX852" s="5"/>
      <c r="AY852" s="214"/>
      <c r="AZ852" s="83"/>
      <c r="BA852" s="83"/>
      <c r="BB852" s="83"/>
      <c r="BC852" s="5"/>
    </row>
    <row r="853" spans="37:55" x14ac:dyDescent="0.25">
      <c r="AK853" s="83"/>
      <c r="AL853" s="186"/>
      <c r="AM853" s="29"/>
      <c r="AN853" s="29"/>
      <c r="AO853" s="29"/>
      <c r="AP853" s="29"/>
      <c r="AQ853" s="29"/>
      <c r="AR853" s="29"/>
      <c r="AS853" s="5"/>
      <c r="AT853" s="5"/>
      <c r="AU853" s="5"/>
      <c r="AV853" s="5"/>
      <c r="AW853" s="5"/>
      <c r="AX853" s="5"/>
      <c r="AY853" s="214"/>
      <c r="AZ853" s="83"/>
      <c r="BA853" s="83"/>
      <c r="BB853" s="83"/>
      <c r="BC853" s="5"/>
    </row>
    <row r="854" spans="37:55" x14ac:dyDescent="0.25">
      <c r="AK854" s="83"/>
      <c r="AL854" s="186"/>
      <c r="AM854" s="29"/>
      <c r="AN854" s="29"/>
      <c r="AO854" s="29"/>
      <c r="AP854" s="29"/>
      <c r="AQ854" s="29"/>
      <c r="AR854" s="29"/>
      <c r="AS854" s="5"/>
      <c r="AT854" s="5"/>
      <c r="AU854" s="5"/>
      <c r="AV854" s="5"/>
      <c r="AW854" s="5"/>
      <c r="AX854" s="5"/>
      <c r="AY854" s="214"/>
      <c r="AZ854" s="83"/>
      <c r="BA854" s="83"/>
      <c r="BB854" s="83"/>
      <c r="BC854" s="5"/>
    </row>
    <row r="855" spans="37:55" x14ac:dyDescent="0.25">
      <c r="AK855" s="83"/>
      <c r="AL855" s="186"/>
      <c r="AM855" s="29"/>
      <c r="AN855" s="29"/>
      <c r="AO855" s="29"/>
      <c r="AP855" s="29"/>
      <c r="AQ855" s="29"/>
      <c r="AR855" s="29"/>
      <c r="AS855" s="5"/>
      <c r="AT855" s="5"/>
      <c r="AU855" s="5"/>
      <c r="AV855" s="5"/>
      <c r="AW855" s="5"/>
      <c r="AX855" s="5"/>
      <c r="AY855" s="214"/>
      <c r="AZ855" s="83"/>
      <c r="BA855" s="83"/>
      <c r="BB855" s="83"/>
      <c r="BC855" s="5"/>
    </row>
    <row r="856" spans="37:55" x14ac:dyDescent="0.25">
      <c r="AK856" s="83"/>
      <c r="AL856" s="186"/>
      <c r="AM856" s="29"/>
      <c r="AN856" s="29"/>
      <c r="AO856" s="29"/>
      <c r="AP856" s="29"/>
      <c r="AQ856" s="29"/>
      <c r="AR856" s="29"/>
      <c r="AS856" s="5"/>
      <c r="AT856" s="5"/>
      <c r="AU856" s="5"/>
      <c r="AV856" s="5"/>
      <c r="AW856" s="5"/>
      <c r="AX856" s="5"/>
      <c r="AY856" s="214"/>
      <c r="AZ856" s="83"/>
      <c r="BA856" s="83"/>
      <c r="BB856" s="83"/>
      <c r="BC856" s="5"/>
    </row>
    <row r="857" spans="37:55" x14ac:dyDescent="0.25">
      <c r="AK857" s="83"/>
      <c r="AL857" s="186"/>
      <c r="AM857" s="29"/>
      <c r="AN857" s="29"/>
      <c r="AO857" s="29"/>
      <c r="AP857" s="29"/>
      <c r="AQ857" s="29"/>
      <c r="AR857" s="29"/>
      <c r="AS857" s="5"/>
      <c r="AT857" s="5"/>
      <c r="AU857" s="5"/>
      <c r="AV857" s="5"/>
      <c r="AW857" s="5"/>
      <c r="AX857" s="5"/>
      <c r="AY857" s="214"/>
      <c r="AZ857" s="83"/>
      <c r="BA857" s="83"/>
      <c r="BB857" s="83"/>
      <c r="BC857" s="5"/>
    </row>
    <row r="858" spans="37:55" x14ac:dyDescent="0.25">
      <c r="AK858" s="83"/>
      <c r="AL858" s="186"/>
      <c r="AM858" s="29"/>
      <c r="AN858" s="29"/>
      <c r="AO858" s="29"/>
      <c r="AP858" s="29"/>
      <c r="AQ858" s="29"/>
      <c r="AR858" s="29"/>
      <c r="AS858" s="5"/>
      <c r="AT858" s="5"/>
      <c r="AU858" s="5"/>
      <c r="AV858" s="5"/>
      <c r="AW858" s="5"/>
      <c r="AX858" s="5"/>
      <c r="AY858" s="214"/>
      <c r="AZ858" s="83"/>
      <c r="BA858" s="83"/>
      <c r="BB858" s="83"/>
      <c r="BC858" s="5"/>
    </row>
    <row r="859" spans="37:55" x14ac:dyDescent="0.25">
      <c r="AK859" s="83"/>
      <c r="AL859" s="186"/>
      <c r="AM859" s="29"/>
      <c r="AN859" s="29"/>
      <c r="AO859" s="29"/>
      <c r="AP859" s="29"/>
      <c r="AQ859" s="29"/>
      <c r="AR859" s="29"/>
      <c r="AS859" s="5"/>
      <c r="AT859" s="5"/>
      <c r="AU859" s="5"/>
      <c r="AV859" s="5"/>
      <c r="AW859" s="5"/>
      <c r="AX859" s="5"/>
      <c r="AY859" s="214"/>
      <c r="AZ859" s="83"/>
      <c r="BA859" s="83"/>
      <c r="BB859" s="83"/>
      <c r="BC859" s="5"/>
    </row>
    <row r="860" spans="37:55" x14ac:dyDescent="0.25">
      <c r="AK860" s="83"/>
      <c r="AL860" s="186"/>
      <c r="AM860" s="29"/>
      <c r="AN860" s="29"/>
      <c r="AO860" s="29"/>
      <c r="AP860" s="29"/>
      <c r="AQ860" s="29"/>
      <c r="AR860" s="29"/>
      <c r="AS860" s="5"/>
      <c r="AT860" s="5"/>
      <c r="AU860" s="5"/>
      <c r="AV860" s="5"/>
      <c r="AW860" s="5"/>
      <c r="AX860" s="5"/>
      <c r="AY860" s="214"/>
      <c r="AZ860" s="83"/>
      <c r="BA860" s="83"/>
      <c r="BB860" s="83"/>
      <c r="BC860" s="5"/>
    </row>
    <row r="861" spans="37:55" x14ac:dyDescent="0.25">
      <c r="AK861" s="83"/>
      <c r="AL861" s="186"/>
      <c r="AM861" s="29"/>
      <c r="AN861" s="29"/>
      <c r="AO861" s="29"/>
      <c r="AP861" s="29"/>
      <c r="AQ861" s="29"/>
      <c r="AR861" s="29"/>
      <c r="AS861" s="5"/>
      <c r="AT861" s="5"/>
      <c r="AU861" s="5"/>
      <c r="AV861" s="5"/>
      <c r="AW861" s="5"/>
      <c r="AX861" s="5"/>
      <c r="AY861" s="214"/>
      <c r="AZ861" s="83"/>
      <c r="BA861" s="83"/>
      <c r="BB861" s="83"/>
      <c r="BC861" s="5"/>
    </row>
    <row r="862" spans="37:55" x14ac:dyDescent="0.25">
      <c r="AK862" s="83"/>
      <c r="AL862" s="186"/>
      <c r="AM862" s="29"/>
      <c r="AN862" s="29"/>
      <c r="AO862" s="29"/>
      <c r="AP862" s="29"/>
      <c r="AQ862" s="29"/>
      <c r="AR862" s="29"/>
      <c r="AS862" s="5"/>
      <c r="AT862" s="5"/>
      <c r="AU862" s="5"/>
      <c r="AV862" s="5"/>
      <c r="AW862" s="5"/>
      <c r="AX862" s="5"/>
      <c r="AY862" s="214"/>
      <c r="AZ862" s="83"/>
      <c r="BA862" s="83"/>
      <c r="BB862" s="83"/>
      <c r="BC862" s="5"/>
    </row>
    <row r="863" spans="37:55" x14ac:dyDescent="0.25">
      <c r="AK863" s="83"/>
      <c r="AL863" s="186"/>
      <c r="AM863" s="29"/>
      <c r="AN863" s="29"/>
      <c r="AO863" s="29"/>
      <c r="AP863" s="29"/>
      <c r="AQ863" s="29"/>
      <c r="AR863" s="29"/>
      <c r="AS863" s="5"/>
      <c r="AT863" s="5"/>
      <c r="AU863" s="5"/>
      <c r="AV863" s="5"/>
      <c r="AW863" s="5"/>
      <c r="AX863" s="5"/>
      <c r="AY863" s="214"/>
      <c r="AZ863" s="83"/>
      <c r="BA863" s="83"/>
      <c r="BB863" s="83"/>
      <c r="BC863" s="5"/>
    </row>
    <row r="864" spans="37:55" x14ac:dyDescent="0.25">
      <c r="AK864" s="83"/>
      <c r="AL864" s="186"/>
      <c r="AM864" s="29"/>
      <c r="AN864" s="29"/>
      <c r="AO864" s="29"/>
      <c r="AP864" s="29"/>
      <c r="AQ864" s="29"/>
      <c r="AR864" s="29"/>
      <c r="AS864" s="5"/>
      <c r="AT864" s="5"/>
      <c r="AU864" s="5"/>
      <c r="AV864" s="5"/>
      <c r="AW864" s="5"/>
      <c r="AX864" s="5"/>
      <c r="AY864" s="214"/>
      <c r="AZ864" s="83"/>
      <c r="BA864" s="83"/>
      <c r="BB864" s="83"/>
      <c r="BC864" s="5"/>
    </row>
    <row r="865" spans="37:55" x14ac:dyDescent="0.25">
      <c r="AK865" s="83"/>
      <c r="AL865" s="186"/>
      <c r="AM865" s="29"/>
      <c r="AN865" s="29"/>
      <c r="AO865" s="29"/>
      <c r="AP865" s="29"/>
      <c r="AQ865" s="29"/>
      <c r="AR865" s="29"/>
      <c r="AS865" s="5"/>
      <c r="AT865" s="5"/>
      <c r="AU865" s="5"/>
      <c r="AV865" s="5"/>
      <c r="AW865" s="5"/>
      <c r="AX865" s="5"/>
      <c r="AY865" s="214"/>
      <c r="AZ865" s="83"/>
      <c r="BA865" s="83"/>
      <c r="BB865" s="83"/>
      <c r="BC865" s="5"/>
    </row>
    <row r="866" spans="37:55" x14ac:dyDescent="0.25">
      <c r="AK866" s="83"/>
      <c r="AL866" s="186"/>
      <c r="AM866" s="29"/>
      <c r="AN866" s="29"/>
      <c r="AO866" s="29"/>
      <c r="AP866" s="29"/>
      <c r="AQ866" s="29"/>
      <c r="AR866" s="29"/>
      <c r="AS866" s="5"/>
      <c r="AT866" s="5"/>
      <c r="AU866" s="5"/>
      <c r="AV866" s="5"/>
      <c r="AW866" s="5"/>
      <c r="AX866" s="5"/>
      <c r="AY866" s="214"/>
      <c r="AZ866" s="83"/>
      <c r="BA866" s="83"/>
      <c r="BB866" s="83"/>
      <c r="BC866" s="5"/>
    </row>
    <row r="867" spans="37:55" x14ac:dyDescent="0.25">
      <c r="AK867" s="83"/>
      <c r="AL867" s="186"/>
      <c r="AM867" s="29"/>
      <c r="AN867" s="29"/>
      <c r="AO867" s="29"/>
      <c r="AP867" s="29"/>
      <c r="AQ867" s="29"/>
      <c r="AR867" s="29"/>
      <c r="AS867" s="5"/>
      <c r="AT867" s="5"/>
      <c r="AU867" s="5"/>
      <c r="AV867" s="5"/>
      <c r="AW867" s="5"/>
      <c r="AX867" s="5"/>
      <c r="AY867" s="214"/>
      <c r="AZ867" s="83"/>
      <c r="BA867" s="83"/>
      <c r="BB867" s="83"/>
      <c r="BC867" s="5"/>
    </row>
    <row r="868" spans="37:55" x14ac:dyDescent="0.25">
      <c r="AK868" s="83"/>
      <c r="AL868" s="186"/>
      <c r="AM868" s="29"/>
      <c r="AN868" s="29"/>
      <c r="AO868" s="29"/>
      <c r="AP868" s="29"/>
      <c r="AQ868" s="29"/>
      <c r="AR868" s="29"/>
      <c r="AS868" s="5"/>
      <c r="AT868" s="5"/>
      <c r="AU868" s="5"/>
      <c r="AV868" s="5"/>
      <c r="AW868" s="5"/>
      <c r="AX868" s="5"/>
      <c r="AY868" s="214"/>
      <c r="AZ868" s="83"/>
      <c r="BA868" s="83"/>
      <c r="BB868" s="83"/>
      <c r="BC868" s="5"/>
    </row>
    <row r="869" spans="37:55" x14ac:dyDescent="0.25">
      <c r="AK869" s="83"/>
      <c r="AL869" s="186"/>
      <c r="AM869" s="29"/>
      <c r="AN869" s="29"/>
      <c r="AO869" s="29"/>
      <c r="AP869" s="29"/>
      <c r="AQ869" s="29"/>
      <c r="AR869" s="29"/>
      <c r="AS869" s="5"/>
      <c r="AT869" s="5"/>
      <c r="AU869" s="5"/>
      <c r="AV869" s="5"/>
      <c r="AW869" s="5"/>
      <c r="AX869" s="5"/>
      <c r="AY869" s="214"/>
      <c r="AZ869" s="83"/>
      <c r="BA869" s="83"/>
      <c r="BB869" s="83"/>
      <c r="BC869" s="5"/>
    </row>
    <row r="870" spans="37:55" x14ac:dyDescent="0.25">
      <c r="AK870" s="83"/>
      <c r="AL870" s="186"/>
      <c r="AM870" s="29"/>
      <c r="AN870" s="29"/>
      <c r="AO870" s="29"/>
      <c r="AP870" s="29"/>
      <c r="AQ870" s="29"/>
      <c r="AR870" s="29"/>
      <c r="AS870" s="5"/>
      <c r="AT870" s="5"/>
      <c r="AU870" s="5"/>
      <c r="AV870" s="5"/>
      <c r="AW870" s="5"/>
      <c r="AX870" s="5"/>
      <c r="AY870" s="214"/>
      <c r="AZ870" s="83"/>
      <c r="BA870" s="83"/>
      <c r="BB870" s="83"/>
      <c r="BC870" s="5"/>
    </row>
    <row r="871" spans="37:55" x14ac:dyDescent="0.25">
      <c r="AK871" s="83"/>
      <c r="AL871" s="186"/>
      <c r="AM871" s="29"/>
      <c r="AN871" s="29"/>
      <c r="AO871" s="29"/>
      <c r="AP871" s="29"/>
      <c r="AQ871" s="29"/>
      <c r="AR871" s="29"/>
      <c r="AS871" s="5"/>
      <c r="AT871" s="5"/>
      <c r="AU871" s="5"/>
      <c r="AV871" s="5"/>
      <c r="AW871" s="5"/>
      <c r="AX871" s="5"/>
      <c r="AY871" s="214"/>
      <c r="AZ871" s="83"/>
      <c r="BA871" s="83"/>
      <c r="BB871" s="83"/>
      <c r="BC871" s="5"/>
    </row>
    <row r="872" spans="37:55" x14ac:dyDescent="0.25">
      <c r="AK872" s="83"/>
      <c r="AL872" s="186"/>
      <c r="AM872" s="29"/>
      <c r="AN872" s="29"/>
      <c r="AO872" s="29"/>
      <c r="AP872" s="29"/>
      <c r="AQ872" s="29"/>
      <c r="AR872" s="29"/>
      <c r="AS872" s="5"/>
      <c r="AT872" s="5"/>
      <c r="AU872" s="5"/>
      <c r="AV872" s="5"/>
      <c r="AW872" s="5"/>
      <c r="AX872" s="5"/>
      <c r="AY872" s="214"/>
      <c r="AZ872" s="83"/>
      <c r="BA872" s="83"/>
      <c r="BB872" s="83"/>
      <c r="BC872" s="5"/>
    </row>
    <row r="873" spans="37:55" x14ac:dyDescent="0.25">
      <c r="AK873" s="83"/>
      <c r="AL873" s="186"/>
      <c r="AM873" s="29"/>
      <c r="AN873" s="29"/>
      <c r="AO873" s="29"/>
      <c r="AP873" s="29"/>
      <c r="AQ873" s="29"/>
      <c r="AR873" s="29"/>
      <c r="AS873" s="5"/>
      <c r="AT873" s="5"/>
      <c r="AU873" s="5"/>
      <c r="AV873" s="5"/>
      <c r="AW873" s="5"/>
      <c r="AX873" s="5"/>
      <c r="AY873" s="214"/>
      <c r="AZ873" s="83"/>
      <c r="BA873" s="83"/>
      <c r="BB873" s="83"/>
      <c r="BC873" s="5"/>
    </row>
    <row r="874" spans="37:55" x14ac:dyDescent="0.25">
      <c r="AK874" s="83"/>
      <c r="AL874" s="186"/>
      <c r="AM874" s="29"/>
      <c r="AN874" s="29"/>
      <c r="AO874" s="29"/>
      <c r="AP874" s="29"/>
      <c r="AQ874" s="29"/>
      <c r="AR874" s="29"/>
      <c r="AS874" s="5"/>
      <c r="AT874" s="5"/>
      <c r="AU874" s="5"/>
      <c r="AV874" s="5"/>
      <c r="AW874" s="5"/>
      <c r="AX874" s="5"/>
      <c r="AY874" s="214"/>
      <c r="AZ874" s="83"/>
      <c r="BA874" s="83"/>
      <c r="BB874" s="83"/>
      <c r="BC874" s="5"/>
    </row>
    <row r="875" spans="37:55" x14ac:dyDescent="0.25">
      <c r="AK875" s="83"/>
      <c r="AL875" s="186"/>
      <c r="AM875" s="29"/>
      <c r="AN875" s="29"/>
      <c r="AO875" s="29"/>
      <c r="AP875" s="29"/>
      <c r="AQ875" s="29"/>
      <c r="AR875" s="29"/>
      <c r="AS875" s="5"/>
      <c r="AT875" s="5"/>
      <c r="AU875" s="5"/>
      <c r="AV875" s="5"/>
      <c r="AW875" s="5"/>
      <c r="AX875" s="5"/>
      <c r="AY875" s="214"/>
      <c r="AZ875" s="83"/>
      <c r="BA875" s="83"/>
      <c r="BB875" s="83"/>
      <c r="BC875" s="5"/>
    </row>
    <row r="876" spans="37:55" x14ac:dyDescent="0.25">
      <c r="AK876" s="83"/>
      <c r="AL876" s="186"/>
      <c r="AM876" s="29"/>
      <c r="AN876" s="29"/>
      <c r="AO876" s="29"/>
      <c r="AP876" s="29"/>
      <c r="AQ876" s="29"/>
      <c r="AR876" s="29"/>
      <c r="AS876" s="5"/>
      <c r="AT876" s="5"/>
      <c r="AU876" s="5"/>
      <c r="AV876" s="5"/>
      <c r="AW876" s="5"/>
      <c r="AX876" s="5"/>
      <c r="AY876" s="214"/>
      <c r="AZ876" s="83"/>
      <c r="BA876" s="83"/>
      <c r="BB876" s="83"/>
      <c r="BC876" s="5"/>
    </row>
    <row r="877" spans="37:55" x14ac:dyDescent="0.25">
      <c r="AK877" s="83"/>
      <c r="AL877" s="186"/>
      <c r="AM877" s="29"/>
      <c r="AN877" s="29"/>
      <c r="AO877" s="29"/>
      <c r="AP877" s="29"/>
      <c r="AQ877" s="29"/>
      <c r="AR877" s="29"/>
      <c r="AS877" s="5"/>
      <c r="AT877" s="5"/>
      <c r="AU877" s="5"/>
      <c r="AV877" s="5"/>
      <c r="AW877" s="5"/>
      <c r="AX877" s="5"/>
      <c r="AY877" s="214"/>
      <c r="AZ877" s="83"/>
      <c r="BA877" s="83"/>
      <c r="BB877" s="83"/>
      <c r="BC877" s="5"/>
    </row>
    <row r="878" spans="37:55" x14ac:dyDescent="0.25">
      <c r="AK878" s="83"/>
      <c r="AL878" s="186"/>
      <c r="AM878" s="29"/>
      <c r="AN878" s="29"/>
      <c r="AO878" s="29"/>
      <c r="AP878" s="29"/>
      <c r="AQ878" s="29"/>
      <c r="AR878" s="29"/>
      <c r="AS878" s="5"/>
      <c r="AT878" s="5"/>
      <c r="AU878" s="5"/>
      <c r="AV878" s="5"/>
      <c r="AW878" s="5"/>
      <c r="AX878" s="5"/>
      <c r="AY878" s="214"/>
      <c r="AZ878" s="83"/>
      <c r="BA878" s="83"/>
      <c r="BB878" s="83"/>
      <c r="BC878" s="5"/>
    </row>
    <row r="879" spans="37:55" x14ac:dyDescent="0.25">
      <c r="AK879" s="83"/>
      <c r="AL879" s="186"/>
      <c r="AM879" s="29"/>
      <c r="AN879" s="29"/>
      <c r="AO879" s="29"/>
      <c r="AP879" s="29"/>
      <c r="AQ879" s="29"/>
      <c r="AR879" s="29"/>
      <c r="AS879" s="5"/>
      <c r="AT879" s="5"/>
      <c r="AU879" s="5"/>
      <c r="AV879" s="5"/>
      <c r="AW879" s="5"/>
      <c r="AX879" s="5"/>
      <c r="AY879" s="214"/>
      <c r="AZ879" s="83"/>
      <c r="BA879" s="83"/>
      <c r="BB879" s="83"/>
      <c r="BC879" s="5"/>
    </row>
    <row r="880" spans="37:55" x14ac:dyDescent="0.25">
      <c r="AK880" s="83"/>
      <c r="AL880" s="186"/>
      <c r="AM880" s="29"/>
      <c r="AN880" s="29"/>
      <c r="AO880" s="29"/>
      <c r="AP880" s="29"/>
      <c r="AQ880" s="29"/>
      <c r="AR880" s="29"/>
      <c r="AS880" s="5"/>
      <c r="AT880" s="5"/>
      <c r="AU880" s="5"/>
      <c r="AV880" s="5"/>
      <c r="AW880" s="5"/>
      <c r="AX880" s="5"/>
      <c r="AY880" s="214"/>
      <c r="AZ880" s="83"/>
      <c r="BA880" s="83"/>
      <c r="BB880" s="83"/>
      <c r="BC880" s="5"/>
    </row>
    <row r="881" spans="37:55" x14ac:dyDescent="0.25">
      <c r="AK881" s="83"/>
      <c r="AL881" s="186"/>
      <c r="AM881" s="29"/>
      <c r="AN881" s="29"/>
      <c r="AO881" s="29"/>
      <c r="AP881" s="29"/>
      <c r="AQ881" s="29"/>
      <c r="AR881" s="29"/>
      <c r="AS881" s="5"/>
      <c r="AT881" s="5"/>
      <c r="AU881" s="5"/>
      <c r="AV881" s="5"/>
      <c r="AW881" s="5"/>
      <c r="AX881" s="5"/>
      <c r="AY881" s="214"/>
      <c r="AZ881" s="83"/>
      <c r="BA881" s="83"/>
      <c r="BB881" s="83"/>
      <c r="BC881" s="5"/>
    </row>
    <row r="882" spans="37:55" x14ac:dyDescent="0.25">
      <c r="AK882" s="83"/>
      <c r="AL882" s="186"/>
      <c r="AM882" s="29"/>
      <c r="AN882" s="29"/>
      <c r="AO882" s="29"/>
      <c r="AP882" s="29"/>
      <c r="AQ882" s="29"/>
      <c r="AR882" s="29"/>
      <c r="AS882" s="5"/>
      <c r="AT882" s="5"/>
      <c r="AU882" s="5"/>
      <c r="AV882" s="5"/>
      <c r="AW882" s="5"/>
      <c r="AX882" s="5"/>
      <c r="AY882" s="214"/>
      <c r="AZ882" s="83"/>
      <c r="BA882" s="83"/>
      <c r="BB882" s="83"/>
      <c r="BC882" s="5"/>
    </row>
    <row r="883" spans="37:55" x14ac:dyDescent="0.25">
      <c r="AK883" s="83"/>
      <c r="AL883" s="186"/>
      <c r="AM883" s="29"/>
      <c r="AN883" s="29"/>
      <c r="AO883" s="29"/>
      <c r="AP883" s="29"/>
      <c r="AQ883" s="29"/>
      <c r="AR883" s="29"/>
      <c r="AS883" s="5"/>
      <c r="AT883" s="5"/>
      <c r="AU883" s="5"/>
      <c r="AV883" s="5"/>
      <c r="AW883" s="5"/>
      <c r="AX883" s="5"/>
      <c r="AY883" s="214"/>
      <c r="AZ883" s="83"/>
      <c r="BA883" s="83"/>
      <c r="BB883" s="83"/>
      <c r="BC883" s="5"/>
    </row>
    <row r="884" spans="37:55" x14ac:dyDescent="0.25">
      <c r="AK884" s="83"/>
      <c r="AL884" s="186"/>
      <c r="AM884" s="29"/>
      <c r="AN884" s="29"/>
      <c r="AO884" s="29"/>
      <c r="AP884" s="29"/>
      <c r="AQ884" s="29"/>
      <c r="AR884" s="29"/>
      <c r="AS884" s="5"/>
      <c r="AT884" s="5"/>
      <c r="AU884" s="5"/>
      <c r="AV884" s="5"/>
      <c r="AW884" s="5"/>
      <c r="AX884" s="5"/>
      <c r="AY884" s="214"/>
      <c r="AZ884" s="83"/>
      <c r="BA884" s="83"/>
      <c r="BB884" s="83"/>
      <c r="BC884" s="5"/>
    </row>
    <row r="885" spans="37:55" x14ac:dyDescent="0.25">
      <c r="AK885" s="83"/>
      <c r="AL885" s="186"/>
      <c r="AM885" s="29"/>
      <c r="AN885" s="29"/>
      <c r="AO885" s="29"/>
      <c r="AP885" s="29"/>
      <c r="AQ885" s="29"/>
      <c r="AR885" s="29"/>
      <c r="AS885" s="5"/>
      <c r="AT885" s="5"/>
      <c r="AU885" s="5"/>
      <c r="AV885" s="5"/>
      <c r="AW885" s="5"/>
      <c r="AX885" s="5"/>
      <c r="AY885" s="214"/>
      <c r="AZ885" s="83"/>
      <c r="BA885" s="83"/>
      <c r="BB885" s="83"/>
      <c r="BC885" s="5"/>
    </row>
    <row r="886" spans="37:55" x14ac:dyDescent="0.25">
      <c r="AK886" s="83"/>
      <c r="AL886" s="186"/>
      <c r="AM886" s="29"/>
      <c r="AN886" s="29"/>
      <c r="AO886" s="29"/>
      <c r="AP886" s="29"/>
      <c r="AQ886" s="29"/>
      <c r="AR886" s="29"/>
      <c r="AS886" s="5"/>
      <c r="AT886" s="5"/>
      <c r="AU886" s="5"/>
      <c r="AV886" s="5"/>
      <c r="AW886" s="5"/>
      <c r="AX886" s="5"/>
      <c r="AY886" s="214"/>
      <c r="AZ886" s="83"/>
      <c r="BA886" s="83"/>
      <c r="BB886" s="83"/>
      <c r="BC886" s="5"/>
    </row>
    <row r="887" spans="37:55" x14ac:dyDescent="0.25">
      <c r="AK887" s="83"/>
      <c r="AL887" s="186"/>
      <c r="AM887" s="29"/>
      <c r="AN887" s="29"/>
      <c r="AO887" s="29"/>
      <c r="AP887" s="29"/>
      <c r="AQ887" s="29"/>
      <c r="AR887" s="29"/>
      <c r="AS887" s="5"/>
      <c r="AT887" s="5"/>
      <c r="AU887" s="5"/>
      <c r="AV887" s="5"/>
      <c r="AW887" s="5"/>
      <c r="AX887" s="5"/>
      <c r="AY887" s="214"/>
      <c r="AZ887" s="83"/>
      <c r="BA887" s="83"/>
      <c r="BB887" s="83"/>
      <c r="BC887" s="5"/>
    </row>
    <row r="888" spans="37:55" x14ac:dyDescent="0.25">
      <c r="AK888" s="83"/>
      <c r="AL888" s="186"/>
      <c r="AM888" s="29"/>
      <c r="AN888" s="29"/>
      <c r="AO888" s="29"/>
      <c r="AP888" s="29"/>
      <c r="AQ888" s="29"/>
      <c r="AR888" s="29"/>
      <c r="AS888" s="5"/>
      <c r="AT888" s="5"/>
      <c r="AU888" s="5"/>
      <c r="AV888" s="5"/>
      <c r="AW888" s="5"/>
      <c r="AX888" s="5"/>
      <c r="AY888" s="214"/>
      <c r="AZ888" s="83"/>
      <c r="BA888" s="83"/>
      <c r="BB888" s="83"/>
      <c r="BC888" s="5"/>
    </row>
    <row r="889" spans="37:55" x14ac:dyDescent="0.25">
      <c r="AK889" s="83"/>
      <c r="AL889" s="186"/>
      <c r="AM889" s="29"/>
      <c r="AN889" s="29"/>
      <c r="AO889" s="29"/>
      <c r="AP889" s="29"/>
      <c r="AQ889" s="29"/>
      <c r="AR889" s="29"/>
      <c r="AS889" s="5"/>
      <c r="AT889" s="5"/>
      <c r="AU889" s="5"/>
      <c r="AV889" s="5"/>
      <c r="AW889" s="5"/>
      <c r="AX889" s="5"/>
      <c r="AY889" s="214"/>
      <c r="AZ889" s="83"/>
      <c r="BA889" s="83"/>
      <c r="BB889" s="83"/>
      <c r="BC889" s="5"/>
    </row>
    <row r="890" spans="37:55" x14ac:dyDescent="0.25">
      <c r="AK890" s="83"/>
      <c r="AL890" s="186"/>
      <c r="AM890" s="29"/>
      <c r="AN890" s="29"/>
      <c r="AO890" s="29"/>
      <c r="AP890" s="29"/>
      <c r="AQ890" s="29"/>
      <c r="AR890" s="29"/>
      <c r="AS890" s="5"/>
      <c r="AT890" s="5"/>
      <c r="AU890" s="5"/>
      <c r="AV890" s="5"/>
      <c r="AW890" s="5"/>
      <c r="AX890" s="5"/>
      <c r="AY890" s="214"/>
      <c r="AZ890" s="83"/>
      <c r="BA890" s="83"/>
      <c r="BB890" s="83"/>
      <c r="BC890" s="5"/>
    </row>
    <row r="891" spans="37:55" x14ac:dyDescent="0.25">
      <c r="AK891" s="83"/>
      <c r="AL891" s="186"/>
      <c r="AM891" s="29"/>
      <c r="AN891" s="29"/>
      <c r="AO891" s="29"/>
      <c r="AP891" s="29"/>
      <c r="AQ891" s="29"/>
      <c r="AR891" s="29"/>
      <c r="AS891" s="5"/>
      <c r="AT891" s="5"/>
      <c r="AU891" s="5"/>
      <c r="AV891" s="5"/>
      <c r="AW891" s="5"/>
      <c r="AX891" s="5"/>
      <c r="AY891" s="214"/>
      <c r="AZ891" s="83"/>
      <c r="BA891" s="83"/>
      <c r="BB891" s="83"/>
      <c r="BC891" s="5"/>
    </row>
    <row r="892" spans="37:55" x14ac:dyDescent="0.25">
      <c r="AK892" s="83"/>
      <c r="AL892" s="186"/>
      <c r="AM892" s="29"/>
      <c r="AN892" s="29"/>
      <c r="AO892" s="29"/>
      <c r="AP892" s="29"/>
      <c r="AQ892" s="29"/>
      <c r="AR892" s="29"/>
      <c r="AS892" s="5"/>
      <c r="AT892" s="5"/>
      <c r="AU892" s="5"/>
      <c r="AV892" s="5"/>
      <c r="AW892" s="5"/>
      <c r="AX892" s="5"/>
      <c r="AY892" s="214"/>
      <c r="AZ892" s="83"/>
      <c r="BA892" s="83"/>
      <c r="BB892" s="83"/>
      <c r="BC892" s="5"/>
    </row>
    <row r="893" spans="37:55" x14ac:dyDescent="0.25">
      <c r="AK893" s="83"/>
      <c r="AL893" s="186"/>
      <c r="AM893" s="29"/>
      <c r="AN893" s="29"/>
      <c r="AO893" s="29"/>
      <c r="AP893" s="29"/>
      <c r="AQ893" s="29"/>
      <c r="AR893" s="29"/>
      <c r="AS893" s="5"/>
      <c r="AT893" s="5"/>
      <c r="AU893" s="5"/>
      <c r="AV893" s="5"/>
      <c r="AW893" s="5"/>
      <c r="AX893" s="5"/>
      <c r="AY893" s="214"/>
      <c r="AZ893" s="83"/>
      <c r="BA893" s="83"/>
      <c r="BB893" s="83"/>
      <c r="BC893" s="5"/>
    </row>
    <row r="894" spans="37:55" x14ac:dyDescent="0.25">
      <c r="AK894" s="83"/>
      <c r="AL894" s="186"/>
      <c r="AM894" s="29"/>
      <c r="AN894" s="29"/>
      <c r="AO894" s="29"/>
      <c r="AP894" s="29"/>
      <c r="AQ894" s="29"/>
      <c r="AR894" s="29"/>
      <c r="AS894" s="5"/>
      <c r="AT894" s="5"/>
      <c r="AU894" s="5"/>
      <c r="AV894" s="5"/>
      <c r="AW894" s="5"/>
      <c r="AX894" s="5"/>
      <c r="AY894" s="214"/>
      <c r="AZ894" s="83"/>
      <c r="BA894" s="83"/>
      <c r="BB894" s="83"/>
      <c r="BC894" s="5"/>
    </row>
    <row r="895" spans="37:55" x14ac:dyDescent="0.25">
      <c r="AK895" s="83"/>
      <c r="AL895" s="186"/>
      <c r="AM895" s="29"/>
      <c r="AN895" s="29"/>
      <c r="AO895" s="29"/>
      <c r="AP895" s="29"/>
      <c r="AQ895" s="29"/>
      <c r="AR895" s="29"/>
      <c r="AS895" s="5"/>
      <c r="AT895" s="5"/>
      <c r="AU895" s="5"/>
      <c r="AV895" s="5"/>
      <c r="AW895" s="5"/>
      <c r="AX895" s="5"/>
      <c r="AY895" s="214"/>
      <c r="AZ895" s="83"/>
      <c r="BA895" s="83"/>
      <c r="BB895" s="83"/>
      <c r="BC895" s="5"/>
    </row>
    <row r="896" spans="37:55" x14ac:dyDescent="0.25">
      <c r="AK896" s="83"/>
      <c r="AL896" s="186"/>
      <c r="AM896" s="29"/>
      <c r="AN896" s="29"/>
      <c r="AO896" s="29"/>
      <c r="AP896" s="29"/>
      <c r="AQ896" s="29"/>
      <c r="AR896" s="29"/>
      <c r="AS896" s="5"/>
      <c r="AT896" s="5"/>
      <c r="AU896" s="5"/>
      <c r="AV896" s="5"/>
      <c r="AW896" s="5"/>
      <c r="AX896" s="5"/>
      <c r="AY896" s="214"/>
      <c r="AZ896" s="83"/>
      <c r="BA896" s="83"/>
      <c r="BB896" s="83"/>
      <c r="BC896" s="5"/>
    </row>
    <row r="897" spans="37:55" x14ac:dyDescent="0.25">
      <c r="AK897" s="83"/>
      <c r="AL897" s="186"/>
      <c r="AM897" s="29"/>
      <c r="AN897" s="29"/>
      <c r="AO897" s="29"/>
      <c r="AP897" s="29"/>
      <c r="AQ897" s="29"/>
      <c r="AR897" s="29"/>
      <c r="AS897" s="5"/>
      <c r="AT897" s="5"/>
      <c r="AU897" s="5"/>
      <c r="AV897" s="5"/>
      <c r="AW897" s="5"/>
      <c r="AX897" s="5"/>
      <c r="AY897" s="214"/>
      <c r="AZ897" s="83"/>
      <c r="BA897" s="83"/>
      <c r="BB897" s="83"/>
      <c r="BC897" s="5"/>
    </row>
    <row r="898" spans="37:55" x14ac:dyDescent="0.25">
      <c r="AK898" s="83"/>
      <c r="AL898" s="186"/>
      <c r="AM898" s="29"/>
      <c r="AN898" s="29"/>
      <c r="AO898" s="29"/>
      <c r="AP898" s="29"/>
      <c r="AQ898" s="29"/>
      <c r="AR898" s="29"/>
      <c r="AS898" s="5"/>
      <c r="AT898" s="5"/>
      <c r="AU898" s="5"/>
      <c r="AV898" s="5"/>
      <c r="AW898" s="5"/>
      <c r="AX898" s="5"/>
      <c r="AY898" s="214"/>
      <c r="AZ898" s="83"/>
      <c r="BA898" s="83"/>
      <c r="BB898" s="83"/>
      <c r="BC898" s="5"/>
    </row>
    <row r="899" spans="37:55" x14ac:dyDescent="0.25">
      <c r="AK899" s="83"/>
      <c r="AL899" s="186"/>
      <c r="AM899" s="29"/>
      <c r="AN899" s="29"/>
      <c r="AO899" s="29"/>
      <c r="AP899" s="29"/>
      <c r="AQ899" s="29"/>
      <c r="AR899" s="29"/>
      <c r="AS899" s="5"/>
      <c r="AT899" s="5"/>
      <c r="AU899" s="5"/>
      <c r="AV899" s="5"/>
      <c r="AW899" s="5"/>
      <c r="AX899" s="5"/>
      <c r="AY899" s="214"/>
      <c r="AZ899" s="83"/>
      <c r="BA899" s="83"/>
      <c r="BB899" s="83"/>
      <c r="BC899" s="5"/>
    </row>
    <row r="900" spans="37:55" x14ac:dyDescent="0.25">
      <c r="AK900" s="83"/>
      <c r="AL900" s="186"/>
      <c r="AM900" s="29"/>
      <c r="AN900" s="29"/>
      <c r="AO900" s="29"/>
      <c r="AP900" s="29"/>
      <c r="AQ900" s="29"/>
      <c r="AR900" s="29"/>
      <c r="AS900" s="5"/>
      <c r="AT900" s="5"/>
      <c r="AU900" s="5"/>
      <c r="AV900" s="5"/>
      <c r="AW900" s="5"/>
      <c r="AX900" s="5"/>
      <c r="AY900" s="214"/>
      <c r="AZ900" s="83"/>
      <c r="BA900" s="83"/>
      <c r="BB900" s="83"/>
      <c r="BC900" s="5"/>
    </row>
    <row r="901" spans="37:55" x14ac:dyDescent="0.25">
      <c r="AK901" s="83"/>
      <c r="AL901" s="186"/>
      <c r="AM901" s="29"/>
      <c r="AN901" s="29"/>
      <c r="AO901" s="29"/>
      <c r="AP901" s="29"/>
      <c r="AQ901" s="29"/>
      <c r="AR901" s="29"/>
      <c r="AS901" s="5"/>
      <c r="AT901" s="5"/>
      <c r="AU901" s="5"/>
      <c r="AV901" s="5"/>
      <c r="AW901" s="5"/>
      <c r="AX901" s="5"/>
      <c r="AY901" s="214"/>
      <c r="AZ901" s="83"/>
      <c r="BA901" s="83"/>
      <c r="BB901" s="83"/>
      <c r="BC901" s="5"/>
    </row>
    <row r="902" spans="37:55" x14ac:dyDescent="0.25">
      <c r="AK902" s="83"/>
      <c r="AL902" s="186"/>
      <c r="AM902" s="29"/>
      <c r="AN902" s="29"/>
      <c r="AO902" s="29"/>
      <c r="AP902" s="29"/>
      <c r="AQ902" s="29"/>
      <c r="AR902" s="29"/>
      <c r="AS902" s="5"/>
      <c r="AT902" s="5"/>
      <c r="AU902" s="5"/>
      <c r="AV902" s="5"/>
      <c r="AW902" s="5"/>
      <c r="AX902" s="5"/>
      <c r="AY902" s="214"/>
      <c r="AZ902" s="83"/>
      <c r="BA902" s="83"/>
      <c r="BB902" s="83"/>
      <c r="BC902" s="5"/>
    </row>
    <row r="903" spans="37:55" x14ac:dyDescent="0.25">
      <c r="AK903" s="83"/>
      <c r="AL903" s="186"/>
      <c r="AM903" s="29"/>
      <c r="AN903" s="29"/>
      <c r="AO903" s="29"/>
      <c r="AP903" s="29"/>
      <c r="AQ903" s="29"/>
      <c r="AR903" s="29"/>
      <c r="AS903" s="5"/>
      <c r="AT903" s="5"/>
      <c r="AU903" s="5"/>
      <c r="AV903" s="5"/>
      <c r="AW903" s="5"/>
      <c r="AX903" s="5"/>
      <c r="AY903" s="214"/>
      <c r="AZ903" s="83"/>
      <c r="BA903" s="83"/>
      <c r="BB903" s="83"/>
      <c r="BC903" s="5"/>
    </row>
  </sheetData>
  <sheetProtection algorithmName="SHA-512" hashValue="XZt3pv4nMwkXAKoiUoFVfDPJ7O3uqQ3R98LYl3CnSiW1+QKNih7+39oNe2LW+WJd9sH/TJnjW5/ZtSsWFyc24Q==" saltValue="gJuqVDMedpAgC+eIvJBmXw==" spinCount="100000" sheet="1" objects="1" scenarios="1"/>
  <mergeCells count="3">
    <mergeCell ref="A14:A15"/>
    <mergeCell ref="A16:A17"/>
    <mergeCell ref="C3:H3"/>
  </mergeCells>
  <phoneticPr fontId="5" type="noConversion"/>
  <hyperlinks>
    <hyperlink ref="G23" r:id="rId1" display="https://statistique.quebec.ca/fr/document/indice-prix-consommation-ipc/tableau/indice-des-prix-a-la-consommation-ipc-indice-ensemble-canada-quebec-rmr-montreal-quebec-donnees-mensuelles-non-desaisonnalisees" xr:uid="{B2196D4E-2479-4993-B0C8-754E943EA316}"/>
  </hyperlinks>
  <pageMargins left="0.7" right="0.7" top="0.75" bottom="0.75" header="0.3" footer="0.3"/>
  <pageSetup orientation="portrait" r:id="rId2"/>
  <legacyDrawing r:id="rId3"/>
  <tableParts count="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1839D-82F0-41A1-9175-746BBF32E655}">
  <sheetPr codeName="Sheet2">
    <tabColor theme="4"/>
  </sheetPr>
  <dimension ref="A1:XFC999"/>
  <sheetViews>
    <sheetView showGridLines="0" workbookViewId="0">
      <selection activeCell="I7" sqref="I7"/>
    </sheetView>
  </sheetViews>
  <sheetFormatPr defaultColWidth="0" defaultRowHeight="11.5" x14ac:dyDescent="0.25"/>
  <cols>
    <col min="1" max="1" width="9.09765625" style="43" customWidth="1"/>
    <col min="2" max="2" width="6.09765625" style="43" customWidth="1"/>
    <col min="3" max="3" width="9.69921875" style="43" customWidth="1"/>
    <col min="4" max="4" width="8.296875" style="43" customWidth="1"/>
    <col min="5" max="5" width="12" style="22" customWidth="1"/>
    <col min="6" max="6" width="11" style="43" customWidth="1"/>
    <col min="7" max="7" width="11.8984375" style="43" customWidth="1"/>
    <col min="8" max="8" width="6.09765625" customWidth="1"/>
    <col min="9" max="9" width="15.09765625" bestFit="1" customWidth="1"/>
    <col min="10" max="10" width="14.69921875" style="20" bestFit="1" customWidth="1"/>
    <col min="11" max="12" width="6.09765625" customWidth="1"/>
    <col min="13" max="13" width="16.19921875" hidden="1" customWidth="1"/>
    <col min="14" max="16" width="6.09765625" hidden="1" customWidth="1"/>
    <col min="17" max="16382" width="6.09765625" hidden="1"/>
    <col min="16383" max="16383" width="7.5" hidden="1" customWidth="1"/>
    <col min="16384" max="16384" width="10.8984375" hidden="1" customWidth="1"/>
  </cols>
  <sheetData>
    <row r="1" spans="1:13" x14ac:dyDescent="0.25">
      <c r="A1" s="22" t="s">
        <v>72</v>
      </c>
      <c r="B1" s="5" t="s">
        <v>8</v>
      </c>
      <c r="C1" s="5" t="s">
        <v>9</v>
      </c>
      <c r="D1" s="5" t="s">
        <v>10</v>
      </c>
      <c r="E1" s="5" t="s">
        <v>11</v>
      </c>
      <c r="F1" s="5" t="s">
        <v>12</v>
      </c>
      <c r="G1" s="22" t="s">
        <v>15</v>
      </c>
      <c r="H1" s="5"/>
      <c r="J1"/>
      <c r="K1" s="20"/>
      <c r="M1" s="185" t="s">
        <v>197</v>
      </c>
    </row>
    <row r="2" spans="1:13" ht="12" thickBot="1" x14ac:dyDescent="0.3">
      <c r="A2"/>
      <c r="B2" s="321" t="s">
        <v>1400</v>
      </c>
      <c r="C2"/>
      <c r="D2"/>
      <c r="E2"/>
      <c r="F2"/>
      <c r="G2"/>
      <c r="J2"/>
      <c r="K2" s="20"/>
      <c r="M2" s="213" t="s">
        <v>1419</v>
      </c>
    </row>
    <row r="3" spans="1:13" x14ac:dyDescent="0.25">
      <c r="A3"/>
      <c r="B3"/>
      <c r="C3"/>
      <c r="D3"/>
      <c r="E3"/>
      <c r="F3"/>
      <c r="G3"/>
      <c r="J3"/>
      <c r="K3" s="20"/>
    </row>
    <row r="4" spans="1:13" x14ac:dyDescent="0.25">
      <c r="A4"/>
      <c r="B4"/>
      <c r="C4"/>
      <c r="D4"/>
      <c r="E4"/>
      <c r="F4"/>
      <c r="G4"/>
      <c r="J4"/>
    </row>
    <row r="5" spans="1:13" x14ac:dyDescent="0.25">
      <c r="A5"/>
      <c r="B5"/>
      <c r="C5"/>
      <c r="D5"/>
      <c r="E5"/>
      <c r="F5"/>
      <c r="G5"/>
      <c r="J5"/>
    </row>
    <row r="6" spans="1:13" x14ac:dyDescent="0.25">
      <c r="A6"/>
      <c r="B6"/>
      <c r="C6"/>
      <c r="D6"/>
      <c r="E6"/>
      <c r="F6"/>
      <c r="G6"/>
      <c r="J6"/>
    </row>
    <row r="7" spans="1:13" x14ac:dyDescent="0.25">
      <c r="A7"/>
      <c r="B7"/>
      <c r="C7"/>
      <c r="D7"/>
      <c r="E7"/>
      <c r="F7"/>
      <c r="G7"/>
      <c r="J7"/>
    </row>
    <row r="8" spans="1:13" x14ac:dyDescent="0.25">
      <c r="A8"/>
      <c r="B8"/>
      <c r="C8"/>
      <c r="D8"/>
      <c r="E8"/>
      <c r="F8"/>
      <c r="G8"/>
      <c r="J8"/>
    </row>
    <row r="9" spans="1:13" x14ac:dyDescent="0.25">
      <c r="A9"/>
      <c r="B9"/>
      <c r="C9"/>
      <c r="D9"/>
      <c r="E9"/>
      <c r="F9"/>
      <c r="G9"/>
      <c r="J9"/>
    </row>
    <row r="10" spans="1:13" x14ac:dyDescent="0.25">
      <c r="A10"/>
      <c r="B10"/>
      <c r="C10"/>
      <c r="D10"/>
      <c r="E10"/>
      <c r="F10"/>
      <c r="G10"/>
      <c r="J10"/>
    </row>
    <row r="11" spans="1:13" x14ac:dyDescent="0.25">
      <c r="A11"/>
      <c r="B11"/>
      <c r="C11"/>
      <c r="D11"/>
      <c r="E11"/>
      <c r="F11"/>
      <c r="G11"/>
      <c r="J11"/>
    </row>
    <row r="12" spans="1:13" x14ac:dyDescent="0.25">
      <c r="A12"/>
      <c r="B12"/>
      <c r="C12"/>
      <c r="D12"/>
      <c r="E12"/>
      <c r="F12"/>
      <c r="G12"/>
      <c r="J12"/>
    </row>
    <row r="13" spans="1:13" x14ac:dyDescent="0.25">
      <c r="A13"/>
      <c r="B13"/>
      <c r="C13"/>
      <c r="D13"/>
      <c r="E13"/>
      <c r="F13"/>
      <c r="G13"/>
      <c r="J13"/>
    </row>
    <row r="14" spans="1:13" x14ac:dyDescent="0.25">
      <c r="A14"/>
      <c r="B14"/>
      <c r="C14"/>
      <c r="D14"/>
      <c r="E14"/>
      <c r="F14"/>
      <c r="G14"/>
      <c r="J14"/>
    </row>
    <row r="15" spans="1:13" x14ac:dyDescent="0.25">
      <c r="A15"/>
      <c r="B15"/>
      <c r="C15"/>
      <c r="D15"/>
      <c r="E15"/>
      <c r="F15"/>
      <c r="G15"/>
      <c r="J15"/>
    </row>
    <row r="16" spans="1:13" x14ac:dyDescent="0.25">
      <c r="A16"/>
      <c r="B16"/>
      <c r="C16"/>
      <c r="D16"/>
      <c r="E16"/>
      <c r="F16"/>
      <c r="G16"/>
      <c r="J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spans="1:11" x14ac:dyDescent="0.25">
      <c r="A97"/>
      <c r="B97"/>
      <c r="C97"/>
      <c r="D97"/>
      <c r="E97"/>
      <c r="F97"/>
      <c r="G97"/>
      <c r="J97"/>
    </row>
    <row r="98" spans="1:11" x14ac:dyDescent="0.25">
      <c r="A98"/>
      <c r="B98"/>
      <c r="C98"/>
      <c r="D98"/>
      <c r="E98"/>
      <c r="F98"/>
      <c r="G98"/>
      <c r="J98"/>
    </row>
    <row r="99" spans="1:11" x14ac:dyDescent="0.25">
      <c r="A99"/>
      <c r="B99"/>
      <c r="C99"/>
      <c r="D99"/>
      <c r="E99"/>
      <c r="F99"/>
      <c r="G99"/>
      <c r="J99"/>
    </row>
    <row r="100" spans="1:11" x14ac:dyDescent="0.25">
      <c r="A100"/>
      <c r="B100"/>
      <c r="C100"/>
      <c r="D100"/>
      <c r="E100"/>
      <c r="F100"/>
      <c r="G100"/>
      <c r="J100"/>
    </row>
    <row r="101" spans="1:11" x14ac:dyDescent="0.25">
      <c r="A101"/>
      <c r="B101"/>
      <c r="C101"/>
      <c r="D101"/>
      <c r="E101"/>
      <c r="F101"/>
      <c r="G101"/>
      <c r="J101"/>
      <c r="K101" s="20"/>
    </row>
    <row r="102" spans="1:11" x14ac:dyDescent="0.25">
      <c r="A102"/>
      <c r="B102"/>
      <c r="C102"/>
      <c r="D102"/>
      <c r="E102"/>
      <c r="F102"/>
      <c r="G102"/>
      <c r="J102"/>
      <c r="K102" s="20"/>
    </row>
    <row r="103" spans="1:11" x14ac:dyDescent="0.25">
      <c r="A103"/>
      <c r="B103"/>
      <c r="C103"/>
      <c r="D103"/>
      <c r="E103"/>
      <c r="F103"/>
      <c r="G103"/>
      <c r="J103"/>
      <c r="K103" s="20"/>
    </row>
    <row r="104" spans="1:11" x14ac:dyDescent="0.25">
      <c r="A104"/>
      <c r="B104"/>
      <c r="C104"/>
      <c r="D104"/>
      <c r="E104"/>
      <c r="F104"/>
      <c r="G104"/>
      <c r="J104"/>
      <c r="K104" s="20"/>
    </row>
    <row r="105" spans="1:11" x14ac:dyDescent="0.25">
      <c r="A105"/>
      <c r="B105"/>
      <c r="C105"/>
      <c r="D105"/>
      <c r="E105"/>
      <c r="F105"/>
      <c r="G105"/>
      <c r="J105"/>
      <c r="K105" s="20"/>
    </row>
    <row r="106" spans="1:11" x14ac:dyDescent="0.25">
      <c r="A106"/>
      <c r="B106"/>
      <c r="C106"/>
      <c r="D106"/>
      <c r="E106"/>
      <c r="F106"/>
      <c r="G106"/>
      <c r="J106"/>
      <c r="K106" s="20"/>
    </row>
    <row r="107" spans="1:11" x14ac:dyDescent="0.25">
      <c r="A107"/>
      <c r="B107"/>
      <c r="C107"/>
      <c r="D107"/>
      <c r="E107"/>
      <c r="F107"/>
      <c r="G107"/>
      <c r="J107"/>
      <c r="K107" s="20"/>
    </row>
    <row r="108" spans="1:11" x14ac:dyDescent="0.25">
      <c r="A108"/>
      <c r="B108"/>
      <c r="C108"/>
      <c r="D108"/>
      <c r="E108"/>
      <c r="F108"/>
      <c r="G108"/>
      <c r="J108"/>
      <c r="K108" s="20"/>
    </row>
    <row r="109" spans="1:11" x14ac:dyDescent="0.25">
      <c r="A109"/>
      <c r="B109"/>
      <c r="C109"/>
      <c r="D109"/>
      <c r="E109"/>
      <c r="F109"/>
      <c r="G109"/>
      <c r="J109"/>
      <c r="K109" s="20"/>
    </row>
    <row r="110" spans="1:11" x14ac:dyDescent="0.25">
      <c r="A110"/>
      <c r="B110"/>
      <c r="C110"/>
      <c r="D110"/>
      <c r="E110"/>
      <c r="F110"/>
      <c r="G110"/>
      <c r="J110"/>
      <c r="K110" s="20"/>
    </row>
    <row r="111" spans="1:11" x14ac:dyDescent="0.25">
      <c r="A111"/>
      <c r="B111"/>
      <c r="C111"/>
      <c r="D111"/>
      <c r="E111"/>
      <c r="F111"/>
      <c r="G111"/>
      <c r="J111"/>
      <c r="K111" s="20"/>
    </row>
    <row r="112" spans="1:11" x14ac:dyDescent="0.25">
      <c r="A112"/>
      <c r="B112"/>
      <c r="C112"/>
      <c r="D112"/>
      <c r="E112"/>
      <c r="F112"/>
      <c r="G112"/>
      <c r="J112"/>
      <c r="K112" s="20"/>
    </row>
    <row r="113" spans="1:11" x14ac:dyDescent="0.25">
      <c r="A113"/>
      <c r="B113"/>
      <c r="C113"/>
      <c r="D113"/>
      <c r="E113"/>
      <c r="F113"/>
      <c r="G113"/>
      <c r="J113"/>
      <c r="K113" s="20"/>
    </row>
    <row r="114" spans="1:11" x14ac:dyDescent="0.25">
      <c r="A114"/>
      <c r="B114"/>
      <c r="C114"/>
      <c r="D114"/>
      <c r="E114"/>
      <c r="F114"/>
      <c r="G114"/>
      <c r="J114"/>
      <c r="K114" s="20"/>
    </row>
    <row r="115" spans="1:11" x14ac:dyDescent="0.25">
      <c r="A115"/>
      <c r="B115"/>
      <c r="C115"/>
      <c r="D115"/>
      <c r="E115"/>
      <c r="F115"/>
      <c r="G115"/>
      <c r="J115"/>
      <c r="K115" s="20"/>
    </row>
    <row r="116" spans="1:11" x14ac:dyDescent="0.25">
      <c r="A116"/>
      <c r="B116"/>
      <c r="C116"/>
      <c r="D116"/>
      <c r="E116"/>
      <c r="F116"/>
      <c r="G116"/>
      <c r="J116"/>
      <c r="K116" s="20"/>
    </row>
    <row r="117" spans="1:11" x14ac:dyDescent="0.25">
      <c r="A117"/>
      <c r="B117"/>
      <c r="C117"/>
      <c r="D117"/>
      <c r="E117"/>
      <c r="F117"/>
      <c r="G117"/>
      <c r="J117"/>
      <c r="K117" s="20"/>
    </row>
    <row r="118" spans="1:11" x14ac:dyDescent="0.25">
      <c r="A118"/>
      <c r="B118"/>
      <c r="C118"/>
      <c r="D118"/>
      <c r="E118"/>
      <c r="F118"/>
      <c r="G118"/>
      <c r="J118"/>
      <c r="K118" s="20"/>
    </row>
    <row r="119" spans="1:11" x14ac:dyDescent="0.25">
      <c r="A119"/>
      <c r="B119"/>
      <c r="C119"/>
      <c r="D119"/>
      <c r="E119"/>
      <c r="F119"/>
      <c r="G119"/>
      <c r="J119"/>
      <c r="K119" s="20"/>
    </row>
    <row r="120" spans="1:11" x14ac:dyDescent="0.25">
      <c r="A120"/>
      <c r="B120"/>
      <c r="C120"/>
      <c r="D120"/>
      <c r="E120"/>
      <c r="F120"/>
      <c r="G120"/>
      <c r="J120"/>
      <c r="K120" s="20"/>
    </row>
    <row r="121" spans="1:11" x14ac:dyDescent="0.25">
      <c r="A121"/>
      <c r="B121"/>
      <c r="C121"/>
      <c r="D121"/>
      <c r="E121"/>
      <c r="F121"/>
      <c r="G121"/>
      <c r="J121"/>
      <c r="K121" s="20"/>
    </row>
    <row r="122" spans="1:11" x14ac:dyDescent="0.25">
      <c r="A122"/>
      <c r="B122"/>
      <c r="C122"/>
      <c r="D122"/>
      <c r="E122"/>
      <c r="F122"/>
      <c r="G122"/>
      <c r="J122"/>
      <c r="K122" s="20"/>
    </row>
    <row r="123" spans="1:11" x14ac:dyDescent="0.25">
      <c r="A123"/>
      <c r="B123"/>
      <c r="C123"/>
      <c r="D123"/>
      <c r="E123"/>
      <c r="F123"/>
      <c r="G123"/>
      <c r="J123"/>
      <c r="K123" s="20"/>
    </row>
    <row r="124" spans="1:11" x14ac:dyDescent="0.25">
      <c r="A124"/>
      <c r="B124"/>
      <c r="C124"/>
      <c r="D124"/>
      <c r="E124"/>
      <c r="F124"/>
      <c r="G124"/>
      <c r="J124"/>
      <c r="K124" s="20"/>
    </row>
    <row r="125" spans="1:11" x14ac:dyDescent="0.25">
      <c r="A125"/>
      <c r="B125"/>
      <c r="C125"/>
      <c r="D125"/>
      <c r="E125"/>
      <c r="F125"/>
      <c r="G125"/>
      <c r="J125"/>
      <c r="K125" s="20"/>
    </row>
    <row r="126" spans="1:11" x14ac:dyDescent="0.25">
      <c r="A126"/>
      <c r="B126"/>
      <c r="C126"/>
      <c r="D126"/>
      <c r="E126"/>
      <c r="F126"/>
      <c r="G126"/>
      <c r="J126"/>
      <c r="K126" s="20"/>
    </row>
    <row r="127" spans="1:11" x14ac:dyDescent="0.25">
      <c r="A127"/>
      <c r="B127"/>
      <c r="C127"/>
      <c r="D127"/>
      <c r="E127"/>
      <c r="F127"/>
      <c r="G127"/>
      <c r="J127"/>
      <c r="K127" s="20"/>
    </row>
    <row r="128" spans="1:11" x14ac:dyDescent="0.25">
      <c r="A128"/>
      <c r="B128"/>
      <c r="C128"/>
      <c r="D128"/>
      <c r="E128"/>
      <c r="F128"/>
      <c r="G128"/>
      <c r="J128"/>
      <c r="K128" s="20"/>
    </row>
    <row r="129" spans="1:11" x14ac:dyDescent="0.25">
      <c r="A129"/>
      <c r="B129"/>
      <c r="C129"/>
      <c r="D129"/>
      <c r="E129"/>
      <c r="F129"/>
      <c r="G129"/>
      <c r="J129"/>
      <c r="K129" s="20"/>
    </row>
    <row r="130" spans="1:11" x14ac:dyDescent="0.25">
      <c r="A130"/>
      <c r="B130"/>
      <c r="C130"/>
      <c r="D130"/>
      <c r="E130"/>
      <c r="F130"/>
      <c r="G130"/>
      <c r="J130"/>
      <c r="K130" s="20"/>
    </row>
    <row r="131" spans="1:11" x14ac:dyDescent="0.25">
      <c r="A131"/>
      <c r="B131"/>
      <c r="C131"/>
      <c r="D131"/>
      <c r="E131"/>
      <c r="F131"/>
      <c r="G131"/>
      <c r="J131"/>
      <c r="K131" s="20"/>
    </row>
    <row r="132" spans="1:11" x14ac:dyDescent="0.25">
      <c r="A132"/>
      <c r="B132"/>
      <c r="C132"/>
      <c r="D132"/>
      <c r="E132"/>
      <c r="F132"/>
      <c r="G132"/>
      <c r="J132"/>
      <c r="K132" s="20"/>
    </row>
    <row r="133" spans="1:11" x14ac:dyDescent="0.25">
      <c r="A133"/>
      <c r="B133"/>
      <c r="C133"/>
      <c r="D133"/>
      <c r="E133"/>
      <c r="F133"/>
      <c r="G133"/>
      <c r="J133"/>
      <c r="K133" s="20"/>
    </row>
    <row r="134" spans="1:11" x14ac:dyDescent="0.25">
      <c r="A134"/>
      <c r="B134"/>
      <c r="C134"/>
      <c r="D134"/>
      <c r="E134"/>
      <c r="F134"/>
      <c r="G134"/>
      <c r="J134"/>
      <c r="K134" s="20"/>
    </row>
    <row r="135" spans="1:11" x14ac:dyDescent="0.25">
      <c r="A135"/>
      <c r="B135"/>
      <c r="C135"/>
      <c r="D135"/>
      <c r="E135"/>
      <c r="F135"/>
      <c r="G135"/>
      <c r="J135"/>
      <c r="K135" s="20"/>
    </row>
    <row r="136" spans="1:11" x14ac:dyDescent="0.25">
      <c r="A136"/>
      <c r="B136"/>
      <c r="C136"/>
      <c r="D136"/>
      <c r="E136"/>
      <c r="F136"/>
      <c r="G136"/>
      <c r="J136"/>
      <c r="K136" s="20"/>
    </row>
    <row r="137" spans="1:11" x14ac:dyDescent="0.25">
      <c r="A137"/>
      <c r="B137"/>
      <c r="C137"/>
      <c r="D137"/>
      <c r="E137"/>
      <c r="F137"/>
      <c r="G137"/>
      <c r="J137"/>
      <c r="K137" s="20"/>
    </row>
    <row r="138" spans="1:11" x14ac:dyDescent="0.25">
      <c r="A138"/>
      <c r="B138"/>
      <c r="C138"/>
      <c r="D138"/>
      <c r="E138"/>
      <c r="F138"/>
      <c r="G138"/>
      <c r="J138"/>
      <c r="K138" s="20"/>
    </row>
    <row r="139" spans="1:11" x14ac:dyDescent="0.25">
      <c r="A139"/>
      <c r="B139"/>
      <c r="C139"/>
      <c r="D139"/>
      <c r="E139"/>
      <c r="F139"/>
      <c r="G139"/>
      <c r="J139"/>
      <c r="K139" s="20"/>
    </row>
    <row r="140" spans="1:11" x14ac:dyDescent="0.25">
      <c r="A140"/>
      <c r="B140"/>
      <c r="C140"/>
      <c r="D140"/>
      <c r="E140"/>
      <c r="F140"/>
      <c r="G140"/>
      <c r="J140"/>
      <c r="K140" s="20"/>
    </row>
    <row r="141" spans="1:11" x14ac:dyDescent="0.25">
      <c r="A141"/>
      <c r="B141"/>
      <c r="C141"/>
      <c r="D141"/>
      <c r="E141"/>
      <c r="F141"/>
      <c r="G141"/>
      <c r="J141"/>
      <c r="K141" s="20"/>
    </row>
    <row r="142" spans="1:11" x14ac:dyDescent="0.25">
      <c r="A142"/>
      <c r="B142"/>
      <c r="C142"/>
      <c r="D142"/>
      <c r="E142"/>
      <c r="F142"/>
      <c r="G142"/>
      <c r="J142"/>
      <c r="K142" s="20"/>
    </row>
    <row r="143" spans="1:11" x14ac:dyDescent="0.25">
      <c r="A143"/>
      <c r="B143"/>
      <c r="C143"/>
      <c r="D143"/>
      <c r="E143"/>
      <c r="F143"/>
      <c r="G143"/>
      <c r="J143"/>
      <c r="K143" s="20"/>
    </row>
    <row r="144" spans="1:11" x14ac:dyDescent="0.25">
      <c r="A144"/>
      <c r="B144"/>
      <c r="C144"/>
      <c r="D144"/>
      <c r="E144"/>
      <c r="F144"/>
      <c r="G144"/>
      <c r="J144"/>
      <c r="K144" s="20"/>
    </row>
    <row r="145" spans="1:11" x14ac:dyDescent="0.25">
      <c r="A145"/>
      <c r="B145"/>
      <c r="C145"/>
      <c r="D145"/>
      <c r="E145"/>
      <c r="F145"/>
      <c r="G145"/>
      <c r="J145"/>
      <c r="K145" s="20"/>
    </row>
    <row r="146" spans="1:11" x14ac:dyDescent="0.25">
      <c r="A146"/>
      <c r="B146"/>
      <c r="C146"/>
      <c r="D146"/>
      <c r="E146"/>
      <c r="F146"/>
      <c r="G146"/>
      <c r="J146"/>
      <c r="K146" s="20"/>
    </row>
    <row r="147" spans="1:11" x14ac:dyDescent="0.25">
      <c r="A147"/>
      <c r="B147"/>
      <c r="C147"/>
      <c r="D147"/>
      <c r="E147"/>
      <c r="F147"/>
      <c r="G147"/>
      <c r="J147"/>
      <c r="K147" s="20"/>
    </row>
    <row r="148" spans="1:11" x14ac:dyDescent="0.25">
      <c r="A148"/>
      <c r="B148"/>
      <c r="C148"/>
      <c r="D148"/>
      <c r="E148"/>
      <c r="F148"/>
      <c r="G148"/>
      <c r="J148"/>
      <c r="K148" s="20"/>
    </row>
    <row r="149" spans="1:11" x14ac:dyDescent="0.25">
      <c r="A149"/>
      <c r="B149"/>
      <c r="C149"/>
      <c r="D149"/>
      <c r="E149"/>
      <c r="F149"/>
      <c r="G149"/>
      <c r="J149"/>
      <c r="K149" s="20"/>
    </row>
    <row r="150" spans="1:11" x14ac:dyDescent="0.25">
      <c r="A150"/>
      <c r="B150"/>
      <c r="C150"/>
      <c r="D150"/>
      <c r="E150"/>
      <c r="F150"/>
      <c r="G150"/>
      <c r="J150"/>
      <c r="K150" s="20"/>
    </row>
    <row r="151" spans="1:11" x14ac:dyDescent="0.25">
      <c r="A151"/>
      <c r="B151"/>
      <c r="C151"/>
      <c r="D151"/>
      <c r="E151"/>
      <c r="F151"/>
      <c r="G151"/>
      <c r="J151"/>
      <c r="K151" s="20"/>
    </row>
    <row r="152" spans="1:11" x14ac:dyDescent="0.25">
      <c r="A152"/>
      <c r="B152"/>
      <c r="C152"/>
      <c r="D152"/>
      <c r="E152"/>
      <c r="F152"/>
      <c r="G152"/>
      <c r="J152"/>
      <c r="K152" s="20"/>
    </row>
    <row r="153" spans="1:11" x14ac:dyDescent="0.25">
      <c r="A153"/>
      <c r="B153"/>
      <c r="C153"/>
      <c r="D153"/>
      <c r="E153"/>
      <c r="F153"/>
      <c r="G153"/>
      <c r="J153"/>
      <c r="K153" s="20"/>
    </row>
    <row r="154" spans="1:11" x14ac:dyDescent="0.25">
      <c r="A154"/>
      <c r="B154"/>
      <c r="C154"/>
      <c r="D154"/>
      <c r="E154"/>
      <c r="F154"/>
      <c r="G154"/>
      <c r="J154"/>
      <c r="K154" s="20"/>
    </row>
    <row r="155" spans="1:11" x14ac:dyDescent="0.25">
      <c r="A155"/>
      <c r="B155"/>
      <c r="C155"/>
      <c r="D155"/>
      <c r="E155"/>
      <c r="F155"/>
      <c r="G155"/>
      <c r="J155"/>
      <c r="K155" s="20"/>
    </row>
    <row r="156" spans="1:11" x14ac:dyDescent="0.25">
      <c r="A156"/>
      <c r="B156"/>
      <c r="C156"/>
      <c r="D156"/>
      <c r="E156"/>
      <c r="F156"/>
      <c r="G156"/>
      <c r="J156"/>
      <c r="K156" s="20"/>
    </row>
    <row r="157" spans="1:11" x14ac:dyDescent="0.25">
      <c r="A157"/>
      <c r="B157"/>
      <c r="C157"/>
      <c r="D157"/>
      <c r="E157"/>
      <c r="F157"/>
      <c r="G157"/>
      <c r="J157"/>
      <c r="K157" s="20"/>
    </row>
    <row r="158" spans="1:11" x14ac:dyDescent="0.25">
      <c r="A158"/>
      <c r="B158"/>
      <c r="C158"/>
      <c r="D158"/>
      <c r="E158"/>
      <c r="F158"/>
      <c r="G158"/>
      <c r="J158"/>
      <c r="K158" s="20"/>
    </row>
    <row r="159" spans="1:11" x14ac:dyDescent="0.25">
      <c r="A159"/>
      <c r="B159"/>
      <c r="C159"/>
      <c r="D159"/>
      <c r="E159"/>
      <c r="F159"/>
      <c r="G159"/>
      <c r="J159"/>
      <c r="K159" s="20"/>
    </row>
    <row r="160" spans="1:11" x14ac:dyDescent="0.25">
      <c r="A160"/>
      <c r="B160"/>
      <c r="C160"/>
      <c r="D160"/>
      <c r="E160"/>
      <c r="F160"/>
      <c r="G160"/>
      <c r="J160"/>
      <c r="K160" s="20"/>
    </row>
    <row r="161" spans="1:11" x14ac:dyDescent="0.25">
      <c r="A161"/>
      <c r="B161"/>
      <c r="C161"/>
      <c r="D161"/>
      <c r="E161"/>
      <c r="F161"/>
      <c r="G161"/>
      <c r="J161"/>
      <c r="K161" s="20"/>
    </row>
    <row r="162" spans="1:11" x14ac:dyDescent="0.25">
      <c r="A162"/>
      <c r="B162"/>
      <c r="C162"/>
      <c r="D162"/>
      <c r="E162"/>
      <c r="F162"/>
      <c r="G162"/>
      <c r="J162"/>
      <c r="K162" s="20"/>
    </row>
    <row r="163" spans="1:11" x14ac:dyDescent="0.25">
      <c r="A163"/>
      <c r="B163"/>
      <c r="C163"/>
      <c r="D163"/>
      <c r="E163"/>
      <c r="F163"/>
      <c r="G163"/>
      <c r="J163"/>
      <c r="K163" s="20"/>
    </row>
    <row r="164" spans="1:11" x14ac:dyDescent="0.25">
      <c r="A164"/>
      <c r="B164"/>
      <c r="C164"/>
      <c r="D164"/>
      <c r="E164"/>
      <c r="F164"/>
      <c r="G164"/>
      <c r="J164"/>
      <c r="K164" s="20"/>
    </row>
    <row r="165" spans="1:11" x14ac:dyDescent="0.25">
      <c r="A165"/>
      <c r="B165"/>
      <c r="C165"/>
      <c r="D165"/>
      <c r="E165"/>
      <c r="F165"/>
      <c r="G165"/>
      <c r="J165"/>
      <c r="K165" s="20"/>
    </row>
    <row r="166" spans="1:11" x14ac:dyDescent="0.25">
      <c r="A166"/>
      <c r="B166"/>
      <c r="C166"/>
      <c r="D166"/>
      <c r="E166"/>
      <c r="F166"/>
      <c r="G166"/>
      <c r="J166"/>
      <c r="K166" s="20"/>
    </row>
    <row r="167" spans="1:11" x14ac:dyDescent="0.25">
      <c r="A167"/>
      <c r="B167"/>
      <c r="C167"/>
      <c r="D167"/>
      <c r="E167"/>
      <c r="F167"/>
      <c r="G167"/>
      <c r="J167"/>
      <c r="K167" s="20"/>
    </row>
    <row r="168" spans="1:11" x14ac:dyDescent="0.25">
      <c r="A168"/>
      <c r="B168"/>
      <c r="C168"/>
      <c r="D168"/>
      <c r="E168"/>
      <c r="F168"/>
      <c r="G168"/>
      <c r="J168"/>
      <c r="K168" s="20"/>
    </row>
    <row r="169" spans="1:11" x14ac:dyDescent="0.25">
      <c r="A169"/>
      <c r="B169"/>
      <c r="C169"/>
      <c r="D169"/>
      <c r="E169"/>
      <c r="F169"/>
      <c r="G169"/>
      <c r="J169"/>
      <c r="K169" s="20"/>
    </row>
    <row r="170" spans="1:11" x14ac:dyDescent="0.25">
      <c r="A170"/>
      <c r="B170"/>
      <c r="C170"/>
      <c r="D170"/>
      <c r="E170"/>
      <c r="F170"/>
      <c r="G170"/>
      <c r="J170"/>
      <c r="K170" s="20"/>
    </row>
    <row r="171" spans="1:11" x14ac:dyDescent="0.25">
      <c r="A171"/>
      <c r="B171"/>
      <c r="C171"/>
      <c r="D171"/>
      <c r="E171"/>
      <c r="F171"/>
      <c r="G171"/>
      <c r="J171"/>
      <c r="K171" s="20"/>
    </row>
    <row r="172" spans="1:11" x14ac:dyDescent="0.25">
      <c r="A172"/>
      <c r="B172"/>
      <c r="C172"/>
      <c r="D172"/>
      <c r="E172"/>
      <c r="F172"/>
      <c r="G172"/>
      <c r="J172"/>
      <c r="K172" s="20"/>
    </row>
    <row r="173" spans="1:11" x14ac:dyDescent="0.25">
      <c r="A173"/>
      <c r="B173"/>
      <c r="C173"/>
      <c r="D173"/>
      <c r="E173"/>
      <c r="F173"/>
      <c r="G173"/>
      <c r="J173"/>
      <c r="K173" s="20"/>
    </row>
    <row r="174" spans="1:11" x14ac:dyDescent="0.25">
      <c r="A174"/>
      <c r="B174"/>
      <c r="C174"/>
      <c r="D174"/>
      <c r="E174"/>
      <c r="F174"/>
      <c r="G174"/>
      <c r="J174"/>
      <c r="K174" s="20"/>
    </row>
    <row r="175" spans="1:11" x14ac:dyDescent="0.25">
      <c r="A175"/>
      <c r="B175"/>
      <c r="C175"/>
      <c r="D175"/>
      <c r="E175"/>
      <c r="F175"/>
      <c r="G175"/>
      <c r="J175"/>
      <c r="K175" s="20"/>
    </row>
    <row r="176" spans="1:11" x14ac:dyDescent="0.25">
      <c r="A176"/>
      <c r="B176"/>
      <c r="C176"/>
      <c r="D176"/>
      <c r="E176"/>
      <c r="F176"/>
      <c r="G176"/>
      <c r="J176"/>
      <c r="K176" s="20"/>
    </row>
    <row r="177" spans="1:11" x14ac:dyDescent="0.25">
      <c r="A177"/>
      <c r="B177"/>
      <c r="C177"/>
      <c r="D177"/>
      <c r="E177"/>
      <c r="F177"/>
      <c r="G177"/>
      <c r="J177"/>
      <c r="K177" s="20"/>
    </row>
    <row r="178" spans="1:11" x14ac:dyDescent="0.25">
      <c r="A178"/>
      <c r="B178"/>
      <c r="C178"/>
      <c r="D178"/>
      <c r="E178"/>
      <c r="F178"/>
      <c r="G178"/>
      <c r="J178"/>
      <c r="K178" s="20"/>
    </row>
    <row r="179" spans="1:11" x14ac:dyDescent="0.25">
      <c r="A179"/>
      <c r="B179"/>
      <c r="C179"/>
      <c r="D179"/>
      <c r="E179"/>
      <c r="F179"/>
      <c r="G179"/>
      <c r="J179"/>
      <c r="K179" s="20"/>
    </row>
    <row r="180" spans="1:11" x14ac:dyDescent="0.25">
      <c r="A180"/>
      <c r="B180"/>
      <c r="C180"/>
      <c r="D180"/>
      <c r="E180"/>
      <c r="F180"/>
      <c r="G180"/>
      <c r="J180"/>
      <c r="K180" s="20"/>
    </row>
    <row r="181" spans="1:11" x14ac:dyDescent="0.25">
      <c r="A181"/>
      <c r="B181"/>
      <c r="C181"/>
      <c r="D181"/>
      <c r="E181"/>
      <c r="F181"/>
      <c r="G181"/>
      <c r="J181"/>
      <c r="K181" s="20"/>
    </row>
    <row r="182" spans="1:11" x14ac:dyDescent="0.25">
      <c r="A182"/>
      <c r="B182"/>
      <c r="C182"/>
      <c r="D182"/>
      <c r="E182"/>
      <c r="F182"/>
      <c r="G182"/>
      <c r="J182"/>
      <c r="K182" s="20"/>
    </row>
    <row r="183" spans="1:11" x14ac:dyDescent="0.25">
      <c r="A183"/>
      <c r="B183"/>
      <c r="C183"/>
      <c r="D183"/>
      <c r="E183"/>
      <c r="F183"/>
      <c r="G183"/>
      <c r="J183"/>
      <c r="K183" s="20"/>
    </row>
    <row r="184" spans="1:11" x14ac:dyDescent="0.25">
      <c r="A184"/>
      <c r="B184"/>
      <c r="C184"/>
      <c r="D184"/>
      <c r="E184"/>
      <c r="F184"/>
      <c r="G184"/>
      <c r="J184"/>
      <c r="K184" s="20"/>
    </row>
    <row r="185" spans="1:11" x14ac:dyDescent="0.25">
      <c r="A185"/>
      <c r="B185"/>
      <c r="C185"/>
      <c r="D185"/>
      <c r="E185"/>
      <c r="F185"/>
      <c r="G185"/>
      <c r="J185"/>
      <c r="K185" s="20"/>
    </row>
    <row r="186" spans="1:11" x14ac:dyDescent="0.25">
      <c r="A186"/>
      <c r="B186"/>
      <c r="C186"/>
      <c r="D186"/>
      <c r="E186"/>
      <c r="F186"/>
      <c r="G186"/>
      <c r="J186"/>
      <c r="K186" s="20"/>
    </row>
    <row r="187" spans="1:11" x14ac:dyDescent="0.25">
      <c r="A187"/>
      <c r="B187"/>
      <c r="C187"/>
      <c r="D187"/>
      <c r="E187"/>
      <c r="F187"/>
      <c r="G187"/>
      <c r="J187"/>
      <c r="K187" s="20"/>
    </row>
    <row r="188" spans="1:11" x14ac:dyDescent="0.25">
      <c r="A188"/>
      <c r="B188"/>
      <c r="C188"/>
      <c r="D188"/>
      <c r="E188"/>
      <c r="F188"/>
      <c r="G188"/>
      <c r="J188"/>
      <c r="K188" s="20"/>
    </row>
    <row r="189" spans="1:11" x14ac:dyDescent="0.25">
      <c r="A189"/>
      <c r="B189"/>
      <c r="C189"/>
      <c r="D189"/>
      <c r="E189"/>
      <c r="F189"/>
      <c r="G189"/>
      <c r="J189"/>
      <c r="K189" s="20"/>
    </row>
    <row r="190" spans="1:11" x14ac:dyDescent="0.25">
      <c r="A190"/>
      <c r="B190"/>
      <c r="C190"/>
      <c r="D190"/>
      <c r="E190"/>
      <c r="F190"/>
      <c r="G190"/>
      <c r="J190"/>
      <c r="K190" s="20"/>
    </row>
    <row r="191" spans="1:11" x14ac:dyDescent="0.25">
      <c r="A191"/>
      <c r="B191"/>
      <c r="C191"/>
      <c r="D191"/>
      <c r="E191"/>
      <c r="F191"/>
      <c r="G191"/>
      <c r="J191"/>
      <c r="K191" s="20"/>
    </row>
    <row r="192" spans="1:11" x14ac:dyDescent="0.25">
      <c r="A192"/>
      <c r="B192"/>
      <c r="C192"/>
      <c r="D192"/>
      <c r="E192"/>
      <c r="F192"/>
      <c r="G192"/>
      <c r="J192"/>
      <c r="K192" s="20"/>
    </row>
    <row r="193" spans="1:11" x14ac:dyDescent="0.25">
      <c r="A193"/>
      <c r="B193"/>
      <c r="C193"/>
      <c r="D193"/>
      <c r="E193"/>
      <c r="F193"/>
      <c r="G193"/>
      <c r="J193"/>
      <c r="K193" s="20"/>
    </row>
    <row r="194" spans="1:11" x14ac:dyDescent="0.25">
      <c r="A194"/>
      <c r="B194"/>
      <c r="C194"/>
      <c r="D194"/>
      <c r="E194"/>
      <c r="F194"/>
      <c r="G194"/>
      <c r="J194"/>
      <c r="K194" s="20"/>
    </row>
    <row r="195" spans="1:11" x14ac:dyDescent="0.25">
      <c r="A195"/>
      <c r="B195"/>
      <c r="C195"/>
      <c r="D195"/>
      <c r="E195"/>
      <c r="F195"/>
      <c r="G195"/>
      <c r="J195"/>
      <c r="K195" s="20"/>
    </row>
    <row r="196" spans="1:11" x14ac:dyDescent="0.25">
      <c r="A196"/>
      <c r="B196"/>
      <c r="C196"/>
      <c r="D196"/>
      <c r="E196"/>
      <c r="F196"/>
      <c r="G196"/>
      <c r="J196"/>
      <c r="K196" s="20"/>
    </row>
    <row r="197" spans="1:11" x14ac:dyDescent="0.25">
      <c r="A197"/>
      <c r="B197"/>
      <c r="C197"/>
      <c r="D197"/>
      <c r="E197"/>
      <c r="F197"/>
      <c r="G197"/>
      <c r="J197"/>
      <c r="K197" s="20"/>
    </row>
    <row r="198" spans="1:11" x14ac:dyDescent="0.25">
      <c r="A198"/>
      <c r="B198"/>
      <c r="C198"/>
      <c r="D198"/>
      <c r="E198"/>
      <c r="F198"/>
      <c r="G198"/>
      <c r="J198"/>
      <c r="K198" s="20"/>
    </row>
    <row r="199" spans="1:11" x14ac:dyDescent="0.25">
      <c r="A199"/>
      <c r="B199"/>
      <c r="C199"/>
      <c r="D199"/>
      <c r="E199"/>
      <c r="F199"/>
      <c r="G199"/>
      <c r="J199"/>
      <c r="K199" s="20"/>
    </row>
    <row r="200" spans="1:11" x14ac:dyDescent="0.25">
      <c r="A200"/>
      <c r="B200"/>
      <c r="C200"/>
      <c r="D200"/>
      <c r="E200"/>
      <c r="F200"/>
      <c r="G200"/>
      <c r="J200"/>
      <c r="K200" s="20"/>
    </row>
    <row r="201" spans="1:11" x14ac:dyDescent="0.25">
      <c r="A201"/>
      <c r="B201"/>
      <c r="C201"/>
      <c r="D201"/>
      <c r="E201"/>
      <c r="F201"/>
      <c r="G201"/>
      <c r="J201"/>
      <c r="K201" s="20"/>
    </row>
    <row r="202" spans="1:11" x14ac:dyDescent="0.25">
      <c r="A202"/>
      <c r="B202"/>
      <c r="C202"/>
      <c r="D202"/>
      <c r="E202"/>
      <c r="F202"/>
      <c r="G202"/>
      <c r="J202"/>
      <c r="K202" s="20"/>
    </row>
    <row r="203" spans="1:11" x14ac:dyDescent="0.25">
      <c r="A203"/>
      <c r="B203"/>
      <c r="C203"/>
      <c r="D203"/>
      <c r="E203"/>
      <c r="F203"/>
      <c r="G203"/>
      <c r="J203"/>
      <c r="K203" s="20"/>
    </row>
    <row r="204" spans="1:11" x14ac:dyDescent="0.25">
      <c r="A204"/>
      <c r="B204"/>
      <c r="C204"/>
      <c r="D204"/>
      <c r="E204"/>
      <c r="F204"/>
      <c r="G204"/>
      <c r="J204"/>
      <c r="K204" s="20"/>
    </row>
    <row r="205" spans="1:11" x14ac:dyDescent="0.25">
      <c r="A205"/>
      <c r="B205"/>
      <c r="C205"/>
      <c r="D205"/>
      <c r="E205"/>
      <c r="F205"/>
      <c r="G205"/>
      <c r="J205"/>
      <c r="K205" s="20"/>
    </row>
    <row r="206" spans="1:11" x14ac:dyDescent="0.25">
      <c r="A206"/>
      <c r="B206"/>
      <c r="C206"/>
      <c r="D206"/>
      <c r="E206"/>
      <c r="F206"/>
      <c r="G206"/>
      <c r="J206"/>
      <c r="K206" s="20"/>
    </row>
    <row r="207" spans="1:11" x14ac:dyDescent="0.25">
      <c r="A207"/>
      <c r="B207"/>
      <c r="C207"/>
      <c r="D207"/>
      <c r="E207"/>
      <c r="F207"/>
      <c r="G207"/>
      <c r="J207"/>
      <c r="K207" s="20"/>
    </row>
    <row r="208" spans="1:11" x14ac:dyDescent="0.25">
      <c r="A208"/>
      <c r="B208"/>
      <c r="C208"/>
      <c r="D208"/>
      <c r="E208"/>
      <c r="F208"/>
      <c r="G208"/>
      <c r="J208"/>
      <c r="K208" s="20"/>
    </row>
    <row r="209" spans="1:11" x14ac:dyDescent="0.25">
      <c r="A209"/>
      <c r="B209"/>
      <c r="C209"/>
      <c r="D209"/>
      <c r="E209"/>
      <c r="F209"/>
      <c r="G209"/>
      <c r="J209"/>
      <c r="K209" s="20"/>
    </row>
    <row r="210" spans="1:11" x14ac:dyDescent="0.25">
      <c r="A210"/>
      <c r="B210"/>
      <c r="C210"/>
      <c r="D210"/>
      <c r="E210"/>
      <c r="F210"/>
      <c r="G210"/>
      <c r="J210"/>
      <c r="K210" s="20"/>
    </row>
    <row r="211" spans="1:11" x14ac:dyDescent="0.25">
      <c r="A211"/>
      <c r="B211"/>
      <c r="C211"/>
      <c r="D211"/>
      <c r="E211"/>
      <c r="F211"/>
      <c r="G211"/>
      <c r="J211"/>
      <c r="K211" s="20"/>
    </row>
    <row r="212" spans="1:11" x14ac:dyDescent="0.25">
      <c r="A212"/>
      <c r="B212"/>
      <c r="C212"/>
      <c r="D212"/>
      <c r="E212"/>
      <c r="F212"/>
      <c r="G212"/>
      <c r="J212"/>
      <c r="K212" s="20"/>
    </row>
    <row r="213" spans="1:11" x14ac:dyDescent="0.25">
      <c r="A213"/>
      <c r="B213"/>
      <c r="C213"/>
      <c r="D213"/>
      <c r="E213"/>
      <c r="F213"/>
      <c r="G213"/>
      <c r="J213"/>
      <c r="K213" s="20"/>
    </row>
    <row r="214" spans="1:11" x14ac:dyDescent="0.25">
      <c r="A214"/>
      <c r="B214"/>
      <c r="C214"/>
      <c r="D214"/>
      <c r="E214"/>
      <c r="F214"/>
      <c r="G214"/>
      <c r="J214"/>
      <c r="K214" s="20"/>
    </row>
    <row r="215" spans="1:11" x14ac:dyDescent="0.25">
      <c r="A215"/>
      <c r="B215"/>
      <c r="C215"/>
      <c r="D215"/>
      <c r="E215"/>
      <c r="F215"/>
      <c r="G215"/>
      <c r="J215"/>
      <c r="K215" s="20"/>
    </row>
    <row r="216" spans="1:11" x14ac:dyDescent="0.25">
      <c r="A216"/>
      <c r="B216"/>
      <c r="C216"/>
      <c r="D216"/>
      <c r="E216"/>
      <c r="F216"/>
      <c r="G216"/>
      <c r="J216"/>
      <c r="K216" s="20"/>
    </row>
    <row r="217" spans="1:11" x14ac:dyDescent="0.25">
      <c r="A217"/>
      <c r="B217"/>
      <c r="C217"/>
      <c r="D217"/>
      <c r="E217"/>
      <c r="F217"/>
      <c r="G217"/>
      <c r="J217"/>
      <c r="K217" s="20"/>
    </row>
    <row r="218" spans="1:11" x14ac:dyDescent="0.25">
      <c r="A218"/>
      <c r="B218"/>
      <c r="C218"/>
      <c r="D218"/>
      <c r="E218"/>
      <c r="F218"/>
      <c r="G218"/>
      <c r="J218"/>
      <c r="K218" s="20"/>
    </row>
    <row r="219" spans="1:11" x14ac:dyDescent="0.25">
      <c r="A219"/>
      <c r="B219"/>
      <c r="C219"/>
      <c r="D219"/>
      <c r="E219"/>
      <c r="F219"/>
      <c r="G219"/>
      <c r="J219"/>
      <c r="K219" s="20"/>
    </row>
    <row r="220" spans="1:11" x14ac:dyDescent="0.25">
      <c r="A220"/>
      <c r="B220"/>
      <c r="C220"/>
      <c r="D220"/>
      <c r="E220"/>
      <c r="F220"/>
      <c r="G220"/>
      <c r="J220"/>
      <c r="K220" s="20"/>
    </row>
    <row r="221" spans="1:11" x14ac:dyDescent="0.25">
      <c r="A221"/>
      <c r="B221"/>
      <c r="C221"/>
      <c r="D221"/>
      <c r="E221"/>
      <c r="F221"/>
      <c r="G221"/>
      <c r="J221"/>
      <c r="K221" s="20"/>
    </row>
    <row r="222" spans="1:11" x14ac:dyDescent="0.25">
      <c r="A222"/>
      <c r="B222"/>
      <c r="C222"/>
      <c r="D222"/>
      <c r="E222"/>
      <c r="F222"/>
      <c r="G222"/>
      <c r="J222"/>
      <c r="K222" s="20"/>
    </row>
    <row r="223" spans="1:11" x14ac:dyDescent="0.25">
      <c r="A223"/>
      <c r="B223"/>
      <c r="C223"/>
      <c r="D223"/>
      <c r="E223"/>
      <c r="F223"/>
      <c r="G223"/>
      <c r="J223"/>
      <c r="K223" s="20"/>
    </row>
    <row r="224" spans="1:11" x14ac:dyDescent="0.25">
      <c r="A224"/>
      <c r="B224"/>
      <c r="C224"/>
      <c r="D224"/>
      <c r="E224"/>
      <c r="F224"/>
      <c r="G224"/>
      <c r="J224"/>
      <c r="K224" s="20"/>
    </row>
    <row r="225" spans="1:11" x14ac:dyDescent="0.25">
      <c r="A225"/>
      <c r="B225"/>
      <c r="C225"/>
      <c r="D225"/>
      <c r="E225"/>
      <c r="F225"/>
      <c r="G225"/>
      <c r="J225"/>
      <c r="K225" s="20"/>
    </row>
    <row r="226" spans="1:11" x14ac:dyDescent="0.25">
      <c r="A226"/>
      <c r="B226"/>
      <c r="C226"/>
      <c r="D226"/>
      <c r="E226"/>
      <c r="F226"/>
      <c r="G226"/>
      <c r="J226"/>
      <c r="K226" s="20"/>
    </row>
    <row r="227" spans="1:11" x14ac:dyDescent="0.25">
      <c r="A227"/>
      <c r="B227"/>
      <c r="C227"/>
      <c r="D227"/>
      <c r="E227"/>
      <c r="F227"/>
      <c r="G227"/>
      <c r="J227"/>
      <c r="K227" s="20"/>
    </row>
    <row r="228" spans="1:11" x14ac:dyDescent="0.25">
      <c r="A228"/>
      <c r="B228"/>
      <c r="C228"/>
      <c r="D228"/>
      <c r="E228"/>
      <c r="F228"/>
      <c r="G228"/>
      <c r="J228"/>
      <c r="K228" s="20"/>
    </row>
    <row r="229" spans="1:11" x14ac:dyDescent="0.25">
      <c r="A229"/>
      <c r="B229"/>
      <c r="C229"/>
      <c r="D229"/>
      <c r="E229"/>
      <c r="F229"/>
      <c r="G229"/>
      <c r="J229"/>
      <c r="K229" s="20"/>
    </row>
    <row r="230" spans="1:11" x14ac:dyDescent="0.25">
      <c r="A230"/>
      <c r="B230"/>
      <c r="C230"/>
      <c r="D230"/>
      <c r="E230"/>
      <c r="F230"/>
      <c r="G230"/>
      <c r="J230"/>
      <c r="K230" s="20"/>
    </row>
    <row r="231" spans="1:11" x14ac:dyDescent="0.25">
      <c r="A231"/>
      <c r="B231"/>
      <c r="C231"/>
      <c r="D231"/>
      <c r="E231"/>
      <c r="F231"/>
      <c r="G231"/>
      <c r="J231"/>
      <c r="K231" s="20"/>
    </row>
    <row r="232" spans="1:11" x14ac:dyDescent="0.25">
      <c r="A232"/>
      <c r="B232"/>
      <c r="C232"/>
      <c r="D232"/>
      <c r="E232"/>
      <c r="F232"/>
      <c r="G232"/>
      <c r="J232"/>
      <c r="K232" s="20"/>
    </row>
    <row r="233" spans="1:11" x14ac:dyDescent="0.25">
      <c r="A233"/>
      <c r="B233"/>
      <c r="C233"/>
      <c r="D233"/>
      <c r="E233"/>
      <c r="F233"/>
      <c r="G233"/>
      <c r="J233"/>
      <c r="K233" s="20"/>
    </row>
    <row r="234" spans="1:11" x14ac:dyDescent="0.25">
      <c r="A234"/>
      <c r="B234"/>
      <c r="C234"/>
      <c r="D234"/>
      <c r="E234"/>
      <c r="F234"/>
      <c r="G234"/>
      <c r="J234"/>
      <c r="K234" s="20"/>
    </row>
    <row r="235" spans="1:11" x14ac:dyDescent="0.25">
      <c r="A235"/>
      <c r="B235"/>
      <c r="C235"/>
      <c r="D235"/>
      <c r="E235"/>
      <c r="F235"/>
      <c r="G235"/>
      <c r="J235"/>
      <c r="K235" s="20"/>
    </row>
    <row r="236" spans="1:11" x14ac:dyDescent="0.25">
      <c r="A236"/>
      <c r="B236"/>
      <c r="C236"/>
      <c r="D236"/>
      <c r="E236"/>
      <c r="F236"/>
      <c r="G236"/>
      <c r="J236"/>
      <c r="K236" s="20"/>
    </row>
    <row r="237" spans="1:11" x14ac:dyDescent="0.25">
      <c r="A237"/>
      <c r="B237"/>
      <c r="C237"/>
      <c r="D237"/>
      <c r="E237"/>
      <c r="F237"/>
      <c r="G237"/>
      <c r="J237"/>
      <c r="K237" s="20"/>
    </row>
    <row r="238" spans="1:11" x14ac:dyDescent="0.25">
      <c r="A238"/>
      <c r="B238"/>
      <c r="C238"/>
      <c r="D238"/>
      <c r="E238"/>
      <c r="F238"/>
      <c r="G238"/>
      <c r="J238"/>
      <c r="K238" s="20"/>
    </row>
    <row r="239" spans="1:11" x14ac:dyDescent="0.25">
      <c r="A239"/>
      <c r="B239"/>
      <c r="C239"/>
      <c r="D239"/>
      <c r="E239"/>
      <c r="F239"/>
      <c r="G239"/>
      <c r="J239"/>
      <c r="K239" s="20"/>
    </row>
    <row r="240" spans="1:11" x14ac:dyDescent="0.25">
      <c r="A240"/>
      <c r="B240"/>
      <c r="C240"/>
      <c r="D240"/>
      <c r="E240"/>
      <c r="F240"/>
      <c r="G240"/>
      <c r="J240"/>
      <c r="K240" s="20"/>
    </row>
    <row r="241" spans="1:11" x14ac:dyDescent="0.25">
      <c r="A241"/>
      <c r="B241"/>
      <c r="C241"/>
      <c r="D241"/>
      <c r="E241"/>
      <c r="F241"/>
      <c r="G241"/>
      <c r="J241"/>
      <c r="K241" s="20"/>
    </row>
    <row r="242" spans="1:11" x14ac:dyDescent="0.25">
      <c r="A242"/>
      <c r="B242"/>
      <c r="C242"/>
      <c r="D242"/>
      <c r="E242"/>
      <c r="F242"/>
      <c r="G242"/>
      <c r="J242"/>
      <c r="K242" s="20"/>
    </row>
    <row r="243" spans="1:11" x14ac:dyDescent="0.25">
      <c r="A243"/>
      <c r="B243"/>
      <c r="C243"/>
      <c r="D243"/>
      <c r="E243"/>
      <c r="F243"/>
      <c r="G243"/>
      <c r="J243"/>
      <c r="K243" s="20"/>
    </row>
    <row r="244" spans="1:11" x14ac:dyDescent="0.25">
      <c r="A244"/>
      <c r="B244"/>
      <c r="C244"/>
      <c r="D244"/>
      <c r="E244"/>
      <c r="F244"/>
      <c r="G244"/>
      <c r="J244"/>
      <c r="K244" s="20"/>
    </row>
    <row r="245" spans="1:11" x14ac:dyDescent="0.25">
      <c r="A245"/>
      <c r="B245"/>
      <c r="C245"/>
      <c r="D245"/>
      <c r="E245"/>
      <c r="F245"/>
      <c r="G245"/>
      <c r="J245"/>
      <c r="K245" s="20"/>
    </row>
    <row r="246" spans="1:11" x14ac:dyDescent="0.25">
      <c r="A246"/>
      <c r="B246"/>
      <c r="C246"/>
      <c r="D246"/>
      <c r="E246"/>
      <c r="F246"/>
      <c r="G246"/>
      <c r="J246"/>
      <c r="K246" s="20"/>
    </row>
    <row r="247" spans="1:11" x14ac:dyDescent="0.25">
      <c r="A247"/>
      <c r="B247"/>
      <c r="C247"/>
      <c r="D247"/>
      <c r="E247"/>
      <c r="F247"/>
      <c r="G247"/>
      <c r="J247"/>
      <c r="K247" s="20"/>
    </row>
    <row r="248" spans="1:11" x14ac:dyDescent="0.25">
      <c r="A248"/>
      <c r="B248"/>
      <c r="C248"/>
      <c r="D248"/>
      <c r="E248"/>
      <c r="F248"/>
      <c r="G248"/>
      <c r="J248"/>
      <c r="K248" s="20"/>
    </row>
    <row r="249" spans="1:11" x14ac:dyDescent="0.25">
      <c r="A249"/>
      <c r="B249"/>
      <c r="C249"/>
      <c r="D249"/>
      <c r="E249"/>
      <c r="F249"/>
      <c r="G249"/>
      <c r="J249"/>
      <c r="K249" s="20"/>
    </row>
    <row r="250" spans="1:11" x14ac:dyDescent="0.25">
      <c r="A250"/>
      <c r="B250"/>
      <c r="C250"/>
      <c r="D250"/>
      <c r="E250"/>
      <c r="F250"/>
      <c r="G250"/>
      <c r="J250"/>
      <c r="K250" s="20"/>
    </row>
    <row r="251" spans="1:11" x14ac:dyDescent="0.25">
      <c r="A251"/>
      <c r="B251"/>
      <c r="C251"/>
      <c r="D251"/>
      <c r="E251"/>
      <c r="F251"/>
      <c r="G251"/>
      <c r="J251"/>
      <c r="K251" s="20"/>
    </row>
    <row r="252" spans="1:11" x14ac:dyDescent="0.25">
      <c r="A252"/>
      <c r="B252"/>
      <c r="C252"/>
      <c r="D252"/>
      <c r="E252"/>
      <c r="F252"/>
      <c r="G252"/>
      <c r="J252"/>
      <c r="K252" s="20"/>
    </row>
    <row r="253" spans="1:11" x14ac:dyDescent="0.25">
      <c r="A253"/>
      <c r="B253"/>
      <c r="C253"/>
      <c r="D253"/>
      <c r="E253"/>
      <c r="F253"/>
      <c r="G253"/>
      <c r="J253"/>
      <c r="K253" s="20"/>
    </row>
    <row r="254" spans="1:11" x14ac:dyDescent="0.25">
      <c r="A254"/>
      <c r="B254"/>
      <c r="C254"/>
      <c r="D254"/>
      <c r="E254"/>
      <c r="F254"/>
      <c r="G254"/>
      <c r="J254"/>
      <c r="K254" s="20"/>
    </row>
    <row r="255" spans="1:11" x14ac:dyDescent="0.25">
      <c r="A255"/>
      <c r="B255"/>
      <c r="C255"/>
      <c r="D255"/>
      <c r="E255"/>
      <c r="F255"/>
      <c r="G255"/>
      <c r="J255"/>
      <c r="K255" s="20"/>
    </row>
    <row r="256" spans="1:11" x14ac:dyDescent="0.25">
      <c r="A256"/>
      <c r="B256"/>
      <c r="C256"/>
      <c r="D256"/>
      <c r="E256"/>
      <c r="F256"/>
      <c r="G256"/>
      <c r="J256"/>
      <c r="K256" s="20"/>
    </row>
    <row r="257" spans="1:11" x14ac:dyDescent="0.25">
      <c r="A257"/>
      <c r="B257"/>
      <c r="C257"/>
      <c r="D257"/>
      <c r="E257"/>
      <c r="F257"/>
      <c r="G257"/>
      <c r="J257"/>
      <c r="K257" s="20"/>
    </row>
    <row r="258" spans="1:11" x14ac:dyDescent="0.25">
      <c r="A258"/>
      <c r="B258"/>
      <c r="C258"/>
      <c r="D258"/>
      <c r="E258"/>
      <c r="F258"/>
      <c r="G258"/>
      <c r="J258"/>
      <c r="K258" s="20"/>
    </row>
    <row r="259" spans="1:11" x14ac:dyDescent="0.25">
      <c r="A259"/>
      <c r="B259"/>
      <c r="C259"/>
      <c r="D259"/>
      <c r="E259"/>
      <c r="F259"/>
      <c r="G259"/>
      <c r="J259"/>
      <c r="K259" s="20"/>
    </row>
    <row r="260" spans="1:11" x14ac:dyDescent="0.25">
      <c r="A260"/>
      <c r="B260"/>
      <c r="C260"/>
      <c r="D260"/>
      <c r="E260"/>
      <c r="F260"/>
      <c r="G260"/>
      <c r="J260"/>
      <c r="K260" s="20"/>
    </row>
    <row r="261" spans="1:11" x14ac:dyDescent="0.25">
      <c r="A261"/>
      <c r="B261"/>
      <c r="C261"/>
      <c r="D261"/>
      <c r="E261"/>
      <c r="F261"/>
      <c r="G261"/>
      <c r="J261"/>
      <c r="K261" s="20"/>
    </row>
    <row r="262" spans="1:11" x14ac:dyDescent="0.25">
      <c r="A262"/>
      <c r="B262"/>
      <c r="C262"/>
      <c r="D262"/>
      <c r="E262"/>
      <c r="F262"/>
      <c r="G262"/>
      <c r="J262"/>
      <c r="K262" s="20"/>
    </row>
    <row r="263" spans="1:11" x14ac:dyDescent="0.25">
      <c r="A263"/>
      <c r="B263"/>
      <c r="C263"/>
      <c r="D263"/>
      <c r="E263"/>
      <c r="F263"/>
      <c r="G263"/>
      <c r="J263"/>
      <c r="K263" s="20"/>
    </row>
    <row r="264" spans="1:11" x14ac:dyDescent="0.25">
      <c r="A264"/>
      <c r="B264"/>
      <c r="C264"/>
      <c r="D264"/>
      <c r="E264"/>
      <c r="F264"/>
      <c r="G264"/>
      <c r="J264"/>
      <c r="K264" s="20"/>
    </row>
    <row r="265" spans="1:11" x14ac:dyDescent="0.25">
      <c r="A265"/>
      <c r="B265"/>
      <c r="C265"/>
      <c r="D265"/>
      <c r="E265"/>
      <c r="F265"/>
      <c r="G265"/>
      <c r="J265"/>
      <c r="K265" s="20"/>
    </row>
    <row r="266" spans="1:11" x14ac:dyDescent="0.25">
      <c r="A266"/>
      <c r="B266"/>
      <c r="C266"/>
      <c r="D266"/>
      <c r="E266"/>
      <c r="F266"/>
      <c r="G266"/>
      <c r="J266"/>
      <c r="K266" s="20"/>
    </row>
    <row r="267" spans="1:11" x14ac:dyDescent="0.25">
      <c r="A267"/>
      <c r="B267"/>
      <c r="C267"/>
      <c r="D267"/>
      <c r="E267"/>
      <c r="F267"/>
      <c r="G267"/>
      <c r="J267"/>
      <c r="K267" s="20"/>
    </row>
    <row r="268" spans="1:11" x14ac:dyDescent="0.25">
      <c r="A268"/>
      <c r="B268"/>
      <c r="C268"/>
      <c r="D268"/>
      <c r="E268"/>
      <c r="F268"/>
      <c r="G268"/>
      <c r="J268"/>
      <c r="K268" s="20"/>
    </row>
    <row r="269" spans="1:11" x14ac:dyDescent="0.25">
      <c r="A269"/>
      <c r="B269"/>
      <c r="C269"/>
      <c r="D269"/>
      <c r="E269"/>
      <c r="F269"/>
      <c r="G269"/>
      <c r="J269"/>
      <c r="K269" s="20"/>
    </row>
    <row r="270" spans="1:11" x14ac:dyDescent="0.25">
      <c r="A270"/>
      <c r="B270"/>
      <c r="C270"/>
      <c r="D270"/>
      <c r="E270"/>
      <c r="F270"/>
      <c r="G270"/>
      <c r="J270"/>
      <c r="K270" s="20"/>
    </row>
    <row r="271" spans="1:11" x14ac:dyDescent="0.25">
      <c r="A271"/>
      <c r="B271"/>
      <c r="C271"/>
      <c r="D271"/>
      <c r="E271"/>
      <c r="F271"/>
      <c r="G271"/>
      <c r="J271"/>
      <c r="K271" s="20"/>
    </row>
    <row r="272" spans="1:11" x14ac:dyDescent="0.25">
      <c r="A272"/>
      <c r="B272"/>
      <c r="C272"/>
      <c r="D272"/>
      <c r="E272"/>
      <c r="F272"/>
      <c r="G272"/>
      <c r="J272"/>
      <c r="K272" s="20"/>
    </row>
    <row r="273" spans="1:11" x14ac:dyDescent="0.25">
      <c r="A273"/>
      <c r="B273"/>
      <c r="C273"/>
      <c r="D273"/>
      <c r="E273"/>
      <c r="F273"/>
      <c r="G273"/>
      <c r="J273"/>
      <c r="K273" s="20"/>
    </row>
    <row r="274" spans="1:11" x14ac:dyDescent="0.25">
      <c r="A274"/>
      <c r="B274"/>
      <c r="C274"/>
      <c r="D274"/>
      <c r="E274"/>
      <c r="F274"/>
      <c r="G274"/>
      <c r="J274"/>
      <c r="K274" s="20"/>
    </row>
    <row r="275" spans="1:11" x14ac:dyDescent="0.25">
      <c r="A275"/>
      <c r="B275"/>
      <c r="C275"/>
      <c r="D275"/>
      <c r="E275"/>
      <c r="F275"/>
      <c r="G275"/>
      <c r="J275"/>
      <c r="K275" s="20"/>
    </row>
    <row r="276" spans="1:11" x14ac:dyDescent="0.25">
      <c r="A276"/>
      <c r="B276"/>
      <c r="C276"/>
      <c r="D276"/>
      <c r="E276"/>
      <c r="F276"/>
      <c r="G276"/>
      <c r="J276"/>
      <c r="K276" s="20"/>
    </row>
    <row r="277" spans="1:11" x14ac:dyDescent="0.25">
      <c r="A277"/>
      <c r="B277"/>
      <c r="C277"/>
      <c r="D277"/>
      <c r="E277"/>
      <c r="F277"/>
      <c r="G277"/>
      <c r="J277"/>
      <c r="K277" s="20"/>
    </row>
    <row r="278" spans="1:11" x14ac:dyDescent="0.25">
      <c r="A278"/>
      <c r="B278"/>
      <c r="C278"/>
      <c r="D278"/>
      <c r="E278"/>
      <c r="F278"/>
      <c r="G278"/>
      <c r="J278"/>
      <c r="K278" s="20"/>
    </row>
    <row r="279" spans="1:11" x14ac:dyDescent="0.25">
      <c r="A279"/>
      <c r="B279"/>
      <c r="C279"/>
      <c r="D279"/>
      <c r="E279"/>
      <c r="F279"/>
      <c r="G279"/>
      <c r="J279"/>
      <c r="K279" s="20"/>
    </row>
    <row r="280" spans="1:11" x14ac:dyDescent="0.25">
      <c r="A280"/>
      <c r="B280"/>
      <c r="C280"/>
      <c r="D280"/>
      <c r="E280"/>
      <c r="F280"/>
      <c r="G280"/>
      <c r="J280"/>
      <c r="K280" s="20"/>
    </row>
    <row r="281" spans="1:11" x14ac:dyDescent="0.25">
      <c r="A281"/>
      <c r="B281"/>
      <c r="C281"/>
      <c r="D281"/>
      <c r="E281"/>
      <c r="F281"/>
      <c r="G281"/>
      <c r="J281"/>
      <c r="K281" s="20"/>
    </row>
    <row r="282" spans="1:11" x14ac:dyDescent="0.25">
      <c r="A282"/>
      <c r="B282"/>
      <c r="C282"/>
      <c r="D282"/>
      <c r="E282"/>
      <c r="F282"/>
      <c r="G282"/>
      <c r="J282"/>
      <c r="K282" s="20"/>
    </row>
    <row r="283" spans="1:11" x14ac:dyDescent="0.25">
      <c r="A283"/>
      <c r="B283"/>
      <c r="C283"/>
      <c r="D283"/>
      <c r="E283"/>
      <c r="F283"/>
      <c r="G283"/>
      <c r="J283"/>
      <c r="K283" s="20"/>
    </row>
    <row r="284" spans="1:11" x14ac:dyDescent="0.25">
      <c r="A284"/>
      <c r="B284"/>
      <c r="C284"/>
      <c r="D284"/>
      <c r="E284"/>
      <c r="F284"/>
      <c r="G284"/>
      <c r="J284"/>
      <c r="K284" s="20"/>
    </row>
    <row r="285" spans="1:11" x14ac:dyDescent="0.25">
      <c r="A285"/>
      <c r="B285"/>
      <c r="C285"/>
      <c r="D285"/>
      <c r="E285"/>
      <c r="F285"/>
      <c r="G285"/>
      <c r="J285"/>
      <c r="K285" s="20"/>
    </row>
    <row r="286" spans="1:11" x14ac:dyDescent="0.25">
      <c r="A286"/>
      <c r="B286"/>
      <c r="C286"/>
      <c r="D286"/>
      <c r="E286"/>
      <c r="F286"/>
      <c r="G286"/>
      <c r="J286"/>
      <c r="K286" s="20"/>
    </row>
    <row r="287" spans="1:11" x14ac:dyDescent="0.25">
      <c r="A287"/>
      <c r="B287"/>
      <c r="C287"/>
      <c r="D287"/>
      <c r="E287"/>
      <c r="F287"/>
      <c r="G287"/>
      <c r="J287"/>
      <c r="K287" s="20"/>
    </row>
    <row r="288" spans="1:11" x14ac:dyDescent="0.25">
      <c r="A288"/>
      <c r="B288"/>
      <c r="C288"/>
      <c r="D288"/>
      <c r="E288"/>
      <c r="F288"/>
      <c r="G288"/>
      <c r="J288"/>
      <c r="K288" s="20"/>
    </row>
    <row r="289" spans="1:11" x14ac:dyDescent="0.25">
      <c r="A289"/>
      <c r="B289"/>
      <c r="C289"/>
      <c r="D289"/>
      <c r="E289"/>
      <c r="F289"/>
      <c r="G289"/>
      <c r="J289"/>
      <c r="K289" s="20"/>
    </row>
    <row r="290" spans="1:11" x14ac:dyDescent="0.25">
      <c r="A290"/>
      <c r="B290"/>
      <c r="C290"/>
      <c r="D290"/>
      <c r="E290"/>
      <c r="F290"/>
      <c r="G290"/>
      <c r="J290"/>
      <c r="K290" s="20"/>
    </row>
    <row r="291" spans="1:11" x14ac:dyDescent="0.25">
      <c r="A291"/>
      <c r="B291"/>
      <c r="C291"/>
      <c r="D291"/>
      <c r="E291"/>
      <c r="F291"/>
      <c r="G291"/>
      <c r="J291"/>
      <c r="K291" s="20"/>
    </row>
    <row r="292" spans="1:11" x14ac:dyDescent="0.25">
      <c r="A292"/>
      <c r="B292"/>
      <c r="C292"/>
      <c r="D292"/>
      <c r="E292"/>
      <c r="F292"/>
      <c r="G292"/>
      <c r="J292"/>
      <c r="K292" s="20"/>
    </row>
    <row r="293" spans="1:11" x14ac:dyDescent="0.25">
      <c r="A293"/>
      <c r="B293"/>
      <c r="C293"/>
      <c r="D293"/>
      <c r="E293"/>
      <c r="F293"/>
      <c r="G293"/>
      <c r="J293"/>
      <c r="K293" s="20"/>
    </row>
    <row r="294" spans="1:11" x14ac:dyDescent="0.25">
      <c r="A294"/>
      <c r="B294"/>
      <c r="C294"/>
      <c r="D294"/>
      <c r="E294"/>
      <c r="F294"/>
      <c r="G294"/>
      <c r="J294"/>
      <c r="K294" s="20"/>
    </row>
    <row r="295" spans="1:11" x14ac:dyDescent="0.25">
      <c r="A295"/>
      <c r="B295"/>
      <c r="C295"/>
      <c r="D295"/>
      <c r="E295"/>
      <c r="F295"/>
      <c r="G295"/>
      <c r="J295"/>
      <c r="K295" s="20"/>
    </row>
    <row r="296" spans="1:11" x14ac:dyDescent="0.25">
      <c r="A296"/>
      <c r="B296"/>
      <c r="C296"/>
      <c r="D296"/>
      <c r="E296"/>
      <c r="F296"/>
      <c r="G296"/>
      <c r="J296"/>
      <c r="K296" s="20"/>
    </row>
    <row r="297" spans="1:11" x14ac:dyDescent="0.25">
      <c r="A297"/>
      <c r="B297"/>
      <c r="C297"/>
      <c r="D297"/>
      <c r="E297"/>
      <c r="F297"/>
      <c r="G297"/>
      <c r="J297"/>
      <c r="K297" s="20"/>
    </row>
    <row r="298" spans="1:11" x14ac:dyDescent="0.25">
      <c r="A298"/>
      <c r="B298"/>
      <c r="C298"/>
      <c r="D298"/>
      <c r="E298"/>
      <c r="F298"/>
      <c r="G298"/>
      <c r="J298"/>
      <c r="K298" s="20"/>
    </row>
    <row r="299" spans="1:11" x14ac:dyDescent="0.25">
      <c r="A299"/>
      <c r="B299"/>
      <c r="C299"/>
      <c r="D299"/>
      <c r="E299"/>
      <c r="F299"/>
      <c r="G299"/>
      <c r="J299"/>
      <c r="K299" s="20"/>
    </row>
    <row r="300" spans="1:11" x14ac:dyDescent="0.25">
      <c r="A300"/>
      <c r="B300"/>
      <c r="C300"/>
      <c r="D300"/>
      <c r="E300"/>
      <c r="F300"/>
      <c r="G300"/>
      <c r="J300"/>
      <c r="K300" s="20"/>
    </row>
    <row r="301" spans="1:11" x14ac:dyDescent="0.25">
      <c r="A301"/>
      <c r="B301"/>
      <c r="C301"/>
      <c r="D301"/>
      <c r="E301"/>
      <c r="F301"/>
      <c r="G301"/>
      <c r="J301"/>
      <c r="K301" s="20"/>
    </row>
    <row r="302" spans="1:11" x14ac:dyDescent="0.25">
      <c r="A302"/>
      <c r="B302"/>
      <c r="C302"/>
      <c r="D302"/>
      <c r="E302"/>
      <c r="F302"/>
      <c r="G302"/>
      <c r="J302"/>
      <c r="K302" s="20"/>
    </row>
    <row r="303" spans="1:11" x14ac:dyDescent="0.25">
      <c r="A303"/>
      <c r="B303"/>
      <c r="C303"/>
      <c r="D303"/>
      <c r="E303"/>
      <c r="F303"/>
      <c r="G303"/>
      <c r="J303"/>
      <c r="K303" s="20"/>
    </row>
    <row r="304" spans="1:11" x14ac:dyDescent="0.25">
      <c r="A304"/>
      <c r="B304"/>
      <c r="C304"/>
      <c r="D304"/>
      <c r="E304"/>
      <c r="F304"/>
      <c r="G304"/>
      <c r="J304"/>
      <c r="K304" s="20"/>
    </row>
    <row r="305" spans="1:11" x14ac:dyDescent="0.25">
      <c r="A305"/>
      <c r="B305"/>
      <c r="C305"/>
      <c r="D305"/>
      <c r="E305"/>
      <c r="F305"/>
      <c r="G305"/>
      <c r="J305"/>
      <c r="K305" s="20"/>
    </row>
    <row r="306" spans="1:11" x14ac:dyDescent="0.25">
      <c r="A306"/>
      <c r="B306"/>
      <c r="C306"/>
      <c r="D306"/>
      <c r="E306"/>
      <c r="F306"/>
      <c r="G306"/>
      <c r="J306"/>
      <c r="K306" s="20"/>
    </row>
    <row r="307" spans="1:11" x14ac:dyDescent="0.25">
      <c r="A307"/>
      <c r="B307"/>
      <c r="C307"/>
      <c r="D307"/>
      <c r="E307"/>
      <c r="F307"/>
      <c r="G307"/>
      <c r="J307"/>
      <c r="K307" s="20"/>
    </row>
    <row r="308" spans="1:11" x14ac:dyDescent="0.25">
      <c r="A308"/>
      <c r="B308"/>
      <c r="C308"/>
      <c r="D308"/>
      <c r="E308"/>
      <c r="F308"/>
      <c r="G308"/>
      <c r="J308"/>
      <c r="K308" s="20"/>
    </row>
    <row r="309" spans="1:11" x14ac:dyDescent="0.25">
      <c r="A309"/>
      <c r="B309"/>
      <c r="C309"/>
      <c r="D309"/>
      <c r="E309"/>
      <c r="F309"/>
      <c r="G309"/>
      <c r="J309"/>
      <c r="K309" s="20"/>
    </row>
    <row r="310" spans="1:11" x14ac:dyDescent="0.25">
      <c r="A310"/>
      <c r="B310"/>
      <c r="C310"/>
      <c r="D310"/>
      <c r="E310"/>
      <c r="F310"/>
      <c r="G310"/>
      <c r="J310"/>
      <c r="K310" s="20"/>
    </row>
    <row r="311" spans="1:11" x14ac:dyDescent="0.25">
      <c r="A311"/>
      <c r="B311"/>
      <c r="C311"/>
      <c r="D311"/>
      <c r="E311"/>
      <c r="F311"/>
      <c r="G311"/>
      <c r="J311"/>
      <c r="K311" s="20"/>
    </row>
    <row r="312" spans="1:11" x14ac:dyDescent="0.25">
      <c r="A312"/>
      <c r="B312"/>
      <c r="C312"/>
      <c r="D312"/>
      <c r="E312"/>
      <c r="F312"/>
      <c r="G312"/>
      <c r="J312"/>
      <c r="K312" s="20"/>
    </row>
    <row r="313" spans="1:11" x14ac:dyDescent="0.25">
      <c r="A313"/>
      <c r="B313"/>
      <c r="C313"/>
      <c r="D313"/>
      <c r="E313"/>
      <c r="F313"/>
      <c r="G313"/>
      <c r="J313"/>
      <c r="K313" s="20"/>
    </row>
    <row r="314" spans="1:11" x14ac:dyDescent="0.25">
      <c r="A314"/>
      <c r="B314"/>
      <c r="C314"/>
      <c r="D314"/>
      <c r="E314"/>
      <c r="F314"/>
      <c r="G314"/>
      <c r="J314"/>
      <c r="K314" s="20"/>
    </row>
    <row r="315" spans="1:11" x14ac:dyDescent="0.25">
      <c r="A315"/>
      <c r="B315"/>
      <c r="C315"/>
      <c r="D315"/>
      <c r="E315"/>
      <c r="F315"/>
      <c r="G315"/>
      <c r="J315"/>
      <c r="K315" s="20"/>
    </row>
    <row r="316" spans="1:11" x14ac:dyDescent="0.25">
      <c r="A316"/>
      <c r="B316"/>
      <c r="C316"/>
      <c r="D316"/>
      <c r="E316"/>
      <c r="F316"/>
      <c r="G316"/>
      <c r="J316"/>
      <c r="K316" s="20"/>
    </row>
    <row r="317" spans="1:11" x14ac:dyDescent="0.25">
      <c r="A317"/>
      <c r="B317"/>
      <c r="C317"/>
      <c r="D317"/>
      <c r="E317"/>
      <c r="F317"/>
      <c r="G317"/>
      <c r="J317"/>
      <c r="K317" s="20"/>
    </row>
    <row r="318" spans="1:11" x14ac:dyDescent="0.25">
      <c r="A318"/>
      <c r="B318"/>
      <c r="C318"/>
      <c r="D318"/>
      <c r="E318"/>
      <c r="F318"/>
      <c r="G318"/>
      <c r="J318"/>
      <c r="K318" s="20"/>
    </row>
    <row r="319" spans="1:11" x14ac:dyDescent="0.25">
      <c r="A319"/>
      <c r="B319"/>
      <c r="C319"/>
      <c r="D319"/>
      <c r="E319"/>
      <c r="F319"/>
      <c r="G319"/>
      <c r="J319"/>
      <c r="K319" s="20"/>
    </row>
    <row r="320" spans="1:11" x14ac:dyDescent="0.25">
      <c r="A320"/>
      <c r="B320"/>
      <c r="C320"/>
      <c r="D320"/>
      <c r="E320"/>
      <c r="F320"/>
      <c r="G320"/>
      <c r="J320"/>
      <c r="K320" s="20"/>
    </row>
    <row r="321" spans="1:11" x14ac:dyDescent="0.25">
      <c r="A321"/>
      <c r="B321"/>
      <c r="C321"/>
      <c r="D321"/>
      <c r="E321"/>
      <c r="F321"/>
      <c r="G321"/>
      <c r="J321"/>
      <c r="K321" s="20"/>
    </row>
    <row r="322" spans="1:11" x14ac:dyDescent="0.25">
      <c r="A322"/>
      <c r="B322"/>
      <c r="C322"/>
      <c r="D322"/>
      <c r="E322"/>
      <c r="F322"/>
      <c r="G322"/>
      <c r="J322"/>
      <c r="K322" s="20"/>
    </row>
    <row r="323" spans="1:11" x14ac:dyDescent="0.25">
      <c r="A323"/>
      <c r="B323"/>
      <c r="C323"/>
      <c r="D323"/>
      <c r="E323"/>
      <c r="F323"/>
      <c r="G323"/>
      <c r="J323"/>
      <c r="K323" s="20"/>
    </row>
    <row r="324" spans="1:11" x14ac:dyDescent="0.25">
      <c r="A324"/>
      <c r="B324"/>
      <c r="C324"/>
      <c r="D324"/>
      <c r="E324"/>
      <c r="F324"/>
      <c r="G324"/>
      <c r="J324"/>
      <c r="K324" s="20"/>
    </row>
    <row r="325" spans="1:11" x14ac:dyDescent="0.25">
      <c r="A325"/>
      <c r="B325"/>
      <c r="C325"/>
      <c r="D325"/>
      <c r="E325"/>
      <c r="F325"/>
      <c r="G325"/>
      <c r="J325"/>
      <c r="K325" s="20"/>
    </row>
    <row r="326" spans="1:11" x14ac:dyDescent="0.25">
      <c r="A326"/>
      <c r="B326"/>
      <c r="C326"/>
      <c r="D326"/>
      <c r="E326"/>
      <c r="F326"/>
      <c r="G326"/>
      <c r="J326"/>
      <c r="K326" s="20"/>
    </row>
    <row r="327" spans="1:11" x14ac:dyDescent="0.25">
      <c r="A327"/>
      <c r="B327"/>
      <c r="C327"/>
      <c r="D327"/>
      <c r="E327"/>
      <c r="F327"/>
      <c r="G327"/>
      <c r="J327"/>
      <c r="K327" s="20"/>
    </row>
    <row r="328" spans="1:11" x14ac:dyDescent="0.25">
      <c r="A328"/>
      <c r="B328"/>
      <c r="C328"/>
      <c r="D328"/>
      <c r="E328"/>
      <c r="F328"/>
      <c r="G328"/>
      <c r="J328"/>
      <c r="K328" s="20"/>
    </row>
    <row r="329" spans="1:11" x14ac:dyDescent="0.25">
      <c r="A329"/>
      <c r="B329"/>
      <c r="C329"/>
      <c r="D329"/>
      <c r="E329"/>
      <c r="F329"/>
      <c r="G329"/>
      <c r="J329"/>
      <c r="K329" s="20"/>
    </row>
    <row r="330" spans="1:11" x14ac:dyDescent="0.25">
      <c r="A330"/>
      <c r="B330"/>
      <c r="C330"/>
      <c r="D330"/>
      <c r="E330"/>
      <c r="F330"/>
      <c r="G330"/>
      <c r="J330"/>
      <c r="K330" s="20"/>
    </row>
    <row r="331" spans="1:11" x14ac:dyDescent="0.25">
      <c r="A331"/>
      <c r="B331"/>
      <c r="C331"/>
      <c r="D331"/>
      <c r="E331"/>
      <c r="F331"/>
      <c r="G331"/>
      <c r="J331"/>
      <c r="K331" s="20"/>
    </row>
    <row r="332" spans="1:11" x14ac:dyDescent="0.25">
      <c r="A332"/>
      <c r="B332"/>
      <c r="C332"/>
      <c r="D332"/>
      <c r="E332"/>
      <c r="F332"/>
      <c r="G332"/>
      <c r="J332"/>
      <c r="K332" s="20"/>
    </row>
    <row r="333" spans="1:11" x14ac:dyDescent="0.25">
      <c r="A333"/>
      <c r="B333"/>
      <c r="C333"/>
      <c r="D333"/>
      <c r="E333"/>
      <c r="F333"/>
      <c r="G333"/>
      <c r="J333"/>
      <c r="K333" s="20"/>
    </row>
    <row r="334" spans="1:11" x14ac:dyDescent="0.25">
      <c r="A334"/>
      <c r="B334"/>
      <c r="C334"/>
      <c r="D334"/>
      <c r="E334"/>
      <c r="F334"/>
      <c r="G334"/>
      <c r="J334"/>
      <c r="K334" s="20"/>
    </row>
    <row r="335" spans="1:11" x14ac:dyDescent="0.25">
      <c r="A335"/>
      <c r="B335"/>
      <c r="C335"/>
      <c r="D335"/>
      <c r="E335"/>
      <c r="F335"/>
      <c r="G335"/>
      <c r="J335"/>
      <c r="K335" s="20"/>
    </row>
    <row r="336" spans="1:11" x14ac:dyDescent="0.25">
      <c r="A336"/>
      <c r="B336"/>
      <c r="C336"/>
      <c r="D336"/>
      <c r="E336"/>
      <c r="F336"/>
      <c r="G336"/>
      <c r="J336"/>
      <c r="K336" s="20"/>
    </row>
    <row r="337" spans="1:11" x14ac:dyDescent="0.25">
      <c r="A337"/>
      <c r="B337"/>
      <c r="C337"/>
      <c r="D337"/>
      <c r="E337"/>
      <c r="F337"/>
      <c r="G337"/>
      <c r="J337"/>
      <c r="K337" s="20"/>
    </row>
    <row r="338" spans="1:11" x14ac:dyDescent="0.25">
      <c r="A338"/>
      <c r="B338"/>
      <c r="C338"/>
      <c r="D338"/>
      <c r="E338"/>
      <c r="F338"/>
      <c r="G338"/>
      <c r="J338"/>
      <c r="K338" s="20"/>
    </row>
    <row r="339" spans="1:11" x14ac:dyDescent="0.25">
      <c r="A339"/>
      <c r="B339"/>
      <c r="C339"/>
      <c r="D339"/>
      <c r="E339"/>
      <c r="F339"/>
      <c r="G339"/>
      <c r="J339"/>
      <c r="K339" s="20"/>
    </row>
    <row r="340" spans="1:11" x14ac:dyDescent="0.25">
      <c r="A340"/>
      <c r="B340"/>
      <c r="C340"/>
      <c r="D340"/>
      <c r="E340"/>
      <c r="F340"/>
      <c r="G340"/>
      <c r="J340"/>
      <c r="K340" s="20"/>
    </row>
    <row r="341" spans="1:11" x14ac:dyDescent="0.25">
      <c r="A341"/>
      <c r="B341"/>
      <c r="C341"/>
      <c r="D341"/>
      <c r="E341"/>
      <c r="F341"/>
      <c r="G341"/>
      <c r="J341"/>
      <c r="K341" s="20"/>
    </row>
    <row r="342" spans="1:11" x14ac:dyDescent="0.25">
      <c r="A342"/>
      <c r="B342"/>
      <c r="C342"/>
      <c r="D342"/>
      <c r="E342"/>
      <c r="F342"/>
      <c r="G342"/>
      <c r="J342"/>
      <c r="K342" s="20"/>
    </row>
    <row r="343" spans="1:11" x14ac:dyDescent="0.25">
      <c r="A343"/>
      <c r="B343"/>
      <c r="C343"/>
      <c r="D343"/>
      <c r="E343"/>
      <c r="F343"/>
      <c r="G343"/>
      <c r="J343"/>
      <c r="K343" s="20"/>
    </row>
    <row r="344" spans="1:11" x14ac:dyDescent="0.25">
      <c r="A344"/>
      <c r="B344"/>
      <c r="C344"/>
      <c r="D344"/>
      <c r="E344"/>
      <c r="F344"/>
      <c r="G344"/>
      <c r="J344"/>
      <c r="K344" s="20"/>
    </row>
    <row r="345" spans="1:11" x14ac:dyDescent="0.25">
      <c r="A345"/>
      <c r="B345"/>
      <c r="C345"/>
      <c r="D345"/>
      <c r="E345"/>
      <c r="F345"/>
      <c r="G345"/>
      <c r="J345"/>
      <c r="K345" s="20"/>
    </row>
    <row r="346" spans="1:11" x14ac:dyDescent="0.25">
      <c r="A346"/>
      <c r="B346"/>
      <c r="C346"/>
      <c r="D346"/>
      <c r="E346"/>
      <c r="F346"/>
      <c r="G346"/>
      <c r="J346"/>
      <c r="K346" s="20"/>
    </row>
    <row r="347" spans="1:11" x14ac:dyDescent="0.25">
      <c r="A347"/>
      <c r="B347"/>
      <c r="C347"/>
      <c r="D347"/>
      <c r="E347"/>
      <c r="F347"/>
      <c r="G347"/>
      <c r="J347"/>
      <c r="K347" s="20"/>
    </row>
    <row r="348" spans="1:11" x14ac:dyDescent="0.25">
      <c r="A348"/>
      <c r="B348"/>
      <c r="C348"/>
      <c r="D348"/>
      <c r="E348"/>
      <c r="F348"/>
      <c r="G348"/>
      <c r="J348"/>
      <c r="K348" s="20"/>
    </row>
    <row r="349" spans="1:11" x14ac:dyDescent="0.25">
      <c r="A349"/>
      <c r="B349"/>
      <c r="C349"/>
      <c r="D349"/>
      <c r="E349"/>
      <c r="F349"/>
      <c r="G349"/>
      <c r="J349"/>
      <c r="K349" s="20"/>
    </row>
    <row r="350" spans="1:11" x14ac:dyDescent="0.25">
      <c r="A350"/>
      <c r="B350"/>
      <c r="C350"/>
      <c r="D350"/>
      <c r="E350"/>
      <c r="F350"/>
      <c r="G350"/>
      <c r="J350"/>
      <c r="K350" s="20"/>
    </row>
    <row r="351" spans="1:11" x14ac:dyDescent="0.25">
      <c r="A351"/>
      <c r="B351"/>
      <c r="C351"/>
      <c r="D351"/>
      <c r="E351"/>
      <c r="F351"/>
      <c r="G351"/>
      <c r="J351"/>
      <c r="K351" s="20"/>
    </row>
    <row r="352" spans="1:11" x14ac:dyDescent="0.25">
      <c r="A352"/>
      <c r="B352"/>
      <c r="C352"/>
      <c r="D352"/>
      <c r="E352"/>
      <c r="F352"/>
      <c r="G352"/>
      <c r="J352"/>
      <c r="K352" s="20"/>
    </row>
    <row r="353" spans="1:11" x14ac:dyDescent="0.25">
      <c r="A353"/>
      <c r="B353"/>
      <c r="C353"/>
      <c r="D353"/>
      <c r="E353"/>
      <c r="F353"/>
      <c r="G353"/>
      <c r="J353"/>
      <c r="K353" s="20"/>
    </row>
    <row r="354" spans="1:11" x14ac:dyDescent="0.25">
      <c r="A354"/>
      <c r="B354"/>
      <c r="C354"/>
      <c r="D354"/>
      <c r="E354"/>
      <c r="F354"/>
      <c r="G354"/>
      <c r="J354"/>
      <c r="K354" s="20"/>
    </row>
    <row r="355" spans="1:11" x14ac:dyDescent="0.25">
      <c r="A355"/>
      <c r="B355"/>
      <c r="C355"/>
      <c r="D355"/>
      <c r="E355"/>
      <c r="F355"/>
      <c r="G355"/>
      <c r="J355"/>
      <c r="K355" s="20"/>
    </row>
    <row r="356" spans="1:11" x14ac:dyDescent="0.25">
      <c r="A356"/>
      <c r="B356"/>
      <c r="C356"/>
      <c r="D356"/>
      <c r="E356"/>
      <c r="F356"/>
      <c r="G356"/>
      <c r="J356"/>
      <c r="K356" s="20"/>
    </row>
    <row r="357" spans="1:11" x14ac:dyDescent="0.25">
      <c r="A357"/>
      <c r="B357"/>
      <c r="C357"/>
      <c r="D357"/>
      <c r="E357"/>
      <c r="F357"/>
      <c r="G357"/>
      <c r="J357"/>
      <c r="K357" s="20"/>
    </row>
    <row r="358" spans="1:11" x14ac:dyDescent="0.25">
      <c r="A358"/>
      <c r="B358"/>
      <c r="C358"/>
      <c r="D358"/>
      <c r="E358"/>
      <c r="F358"/>
      <c r="G358"/>
      <c r="J358"/>
      <c r="K358" s="20"/>
    </row>
    <row r="359" spans="1:11" x14ac:dyDescent="0.25">
      <c r="A359"/>
      <c r="B359"/>
      <c r="C359"/>
      <c r="D359"/>
      <c r="E359"/>
      <c r="F359"/>
      <c r="G359"/>
      <c r="J359"/>
      <c r="K359" s="20"/>
    </row>
    <row r="360" spans="1:11" x14ac:dyDescent="0.25">
      <c r="A360"/>
      <c r="B360"/>
      <c r="C360"/>
      <c r="D360"/>
      <c r="E360"/>
      <c r="F360"/>
      <c r="G360"/>
      <c r="J360"/>
      <c r="K360" s="20"/>
    </row>
    <row r="361" spans="1:11" x14ac:dyDescent="0.25">
      <c r="A361"/>
      <c r="B361"/>
      <c r="C361"/>
      <c r="D361"/>
      <c r="E361"/>
      <c r="F361"/>
      <c r="G361"/>
      <c r="J361"/>
      <c r="K361" s="20"/>
    </row>
    <row r="362" spans="1:11" x14ac:dyDescent="0.25">
      <c r="A362"/>
      <c r="B362"/>
      <c r="C362"/>
      <c r="D362"/>
      <c r="E362"/>
      <c r="F362"/>
      <c r="G362"/>
      <c r="J362"/>
      <c r="K362" s="20"/>
    </row>
    <row r="363" spans="1:11" x14ac:dyDescent="0.25">
      <c r="A363"/>
      <c r="B363"/>
      <c r="C363"/>
      <c r="D363"/>
      <c r="E363"/>
      <c r="F363"/>
      <c r="G363"/>
      <c r="J363"/>
      <c r="K363" s="20"/>
    </row>
    <row r="364" spans="1:11" x14ac:dyDescent="0.25">
      <c r="A364"/>
      <c r="B364"/>
      <c r="C364"/>
      <c r="D364"/>
      <c r="E364"/>
      <c r="F364"/>
      <c r="G364"/>
      <c r="J364"/>
      <c r="K364" s="20"/>
    </row>
    <row r="365" spans="1:11" x14ac:dyDescent="0.25">
      <c r="A365"/>
      <c r="B365"/>
      <c r="C365"/>
      <c r="D365"/>
      <c r="E365"/>
      <c r="F365"/>
      <c r="G365"/>
      <c r="J365"/>
      <c r="K365" s="20"/>
    </row>
    <row r="366" spans="1:11" x14ac:dyDescent="0.25">
      <c r="A366"/>
      <c r="B366"/>
      <c r="C366"/>
      <c r="D366"/>
      <c r="E366"/>
      <c r="F366"/>
      <c r="G366"/>
      <c r="J366"/>
      <c r="K366" s="20"/>
    </row>
    <row r="367" spans="1:11" x14ac:dyDescent="0.25">
      <c r="A367"/>
      <c r="B367"/>
      <c r="C367"/>
      <c r="D367"/>
      <c r="E367"/>
      <c r="F367"/>
      <c r="G367"/>
      <c r="J367"/>
      <c r="K367" s="20"/>
    </row>
    <row r="368" spans="1:11" x14ac:dyDescent="0.25">
      <c r="A368"/>
      <c r="B368"/>
      <c r="C368"/>
      <c r="D368"/>
      <c r="E368"/>
      <c r="F368"/>
      <c r="G368"/>
      <c r="J368"/>
      <c r="K368" s="20"/>
    </row>
    <row r="369" spans="1:11" x14ac:dyDescent="0.25">
      <c r="A369"/>
      <c r="B369"/>
      <c r="C369"/>
      <c r="D369"/>
      <c r="E369"/>
      <c r="F369"/>
      <c r="G369"/>
      <c r="J369"/>
      <c r="K369" s="20"/>
    </row>
    <row r="370" spans="1:11" x14ac:dyDescent="0.25">
      <c r="A370"/>
      <c r="B370"/>
      <c r="C370"/>
      <c r="D370"/>
      <c r="E370"/>
      <c r="F370"/>
      <c r="G370"/>
      <c r="J370"/>
      <c r="K370" s="20"/>
    </row>
    <row r="371" spans="1:11" x14ac:dyDescent="0.25">
      <c r="A371"/>
      <c r="B371"/>
      <c r="C371"/>
      <c r="D371"/>
      <c r="E371"/>
      <c r="F371"/>
      <c r="G371"/>
      <c r="J371"/>
      <c r="K371" s="20"/>
    </row>
    <row r="372" spans="1:11" x14ac:dyDescent="0.25">
      <c r="A372"/>
      <c r="B372"/>
      <c r="C372"/>
      <c r="D372"/>
      <c r="E372"/>
      <c r="F372"/>
      <c r="G372"/>
      <c r="J372"/>
      <c r="K372" s="20"/>
    </row>
    <row r="373" spans="1:11" x14ac:dyDescent="0.25">
      <c r="A373"/>
      <c r="B373"/>
      <c r="C373"/>
      <c r="D373"/>
      <c r="E373"/>
      <c r="F373"/>
      <c r="G373"/>
      <c r="J373"/>
      <c r="K373" s="20"/>
    </row>
    <row r="374" spans="1:11" x14ac:dyDescent="0.25">
      <c r="A374"/>
      <c r="B374"/>
      <c r="C374"/>
      <c r="D374"/>
      <c r="E374"/>
      <c r="F374"/>
      <c r="G374"/>
      <c r="J374"/>
      <c r="K374" s="20"/>
    </row>
    <row r="375" spans="1:11" x14ac:dyDescent="0.25">
      <c r="A375"/>
      <c r="B375"/>
      <c r="C375"/>
      <c r="D375"/>
      <c r="E375"/>
      <c r="F375"/>
      <c r="G375"/>
      <c r="J375"/>
      <c r="K375" s="20"/>
    </row>
    <row r="376" spans="1:11" x14ac:dyDescent="0.25">
      <c r="A376"/>
      <c r="B376"/>
      <c r="C376"/>
      <c r="D376"/>
      <c r="E376"/>
      <c r="F376"/>
      <c r="G376"/>
      <c r="J376"/>
      <c r="K376" s="20"/>
    </row>
    <row r="377" spans="1:11" x14ac:dyDescent="0.25">
      <c r="A377"/>
      <c r="B377"/>
      <c r="C377"/>
      <c r="D377"/>
      <c r="E377"/>
      <c r="F377"/>
      <c r="G377"/>
      <c r="J377"/>
      <c r="K377" s="20"/>
    </row>
    <row r="378" spans="1:11" x14ac:dyDescent="0.25">
      <c r="A378"/>
      <c r="B378"/>
      <c r="C378"/>
      <c r="D378"/>
      <c r="E378"/>
      <c r="F378"/>
      <c r="G378"/>
      <c r="J378"/>
      <c r="K378" s="20"/>
    </row>
    <row r="379" spans="1:11" x14ac:dyDescent="0.25">
      <c r="A379"/>
      <c r="B379"/>
      <c r="C379"/>
      <c r="D379"/>
      <c r="E379"/>
      <c r="F379"/>
      <c r="G379"/>
      <c r="J379"/>
      <c r="K379" s="20"/>
    </row>
    <row r="380" spans="1:11" x14ac:dyDescent="0.25">
      <c r="A380"/>
      <c r="B380"/>
      <c r="C380"/>
      <c r="D380"/>
      <c r="E380"/>
      <c r="F380"/>
      <c r="G380"/>
      <c r="J380"/>
      <c r="K380" s="20"/>
    </row>
    <row r="381" spans="1:11" x14ac:dyDescent="0.25">
      <c r="A381"/>
      <c r="B381"/>
      <c r="C381"/>
      <c r="D381"/>
      <c r="E381"/>
      <c r="F381"/>
      <c r="G381"/>
      <c r="J381"/>
      <c r="K381" s="20"/>
    </row>
    <row r="382" spans="1:11" x14ac:dyDescent="0.25">
      <c r="A382"/>
      <c r="B382"/>
      <c r="C382"/>
      <c r="D382"/>
      <c r="E382"/>
      <c r="F382"/>
      <c r="G382"/>
      <c r="J382"/>
      <c r="K382" s="20"/>
    </row>
    <row r="383" spans="1:11" x14ac:dyDescent="0.25">
      <c r="A383"/>
      <c r="B383"/>
      <c r="C383"/>
      <c r="D383"/>
      <c r="E383"/>
      <c r="F383"/>
      <c r="G383"/>
      <c r="J383"/>
      <c r="K383" s="20"/>
    </row>
    <row r="384" spans="1:11" x14ac:dyDescent="0.25">
      <c r="A384"/>
      <c r="B384"/>
      <c r="C384"/>
      <c r="D384"/>
      <c r="E384"/>
      <c r="F384"/>
      <c r="G384"/>
      <c r="J384"/>
      <c r="K384" s="20"/>
    </row>
    <row r="385" spans="1:11" x14ac:dyDescent="0.25">
      <c r="A385"/>
      <c r="B385"/>
      <c r="C385"/>
      <c r="D385"/>
      <c r="E385"/>
      <c r="F385"/>
      <c r="G385"/>
      <c r="J385"/>
      <c r="K385" s="20"/>
    </row>
    <row r="386" spans="1:11" x14ac:dyDescent="0.25">
      <c r="A386"/>
      <c r="B386"/>
      <c r="C386"/>
      <c r="D386"/>
      <c r="E386"/>
      <c r="F386"/>
      <c r="G386"/>
      <c r="J386"/>
      <c r="K386" s="20"/>
    </row>
    <row r="387" spans="1:11" x14ac:dyDescent="0.25">
      <c r="A387"/>
      <c r="B387"/>
      <c r="C387"/>
      <c r="D387"/>
      <c r="E387"/>
      <c r="F387"/>
      <c r="G387"/>
      <c r="J387"/>
      <c r="K387" s="20"/>
    </row>
    <row r="388" spans="1:11" x14ac:dyDescent="0.25">
      <c r="A388"/>
      <c r="B388"/>
      <c r="C388"/>
      <c r="D388"/>
      <c r="E388"/>
      <c r="F388"/>
      <c r="G388"/>
      <c r="J388"/>
      <c r="K388" s="20"/>
    </row>
    <row r="389" spans="1:11" x14ac:dyDescent="0.25">
      <c r="A389"/>
      <c r="B389"/>
      <c r="C389"/>
      <c r="D389"/>
      <c r="E389"/>
      <c r="F389"/>
      <c r="G389"/>
      <c r="J389"/>
      <c r="K389" s="20"/>
    </row>
    <row r="390" spans="1:11" x14ac:dyDescent="0.25">
      <c r="A390"/>
      <c r="B390"/>
      <c r="C390"/>
      <c r="D390"/>
      <c r="E390"/>
      <c r="F390"/>
      <c r="G390"/>
      <c r="J390"/>
      <c r="K390" s="20"/>
    </row>
    <row r="391" spans="1:11" x14ac:dyDescent="0.25">
      <c r="A391"/>
      <c r="B391"/>
      <c r="C391"/>
      <c r="D391"/>
      <c r="E391"/>
      <c r="F391"/>
      <c r="G391"/>
      <c r="J391"/>
      <c r="K391" s="20"/>
    </row>
    <row r="392" spans="1:11" x14ac:dyDescent="0.25">
      <c r="A392"/>
      <c r="B392"/>
      <c r="C392"/>
      <c r="D392"/>
      <c r="E392"/>
      <c r="F392"/>
      <c r="G392"/>
      <c r="J392"/>
      <c r="K392" s="20"/>
    </row>
    <row r="393" spans="1:11" x14ac:dyDescent="0.25">
      <c r="A393"/>
      <c r="B393"/>
      <c r="C393"/>
      <c r="D393"/>
      <c r="E393"/>
      <c r="F393"/>
      <c r="G393"/>
      <c r="J393"/>
      <c r="K393" s="20"/>
    </row>
    <row r="394" spans="1:11" x14ac:dyDescent="0.25">
      <c r="A394"/>
      <c r="B394"/>
      <c r="C394"/>
      <c r="D394"/>
      <c r="E394"/>
      <c r="F394"/>
      <c r="G394"/>
      <c r="J394"/>
      <c r="K394" s="20"/>
    </row>
    <row r="395" spans="1:11" x14ac:dyDescent="0.25">
      <c r="A395"/>
      <c r="B395"/>
      <c r="C395"/>
      <c r="D395"/>
      <c r="E395"/>
      <c r="F395"/>
      <c r="G395"/>
      <c r="J395"/>
      <c r="K395" s="20"/>
    </row>
    <row r="396" spans="1:11" x14ac:dyDescent="0.25">
      <c r="A396"/>
      <c r="B396"/>
      <c r="C396"/>
      <c r="D396"/>
      <c r="E396"/>
      <c r="F396"/>
      <c r="G396"/>
      <c r="J396"/>
      <c r="K396" s="20"/>
    </row>
    <row r="397" spans="1:11" x14ac:dyDescent="0.25">
      <c r="A397"/>
      <c r="B397"/>
      <c r="C397"/>
      <c r="D397"/>
      <c r="E397"/>
      <c r="F397"/>
      <c r="G397"/>
      <c r="J397"/>
      <c r="K397" s="20"/>
    </row>
    <row r="398" spans="1:11" x14ac:dyDescent="0.25">
      <c r="A398"/>
      <c r="B398"/>
      <c r="C398"/>
      <c r="D398"/>
      <c r="E398"/>
      <c r="F398"/>
      <c r="G398"/>
      <c r="J398"/>
      <c r="K398" s="20"/>
    </row>
    <row r="399" spans="1:11" x14ac:dyDescent="0.25">
      <c r="A399"/>
      <c r="B399"/>
      <c r="C399"/>
      <c r="D399"/>
      <c r="E399"/>
      <c r="F399"/>
      <c r="G399"/>
      <c r="J399"/>
      <c r="K399" s="20"/>
    </row>
    <row r="400" spans="1:11" x14ac:dyDescent="0.25">
      <c r="A400"/>
      <c r="B400"/>
      <c r="C400"/>
      <c r="D400"/>
      <c r="E400"/>
      <c r="F400"/>
      <c r="G400"/>
      <c r="J400"/>
      <c r="K400" s="20"/>
    </row>
    <row r="401" spans="1:11" x14ac:dyDescent="0.25">
      <c r="A401"/>
      <c r="B401"/>
      <c r="C401"/>
      <c r="D401"/>
      <c r="E401"/>
      <c r="F401"/>
      <c r="G401"/>
      <c r="J401"/>
      <c r="K401" s="20"/>
    </row>
    <row r="402" spans="1:11" x14ac:dyDescent="0.25">
      <c r="A402"/>
      <c r="B402"/>
      <c r="C402"/>
      <c r="D402"/>
      <c r="E402"/>
      <c r="F402"/>
      <c r="G402"/>
      <c r="J402"/>
      <c r="K402" s="20"/>
    </row>
    <row r="403" spans="1:11" x14ac:dyDescent="0.25">
      <c r="A403"/>
      <c r="B403"/>
      <c r="C403"/>
      <c r="D403"/>
      <c r="E403"/>
      <c r="F403"/>
      <c r="G403"/>
      <c r="J403"/>
      <c r="K403" s="20"/>
    </row>
    <row r="404" spans="1:11" x14ac:dyDescent="0.25">
      <c r="A404"/>
      <c r="B404"/>
      <c r="C404"/>
      <c r="D404"/>
      <c r="E404"/>
      <c r="F404"/>
      <c r="G404"/>
      <c r="J404"/>
      <c r="K404" s="20"/>
    </row>
    <row r="405" spans="1:11" x14ac:dyDescent="0.25">
      <c r="A405"/>
      <c r="B405"/>
      <c r="C405"/>
      <c r="D405"/>
      <c r="E405"/>
      <c r="F405"/>
      <c r="G405"/>
      <c r="J405"/>
      <c r="K405" s="20"/>
    </row>
    <row r="406" spans="1:11" x14ac:dyDescent="0.25">
      <c r="A406"/>
      <c r="B406"/>
      <c r="C406"/>
      <c r="D406"/>
      <c r="E406"/>
      <c r="F406"/>
      <c r="G406"/>
      <c r="J406"/>
      <c r="K406" s="20"/>
    </row>
    <row r="407" spans="1:11" x14ac:dyDescent="0.25">
      <c r="A407"/>
      <c r="B407"/>
      <c r="C407"/>
      <c r="D407"/>
      <c r="E407"/>
      <c r="F407"/>
      <c r="G407"/>
      <c r="J407"/>
      <c r="K407" s="20"/>
    </row>
    <row r="408" spans="1:11" x14ac:dyDescent="0.25">
      <c r="A408"/>
      <c r="B408"/>
      <c r="C408"/>
      <c r="D408"/>
      <c r="E408"/>
      <c r="F408"/>
      <c r="G408"/>
      <c r="J408"/>
      <c r="K408" s="20"/>
    </row>
    <row r="409" spans="1:11" x14ac:dyDescent="0.25">
      <c r="A409"/>
      <c r="B409"/>
      <c r="C409"/>
      <c r="D409"/>
      <c r="E409"/>
      <c r="F409"/>
      <c r="G409"/>
      <c r="J409"/>
      <c r="K409" s="20"/>
    </row>
    <row r="410" spans="1:11" x14ac:dyDescent="0.25">
      <c r="A410"/>
      <c r="B410"/>
      <c r="C410"/>
      <c r="D410"/>
      <c r="E410"/>
      <c r="F410"/>
      <c r="G410"/>
      <c r="J410"/>
      <c r="K410" s="20"/>
    </row>
    <row r="411" spans="1:11" x14ac:dyDescent="0.25">
      <c r="A411"/>
      <c r="B411"/>
      <c r="C411"/>
      <c r="D411"/>
      <c r="E411"/>
      <c r="F411"/>
      <c r="G411"/>
      <c r="J411"/>
      <c r="K411" s="20"/>
    </row>
    <row r="412" spans="1:11" x14ac:dyDescent="0.25">
      <c r="A412"/>
      <c r="B412"/>
      <c r="C412"/>
      <c r="D412"/>
      <c r="E412"/>
      <c r="F412"/>
      <c r="G412"/>
      <c r="J412"/>
      <c r="K412" s="20"/>
    </row>
    <row r="413" spans="1:11" x14ac:dyDescent="0.25">
      <c r="A413"/>
      <c r="B413"/>
      <c r="C413"/>
      <c r="D413"/>
      <c r="E413"/>
      <c r="F413"/>
      <c r="G413"/>
      <c r="J413"/>
      <c r="K413" s="20"/>
    </row>
    <row r="414" spans="1:11" x14ac:dyDescent="0.25">
      <c r="A414"/>
      <c r="B414"/>
      <c r="C414"/>
      <c r="D414"/>
      <c r="E414"/>
      <c r="F414"/>
      <c r="G414"/>
      <c r="J414"/>
      <c r="K414" s="20"/>
    </row>
    <row r="415" spans="1:11" x14ac:dyDescent="0.25">
      <c r="A415"/>
      <c r="B415"/>
      <c r="C415"/>
      <c r="D415"/>
      <c r="E415"/>
      <c r="F415"/>
      <c r="G415"/>
      <c r="J415"/>
      <c r="K415" s="20"/>
    </row>
    <row r="416" spans="1:11" x14ac:dyDescent="0.25">
      <c r="A416"/>
      <c r="B416"/>
      <c r="C416"/>
      <c r="D416"/>
      <c r="E416"/>
      <c r="F416"/>
      <c r="G416"/>
      <c r="J416"/>
      <c r="K416" s="20"/>
    </row>
    <row r="417" spans="1:11" x14ac:dyDescent="0.25">
      <c r="A417"/>
      <c r="B417"/>
      <c r="C417"/>
      <c r="D417"/>
      <c r="E417"/>
      <c r="F417"/>
      <c r="G417"/>
      <c r="J417"/>
      <c r="K417" s="20"/>
    </row>
    <row r="418" spans="1:11" x14ac:dyDescent="0.25">
      <c r="A418"/>
      <c r="B418"/>
      <c r="C418"/>
      <c r="D418"/>
      <c r="E418"/>
      <c r="F418"/>
      <c r="G418"/>
      <c r="J418"/>
      <c r="K418" s="20"/>
    </row>
    <row r="419" spans="1:11" x14ac:dyDescent="0.25">
      <c r="A419"/>
      <c r="B419"/>
      <c r="C419"/>
      <c r="D419"/>
      <c r="E419"/>
      <c r="F419"/>
      <c r="G419"/>
      <c r="J419"/>
      <c r="K419" s="20"/>
    </row>
    <row r="420" spans="1:11" x14ac:dyDescent="0.25">
      <c r="A420"/>
      <c r="B420"/>
      <c r="C420"/>
      <c r="D420"/>
      <c r="E420"/>
      <c r="F420"/>
      <c r="G420"/>
      <c r="J420"/>
      <c r="K420" s="20"/>
    </row>
    <row r="421" spans="1:11" x14ac:dyDescent="0.25">
      <c r="A421"/>
      <c r="B421"/>
      <c r="C421"/>
      <c r="D421"/>
      <c r="E421"/>
      <c r="F421"/>
      <c r="G421"/>
      <c r="J421"/>
      <c r="K421" s="20"/>
    </row>
    <row r="422" spans="1:11" x14ac:dyDescent="0.25">
      <c r="A422"/>
      <c r="B422"/>
      <c r="C422"/>
      <c r="D422"/>
      <c r="E422"/>
      <c r="F422"/>
      <c r="G422"/>
      <c r="J422"/>
      <c r="K422" s="20"/>
    </row>
    <row r="423" spans="1:11" x14ac:dyDescent="0.25">
      <c r="A423"/>
      <c r="B423"/>
      <c r="C423"/>
      <c r="D423"/>
      <c r="E423"/>
      <c r="F423"/>
      <c r="G423"/>
      <c r="J423"/>
      <c r="K423" s="20"/>
    </row>
    <row r="424" spans="1:11" x14ac:dyDescent="0.25">
      <c r="A424"/>
      <c r="B424"/>
      <c r="C424"/>
      <c r="D424"/>
      <c r="E424"/>
      <c r="F424"/>
      <c r="G424"/>
      <c r="J424"/>
      <c r="K424" s="20"/>
    </row>
    <row r="425" spans="1:11" x14ac:dyDescent="0.25">
      <c r="A425"/>
      <c r="B425"/>
      <c r="C425"/>
      <c r="D425"/>
      <c r="E425"/>
      <c r="F425"/>
      <c r="G425"/>
      <c r="J425"/>
      <c r="K425" s="20"/>
    </row>
    <row r="426" spans="1:11" x14ac:dyDescent="0.25">
      <c r="A426"/>
      <c r="B426"/>
      <c r="C426"/>
      <c r="D426"/>
      <c r="E426"/>
      <c r="F426"/>
      <c r="G426"/>
      <c r="J426"/>
      <c r="K426" s="20"/>
    </row>
    <row r="427" spans="1:11" x14ac:dyDescent="0.25">
      <c r="A427"/>
      <c r="B427"/>
      <c r="C427"/>
      <c r="D427"/>
      <c r="E427"/>
      <c r="F427"/>
      <c r="G427"/>
      <c r="J427"/>
      <c r="K427" s="20"/>
    </row>
    <row r="428" spans="1:11" x14ac:dyDescent="0.25">
      <c r="A428"/>
      <c r="B428"/>
      <c r="C428"/>
      <c r="D428"/>
      <c r="E428"/>
      <c r="F428"/>
      <c r="G428"/>
      <c r="J428"/>
      <c r="K428" s="20"/>
    </row>
    <row r="429" spans="1:11" x14ac:dyDescent="0.25">
      <c r="A429"/>
      <c r="B429"/>
      <c r="C429"/>
      <c r="D429"/>
      <c r="E429"/>
      <c r="F429"/>
      <c r="G429"/>
      <c r="J429"/>
      <c r="K429" s="20"/>
    </row>
    <row r="430" spans="1:11" x14ac:dyDescent="0.25">
      <c r="A430"/>
      <c r="B430"/>
      <c r="C430"/>
      <c r="D430"/>
      <c r="E430"/>
      <c r="F430"/>
      <c r="G430"/>
      <c r="J430"/>
      <c r="K430" s="20"/>
    </row>
    <row r="431" spans="1:11" x14ac:dyDescent="0.25">
      <c r="A431"/>
      <c r="B431"/>
      <c r="C431"/>
      <c r="D431"/>
      <c r="E431"/>
      <c r="F431"/>
      <c r="G431"/>
      <c r="J431"/>
      <c r="K431" s="20"/>
    </row>
    <row r="432" spans="1:11" x14ac:dyDescent="0.25">
      <c r="A432"/>
      <c r="B432"/>
      <c r="C432"/>
      <c r="D432"/>
      <c r="E432"/>
      <c r="F432"/>
      <c r="G432"/>
      <c r="J432"/>
      <c r="K432" s="20"/>
    </row>
    <row r="433" spans="1:11" x14ac:dyDescent="0.25">
      <c r="A433"/>
      <c r="B433"/>
      <c r="C433"/>
      <c r="D433"/>
      <c r="E433"/>
      <c r="F433"/>
      <c r="G433"/>
      <c r="J433"/>
      <c r="K433" s="20"/>
    </row>
    <row r="434" spans="1:11" x14ac:dyDescent="0.25">
      <c r="A434"/>
      <c r="B434"/>
      <c r="C434"/>
      <c r="D434"/>
      <c r="E434"/>
      <c r="F434"/>
      <c r="G434"/>
      <c r="J434"/>
      <c r="K434" s="20"/>
    </row>
    <row r="435" spans="1:11" x14ac:dyDescent="0.25">
      <c r="A435"/>
      <c r="B435"/>
      <c r="C435"/>
      <c r="D435"/>
      <c r="E435"/>
      <c r="F435"/>
      <c r="G435"/>
      <c r="J435"/>
      <c r="K435" s="20"/>
    </row>
    <row r="436" spans="1:11" x14ac:dyDescent="0.25">
      <c r="A436"/>
      <c r="B436"/>
      <c r="C436"/>
      <c r="D436"/>
      <c r="E436"/>
      <c r="F436"/>
      <c r="G436"/>
      <c r="J436"/>
      <c r="K436" s="20"/>
    </row>
    <row r="437" spans="1:11" x14ac:dyDescent="0.25">
      <c r="A437"/>
      <c r="B437"/>
      <c r="C437"/>
      <c r="D437"/>
      <c r="E437"/>
      <c r="F437"/>
      <c r="G437"/>
      <c r="J437"/>
      <c r="K437" s="20"/>
    </row>
    <row r="438" spans="1:11" x14ac:dyDescent="0.25">
      <c r="A438"/>
      <c r="B438"/>
      <c r="C438"/>
      <c r="D438"/>
      <c r="E438"/>
      <c r="F438"/>
      <c r="G438"/>
      <c r="J438"/>
      <c r="K438" s="20"/>
    </row>
    <row r="439" spans="1:11" x14ac:dyDescent="0.25">
      <c r="A439"/>
      <c r="B439"/>
      <c r="C439"/>
      <c r="D439"/>
      <c r="E439"/>
      <c r="F439"/>
      <c r="G439"/>
      <c r="J439"/>
      <c r="K439" s="20"/>
    </row>
    <row r="440" spans="1:11" x14ac:dyDescent="0.25">
      <c r="A440"/>
      <c r="B440"/>
      <c r="C440"/>
      <c r="D440"/>
      <c r="E440"/>
      <c r="F440"/>
      <c r="G440"/>
      <c r="J440"/>
      <c r="K440" s="20"/>
    </row>
    <row r="441" spans="1:11" x14ac:dyDescent="0.25">
      <c r="A441"/>
      <c r="B441"/>
      <c r="C441"/>
      <c r="D441"/>
      <c r="E441"/>
      <c r="F441"/>
      <c r="G441"/>
      <c r="J441"/>
      <c r="K441" s="20"/>
    </row>
    <row r="442" spans="1:11" x14ac:dyDescent="0.25">
      <c r="A442"/>
      <c r="B442"/>
      <c r="C442"/>
      <c r="D442"/>
      <c r="E442"/>
      <c r="F442"/>
      <c r="G442"/>
      <c r="J442"/>
      <c r="K442" s="20"/>
    </row>
    <row r="443" spans="1:11" x14ac:dyDescent="0.25">
      <c r="A443"/>
      <c r="B443"/>
      <c r="C443"/>
      <c r="D443"/>
      <c r="E443"/>
      <c r="F443"/>
      <c r="G443"/>
      <c r="J443"/>
      <c r="K443" s="20"/>
    </row>
    <row r="444" spans="1:11" x14ac:dyDescent="0.25">
      <c r="A444"/>
      <c r="B444"/>
      <c r="C444"/>
      <c r="D444"/>
      <c r="E444"/>
      <c r="F444"/>
      <c r="G444"/>
      <c r="J444"/>
      <c r="K444" s="20"/>
    </row>
    <row r="445" spans="1:11" x14ac:dyDescent="0.25">
      <c r="A445"/>
      <c r="B445"/>
      <c r="C445"/>
      <c r="D445"/>
      <c r="E445"/>
      <c r="F445"/>
      <c r="G445"/>
      <c r="J445"/>
      <c r="K445" s="20"/>
    </row>
    <row r="446" spans="1:11" x14ac:dyDescent="0.25">
      <c r="A446"/>
      <c r="B446"/>
      <c r="C446"/>
      <c r="D446"/>
      <c r="E446"/>
      <c r="F446"/>
      <c r="G446"/>
      <c r="J446"/>
      <c r="K446" s="20"/>
    </row>
    <row r="447" spans="1:11" x14ac:dyDescent="0.25">
      <c r="A447"/>
      <c r="B447"/>
      <c r="C447"/>
      <c r="D447"/>
      <c r="E447"/>
      <c r="F447"/>
      <c r="G447"/>
      <c r="J447"/>
      <c r="K447" s="20"/>
    </row>
    <row r="448" spans="1:11" x14ac:dyDescent="0.25">
      <c r="A448"/>
      <c r="B448"/>
      <c r="C448"/>
      <c r="D448"/>
      <c r="E448"/>
      <c r="F448"/>
      <c r="G448"/>
      <c r="J448"/>
      <c r="K448" s="20"/>
    </row>
    <row r="449" spans="1:11" x14ac:dyDescent="0.25">
      <c r="A449"/>
      <c r="B449"/>
      <c r="C449"/>
      <c r="D449"/>
      <c r="E449"/>
      <c r="F449"/>
      <c r="G449"/>
      <c r="J449"/>
      <c r="K449" s="20"/>
    </row>
    <row r="450" spans="1:11" x14ac:dyDescent="0.25">
      <c r="A450"/>
      <c r="B450"/>
      <c r="C450"/>
      <c r="D450"/>
      <c r="E450"/>
      <c r="F450"/>
      <c r="G450"/>
      <c r="J450"/>
      <c r="K450" s="20"/>
    </row>
    <row r="451" spans="1:11" x14ac:dyDescent="0.25">
      <c r="A451"/>
      <c r="B451"/>
      <c r="C451"/>
      <c r="D451"/>
      <c r="E451"/>
      <c r="F451"/>
      <c r="G451"/>
      <c r="J451"/>
      <c r="K451" s="20"/>
    </row>
    <row r="452" spans="1:11" x14ac:dyDescent="0.25">
      <c r="A452"/>
      <c r="B452"/>
      <c r="C452"/>
      <c r="D452"/>
      <c r="E452"/>
      <c r="F452"/>
      <c r="G452"/>
      <c r="J452"/>
      <c r="K452" s="20"/>
    </row>
    <row r="453" spans="1:11" x14ac:dyDescent="0.25">
      <c r="A453"/>
      <c r="B453"/>
      <c r="C453"/>
      <c r="D453"/>
      <c r="E453"/>
      <c r="F453"/>
      <c r="G453"/>
      <c r="J453"/>
      <c r="K453" s="20"/>
    </row>
    <row r="454" spans="1:11" x14ac:dyDescent="0.25">
      <c r="A454"/>
      <c r="B454"/>
      <c r="C454"/>
      <c r="D454"/>
      <c r="E454"/>
      <c r="F454"/>
      <c r="G454"/>
      <c r="J454"/>
      <c r="K454" s="20"/>
    </row>
    <row r="455" spans="1:11" x14ac:dyDescent="0.25">
      <c r="A455"/>
      <c r="B455"/>
      <c r="C455"/>
      <c r="D455"/>
      <c r="E455"/>
      <c r="F455"/>
      <c r="G455"/>
      <c r="J455"/>
      <c r="K455" s="20"/>
    </row>
    <row r="456" spans="1:11" x14ac:dyDescent="0.25">
      <c r="A456"/>
      <c r="B456"/>
      <c r="C456"/>
      <c r="D456"/>
      <c r="E456"/>
      <c r="F456"/>
      <c r="G456"/>
      <c r="J456"/>
      <c r="K456" s="20"/>
    </row>
    <row r="457" spans="1:11" x14ac:dyDescent="0.25">
      <c r="A457"/>
      <c r="B457"/>
      <c r="C457"/>
      <c r="D457"/>
      <c r="E457"/>
      <c r="F457"/>
      <c r="G457"/>
      <c r="J457"/>
      <c r="K457" s="20"/>
    </row>
    <row r="458" spans="1:11" x14ac:dyDescent="0.25">
      <c r="A458"/>
      <c r="B458"/>
      <c r="C458"/>
      <c r="D458"/>
      <c r="E458"/>
      <c r="F458"/>
      <c r="G458"/>
      <c r="J458"/>
      <c r="K458" s="20"/>
    </row>
    <row r="459" spans="1:11" x14ac:dyDescent="0.25">
      <c r="A459"/>
      <c r="B459"/>
      <c r="C459"/>
      <c r="D459"/>
      <c r="E459"/>
      <c r="F459"/>
      <c r="G459"/>
      <c r="J459"/>
      <c r="K459" s="20"/>
    </row>
    <row r="460" spans="1:11" x14ac:dyDescent="0.25">
      <c r="A460"/>
      <c r="B460"/>
      <c r="C460"/>
      <c r="D460"/>
      <c r="E460"/>
      <c r="F460"/>
      <c r="G460"/>
      <c r="J460"/>
      <c r="K460" s="20"/>
    </row>
    <row r="461" spans="1:11" x14ac:dyDescent="0.25">
      <c r="A461"/>
      <c r="B461"/>
      <c r="C461"/>
      <c r="D461"/>
      <c r="E461"/>
      <c r="F461"/>
      <c r="G461"/>
      <c r="J461"/>
      <c r="K461" s="20"/>
    </row>
    <row r="462" spans="1:11" x14ac:dyDescent="0.25">
      <c r="A462"/>
      <c r="B462"/>
      <c r="C462"/>
      <c r="D462"/>
      <c r="E462"/>
      <c r="F462"/>
      <c r="G462"/>
      <c r="J462"/>
      <c r="K462" s="20"/>
    </row>
    <row r="463" spans="1:11" x14ac:dyDescent="0.25">
      <c r="A463"/>
      <c r="B463"/>
      <c r="C463"/>
      <c r="D463"/>
      <c r="E463"/>
      <c r="F463"/>
      <c r="G463"/>
      <c r="J463"/>
      <c r="K463" s="20"/>
    </row>
    <row r="464" spans="1:11" x14ac:dyDescent="0.25">
      <c r="A464"/>
      <c r="B464"/>
      <c r="C464"/>
      <c r="D464"/>
      <c r="E464"/>
      <c r="F464"/>
      <c r="G464"/>
      <c r="J464"/>
      <c r="K464" s="20"/>
    </row>
    <row r="465" spans="1:11" x14ac:dyDescent="0.25">
      <c r="A465"/>
      <c r="B465"/>
      <c r="C465"/>
      <c r="D465"/>
      <c r="E465"/>
      <c r="F465"/>
      <c r="G465"/>
      <c r="J465"/>
      <c r="K465" s="20"/>
    </row>
    <row r="466" spans="1:11" x14ac:dyDescent="0.25">
      <c r="A466"/>
      <c r="B466"/>
      <c r="C466"/>
      <c r="D466"/>
      <c r="E466"/>
      <c r="F466"/>
      <c r="G466"/>
      <c r="J466"/>
      <c r="K466" s="20"/>
    </row>
    <row r="467" spans="1:11" x14ac:dyDescent="0.25">
      <c r="A467"/>
      <c r="B467"/>
      <c r="C467"/>
      <c r="D467"/>
      <c r="E467"/>
      <c r="F467"/>
      <c r="G467"/>
      <c r="J467"/>
      <c r="K467" s="20"/>
    </row>
    <row r="468" spans="1:11" x14ac:dyDescent="0.25">
      <c r="A468"/>
      <c r="B468"/>
      <c r="C468"/>
      <c r="D468"/>
      <c r="E468"/>
      <c r="F468"/>
      <c r="G468"/>
      <c r="J468"/>
      <c r="K468" s="20"/>
    </row>
    <row r="469" spans="1:11" x14ac:dyDescent="0.25">
      <c r="A469"/>
      <c r="B469"/>
      <c r="C469"/>
      <c r="D469"/>
      <c r="E469"/>
      <c r="F469"/>
      <c r="G469"/>
      <c r="J469"/>
      <c r="K469" s="20"/>
    </row>
    <row r="470" spans="1:11" x14ac:dyDescent="0.25">
      <c r="A470"/>
      <c r="B470"/>
      <c r="C470"/>
      <c r="D470"/>
      <c r="E470"/>
      <c r="F470"/>
      <c r="G470"/>
      <c r="J470"/>
      <c r="K470" s="20"/>
    </row>
    <row r="471" spans="1:11" x14ac:dyDescent="0.25">
      <c r="A471"/>
      <c r="B471"/>
      <c r="C471"/>
      <c r="D471"/>
      <c r="E471"/>
      <c r="F471"/>
      <c r="G471"/>
      <c r="J471"/>
      <c r="K471" s="20"/>
    </row>
    <row r="472" spans="1:11" x14ac:dyDescent="0.25">
      <c r="A472"/>
      <c r="B472"/>
      <c r="C472"/>
      <c r="D472"/>
      <c r="E472"/>
      <c r="F472"/>
      <c r="G472"/>
      <c r="J472"/>
      <c r="K472" s="20"/>
    </row>
    <row r="473" spans="1:11" x14ac:dyDescent="0.25">
      <c r="A473"/>
      <c r="B473"/>
      <c r="C473"/>
      <c r="D473"/>
      <c r="E473"/>
      <c r="F473"/>
      <c r="G473"/>
      <c r="J473"/>
      <c r="K473" s="20"/>
    </row>
    <row r="474" spans="1:11" x14ac:dyDescent="0.25">
      <c r="A474"/>
      <c r="B474"/>
      <c r="C474"/>
      <c r="D474"/>
      <c r="E474"/>
      <c r="F474"/>
      <c r="G474"/>
      <c r="J474"/>
      <c r="K474" s="20"/>
    </row>
    <row r="475" spans="1:11" x14ac:dyDescent="0.25">
      <c r="A475"/>
      <c r="B475"/>
      <c r="C475"/>
      <c r="D475"/>
      <c r="E475"/>
      <c r="F475"/>
      <c r="G475"/>
      <c r="J475"/>
      <c r="K475" s="20"/>
    </row>
    <row r="476" spans="1:11" x14ac:dyDescent="0.25">
      <c r="A476"/>
      <c r="B476"/>
      <c r="C476"/>
      <c r="D476"/>
      <c r="E476"/>
      <c r="F476"/>
      <c r="G476"/>
      <c r="J476"/>
      <c r="K476" s="20"/>
    </row>
    <row r="477" spans="1:11" x14ac:dyDescent="0.25">
      <c r="A477"/>
      <c r="B477"/>
      <c r="C477"/>
      <c r="D477"/>
      <c r="E477"/>
      <c r="F477"/>
      <c r="G477"/>
      <c r="J477"/>
      <c r="K477" s="20"/>
    </row>
    <row r="478" spans="1:11" x14ac:dyDescent="0.25">
      <c r="A478"/>
      <c r="B478"/>
      <c r="C478"/>
      <c r="D478"/>
      <c r="E478"/>
      <c r="F478"/>
      <c r="G478"/>
      <c r="J478"/>
      <c r="K478" s="20"/>
    </row>
    <row r="479" spans="1:11" x14ac:dyDescent="0.25">
      <c r="A479"/>
      <c r="B479"/>
      <c r="C479"/>
      <c r="D479"/>
      <c r="E479"/>
      <c r="F479"/>
      <c r="G479"/>
      <c r="J479"/>
      <c r="K479" s="20"/>
    </row>
    <row r="480" spans="1:11" x14ac:dyDescent="0.25">
      <c r="A480"/>
      <c r="B480"/>
      <c r="C480"/>
      <c r="D480"/>
      <c r="E480"/>
      <c r="F480"/>
      <c r="G480"/>
      <c r="J480"/>
      <c r="K480" s="20"/>
    </row>
    <row r="481" spans="1:11" x14ac:dyDescent="0.25">
      <c r="A481"/>
      <c r="B481"/>
      <c r="C481"/>
      <c r="D481"/>
      <c r="E481"/>
      <c r="F481"/>
      <c r="G481"/>
      <c r="J481"/>
      <c r="K481" s="20"/>
    </row>
    <row r="482" spans="1:11" x14ac:dyDescent="0.25">
      <c r="A482"/>
      <c r="B482"/>
      <c r="C482"/>
      <c r="D482"/>
      <c r="E482"/>
      <c r="F482"/>
      <c r="G482"/>
      <c r="J482"/>
      <c r="K482" s="20"/>
    </row>
    <row r="483" spans="1:11" x14ac:dyDescent="0.25">
      <c r="A483"/>
      <c r="B483"/>
      <c r="C483"/>
      <c r="D483"/>
      <c r="E483"/>
      <c r="F483"/>
      <c r="G483"/>
      <c r="J483"/>
      <c r="K483" s="20"/>
    </row>
    <row r="484" spans="1:11" x14ac:dyDescent="0.25">
      <c r="A484"/>
      <c r="B484"/>
      <c r="C484"/>
      <c r="D484"/>
      <c r="E484"/>
      <c r="F484"/>
      <c r="G484"/>
      <c r="J484"/>
      <c r="K484" s="20"/>
    </row>
    <row r="485" spans="1:11" x14ac:dyDescent="0.25">
      <c r="A485"/>
      <c r="B485"/>
      <c r="C485"/>
      <c r="D485"/>
      <c r="E485"/>
      <c r="F485"/>
      <c r="G485"/>
      <c r="J485"/>
      <c r="K485" s="20"/>
    </row>
    <row r="486" spans="1:11" x14ac:dyDescent="0.25">
      <c r="A486"/>
      <c r="B486"/>
      <c r="C486"/>
      <c r="D486"/>
      <c r="E486"/>
      <c r="F486"/>
      <c r="G486"/>
      <c r="J486"/>
      <c r="K486" s="20"/>
    </row>
    <row r="487" spans="1:11" x14ac:dyDescent="0.25">
      <c r="A487"/>
      <c r="B487"/>
      <c r="C487"/>
      <c r="D487"/>
      <c r="E487"/>
      <c r="F487"/>
      <c r="G487"/>
      <c r="J487"/>
      <c r="K487" s="20"/>
    </row>
    <row r="488" spans="1:11" x14ac:dyDescent="0.25">
      <c r="A488"/>
      <c r="B488"/>
      <c r="C488"/>
      <c r="D488"/>
      <c r="E488"/>
      <c r="F488"/>
      <c r="G488"/>
      <c r="J488"/>
      <c r="K488" s="20"/>
    </row>
    <row r="489" spans="1:11" x14ac:dyDescent="0.25">
      <c r="A489"/>
      <c r="B489"/>
      <c r="C489"/>
      <c r="D489"/>
      <c r="E489"/>
      <c r="F489"/>
      <c r="G489"/>
      <c r="J489"/>
      <c r="K489" s="20"/>
    </row>
    <row r="490" spans="1:11" x14ac:dyDescent="0.25">
      <c r="A490"/>
      <c r="B490"/>
      <c r="C490"/>
      <c r="D490"/>
      <c r="E490"/>
      <c r="F490"/>
      <c r="G490"/>
      <c r="J490"/>
      <c r="K490" s="20"/>
    </row>
    <row r="491" spans="1:11" x14ac:dyDescent="0.25">
      <c r="A491"/>
      <c r="B491"/>
      <c r="C491"/>
      <c r="D491"/>
      <c r="E491"/>
      <c r="F491"/>
      <c r="G491"/>
      <c r="J491"/>
      <c r="K491" s="20"/>
    </row>
    <row r="492" spans="1:11" x14ac:dyDescent="0.25">
      <c r="A492"/>
      <c r="B492"/>
      <c r="C492"/>
      <c r="D492"/>
      <c r="E492"/>
      <c r="F492"/>
      <c r="G492"/>
      <c r="J492"/>
      <c r="K492" s="20"/>
    </row>
    <row r="493" spans="1:11" x14ac:dyDescent="0.25">
      <c r="A493"/>
      <c r="B493"/>
      <c r="C493"/>
      <c r="D493"/>
      <c r="E493"/>
      <c r="F493"/>
      <c r="G493"/>
      <c r="J493"/>
      <c r="K493" s="20"/>
    </row>
    <row r="494" spans="1:11" x14ac:dyDescent="0.25">
      <c r="A494"/>
      <c r="B494"/>
      <c r="C494"/>
      <c r="D494"/>
      <c r="E494"/>
      <c r="F494"/>
      <c r="G494"/>
      <c r="J494"/>
      <c r="K494" s="20"/>
    </row>
    <row r="495" spans="1:11" x14ac:dyDescent="0.25">
      <c r="A495"/>
      <c r="B495"/>
      <c r="C495"/>
      <c r="D495"/>
      <c r="E495"/>
      <c r="F495"/>
      <c r="G495"/>
      <c r="J495"/>
      <c r="K495" s="20"/>
    </row>
    <row r="496" spans="1:11" x14ac:dyDescent="0.25">
      <c r="A496"/>
      <c r="B496"/>
      <c r="C496"/>
      <c r="D496"/>
      <c r="E496"/>
      <c r="F496"/>
      <c r="G496"/>
      <c r="J496"/>
      <c r="K496" s="20"/>
    </row>
    <row r="497" spans="1:11" x14ac:dyDescent="0.25">
      <c r="A497"/>
      <c r="B497"/>
      <c r="C497"/>
      <c r="D497"/>
      <c r="E497"/>
      <c r="F497"/>
      <c r="G497"/>
      <c r="J497"/>
      <c r="K497" s="20"/>
    </row>
    <row r="498" spans="1:11" x14ac:dyDescent="0.25">
      <c r="A498"/>
      <c r="B498"/>
      <c r="C498"/>
      <c r="D498"/>
      <c r="E498"/>
      <c r="F498"/>
      <c r="G498"/>
      <c r="J498"/>
      <c r="K498" s="20"/>
    </row>
    <row r="499" spans="1:11" x14ac:dyDescent="0.25">
      <c r="A499"/>
      <c r="B499"/>
      <c r="C499"/>
      <c r="D499"/>
      <c r="E499"/>
      <c r="F499"/>
      <c r="G499"/>
      <c r="J499"/>
      <c r="K499" s="20"/>
    </row>
    <row r="500" spans="1:11" x14ac:dyDescent="0.25">
      <c r="A500"/>
      <c r="B500"/>
      <c r="C500"/>
      <c r="D500"/>
      <c r="E500"/>
      <c r="F500"/>
      <c r="G500"/>
      <c r="J500"/>
      <c r="K500" s="20"/>
    </row>
    <row r="501" spans="1:11" x14ac:dyDescent="0.25">
      <c r="A501"/>
      <c r="B501"/>
      <c r="C501"/>
      <c r="D501"/>
      <c r="E501"/>
      <c r="F501"/>
      <c r="G501"/>
      <c r="J501"/>
      <c r="K501" s="20"/>
    </row>
    <row r="502" spans="1:11" x14ac:dyDescent="0.25">
      <c r="A502"/>
      <c r="B502"/>
      <c r="C502"/>
      <c r="D502"/>
      <c r="E502"/>
      <c r="F502"/>
      <c r="G502"/>
      <c r="J502"/>
      <c r="K502" s="20"/>
    </row>
    <row r="503" spans="1:11" x14ac:dyDescent="0.25">
      <c r="A503"/>
      <c r="B503"/>
      <c r="C503"/>
      <c r="D503"/>
      <c r="E503"/>
      <c r="F503"/>
      <c r="G503"/>
      <c r="J503"/>
      <c r="K503" s="20"/>
    </row>
    <row r="504" spans="1:11" x14ac:dyDescent="0.25">
      <c r="A504"/>
      <c r="B504"/>
      <c r="C504"/>
      <c r="D504"/>
      <c r="E504"/>
      <c r="F504"/>
      <c r="G504"/>
      <c r="J504"/>
      <c r="K504" s="20"/>
    </row>
    <row r="505" spans="1:11" x14ac:dyDescent="0.25">
      <c r="A505"/>
      <c r="B505"/>
      <c r="C505"/>
      <c r="D505"/>
      <c r="E505"/>
      <c r="F505"/>
      <c r="G505"/>
      <c r="J505"/>
      <c r="K505" s="20"/>
    </row>
    <row r="506" spans="1:11" x14ac:dyDescent="0.25">
      <c r="A506"/>
      <c r="B506"/>
      <c r="C506"/>
      <c r="D506"/>
      <c r="E506"/>
      <c r="F506"/>
      <c r="G506"/>
      <c r="J506"/>
      <c r="K506" s="20"/>
    </row>
    <row r="507" spans="1:11" x14ac:dyDescent="0.25">
      <c r="A507"/>
      <c r="B507"/>
      <c r="C507"/>
      <c r="D507"/>
      <c r="E507"/>
      <c r="F507"/>
      <c r="G507"/>
      <c r="J507"/>
      <c r="K507" s="20"/>
    </row>
    <row r="508" spans="1:11" x14ac:dyDescent="0.25">
      <c r="A508"/>
      <c r="B508"/>
      <c r="C508"/>
      <c r="D508"/>
      <c r="E508"/>
      <c r="F508"/>
      <c r="G508"/>
      <c r="J508"/>
      <c r="K508" s="20"/>
    </row>
    <row r="509" spans="1:11" x14ac:dyDescent="0.25">
      <c r="A509"/>
      <c r="B509"/>
      <c r="C509"/>
      <c r="D509"/>
      <c r="E509"/>
      <c r="F509"/>
      <c r="G509"/>
      <c r="J509"/>
      <c r="K509" s="20"/>
    </row>
    <row r="510" spans="1:11" x14ac:dyDescent="0.25">
      <c r="A510"/>
      <c r="B510"/>
      <c r="C510"/>
      <c r="D510"/>
      <c r="E510"/>
      <c r="F510"/>
      <c r="G510"/>
      <c r="J510"/>
      <c r="K510" s="20"/>
    </row>
    <row r="511" spans="1:11" x14ac:dyDescent="0.25">
      <c r="A511"/>
      <c r="B511"/>
      <c r="C511"/>
      <c r="D511"/>
      <c r="E511"/>
      <c r="F511"/>
      <c r="G511"/>
      <c r="J511"/>
      <c r="K511" s="20"/>
    </row>
    <row r="512" spans="1:11" x14ac:dyDescent="0.25">
      <c r="A512"/>
      <c r="B512"/>
      <c r="C512"/>
      <c r="D512"/>
      <c r="E512"/>
      <c r="F512"/>
      <c r="G512"/>
      <c r="J512"/>
      <c r="K512" s="20"/>
    </row>
    <row r="513" spans="1:11" x14ac:dyDescent="0.25">
      <c r="A513"/>
      <c r="B513"/>
      <c r="C513"/>
      <c r="D513"/>
      <c r="E513"/>
      <c r="F513"/>
      <c r="G513"/>
      <c r="J513"/>
      <c r="K513" s="20"/>
    </row>
    <row r="514" spans="1:11" x14ac:dyDescent="0.25">
      <c r="A514"/>
      <c r="B514"/>
      <c r="C514"/>
      <c r="D514"/>
      <c r="E514"/>
      <c r="F514"/>
      <c r="G514"/>
      <c r="J514"/>
      <c r="K514" s="20"/>
    </row>
    <row r="515" spans="1:11" x14ac:dyDescent="0.25">
      <c r="A515"/>
      <c r="B515"/>
      <c r="C515"/>
      <c r="D515"/>
      <c r="E515"/>
      <c r="F515"/>
      <c r="G515"/>
      <c r="J515"/>
      <c r="K515" s="20"/>
    </row>
    <row r="516" spans="1:11" x14ac:dyDescent="0.25">
      <c r="A516"/>
      <c r="B516"/>
      <c r="C516"/>
      <c r="D516"/>
      <c r="E516"/>
      <c r="F516"/>
      <c r="G516"/>
      <c r="J516"/>
      <c r="K516" s="20"/>
    </row>
    <row r="517" spans="1:11" x14ac:dyDescent="0.25">
      <c r="A517"/>
      <c r="B517"/>
      <c r="C517"/>
      <c r="D517"/>
      <c r="E517"/>
      <c r="F517"/>
      <c r="G517"/>
      <c r="J517"/>
      <c r="K517" s="20"/>
    </row>
    <row r="518" spans="1:11" x14ac:dyDescent="0.25">
      <c r="A518"/>
      <c r="B518"/>
      <c r="C518"/>
      <c r="D518"/>
      <c r="E518"/>
      <c r="F518"/>
      <c r="G518"/>
      <c r="J518"/>
      <c r="K518" s="20"/>
    </row>
    <row r="519" spans="1:11" x14ac:dyDescent="0.25">
      <c r="A519"/>
      <c r="B519"/>
      <c r="C519"/>
      <c r="D519"/>
      <c r="E519"/>
      <c r="F519"/>
      <c r="G519"/>
      <c r="J519"/>
      <c r="K519" s="20"/>
    </row>
    <row r="520" spans="1:11" x14ac:dyDescent="0.25">
      <c r="A520"/>
      <c r="B520"/>
      <c r="C520"/>
      <c r="D520"/>
      <c r="E520"/>
      <c r="F520"/>
      <c r="G520"/>
      <c r="J520"/>
      <c r="K520" s="20"/>
    </row>
    <row r="521" spans="1:11" x14ac:dyDescent="0.25">
      <c r="A521"/>
      <c r="B521"/>
      <c r="C521"/>
      <c r="D521"/>
      <c r="E521"/>
      <c r="F521"/>
      <c r="G521"/>
      <c r="J521"/>
      <c r="K521" s="20"/>
    </row>
    <row r="522" spans="1:11" x14ac:dyDescent="0.25">
      <c r="A522"/>
      <c r="B522"/>
      <c r="C522"/>
      <c r="D522"/>
      <c r="E522"/>
      <c r="F522"/>
      <c r="G522"/>
      <c r="J522"/>
      <c r="K522" s="20"/>
    </row>
    <row r="523" spans="1:11" x14ac:dyDescent="0.25">
      <c r="A523"/>
      <c r="B523"/>
      <c r="C523"/>
      <c r="D523"/>
      <c r="E523"/>
      <c r="F523"/>
      <c r="G523"/>
      <c r="J523"/>
      <c r="K523" s="20"/>
    </row>
    <row r="524" spans="1:11" x14ac:dyDescent="0.25">
      <c r="A524"/>
      <c r="B524"/>
      <c r="C524"/>
      <c r="D524"/>
      <c r="E524"/>
      <c r="F524"/>
      <c r="G524"/>
      <c r="J524"/>
      <c r="K524" s="20"/>
    </row>
    <row r="525" spans="1:11" x14ac:dyDescent="0.25">
      <c r="A525"/>
      <c r="B525"/>
      <c r="C525"/>
      <c r="D525"/>
      <c r="E525"/>
      <c r="F525"/>
      <c r="G525"/>
      <c r="J525"/>
      <c r="K525" s="20"/>
    </row>
    <row r="526" spans="1:11" x14ac:dyDescent="0.25">
      <c r="A526"/>
      <c r="B526"/>
      <c r="C526"/>
      <c r="D526"/>
      <c r="E526"/>
      <c r="F526"/>
      <c r="G526"/>
      <c r="J526"/>
      <c r="K526" s="20"/>
    </row>
    <row r="527" spans="1:11" x14ac:dyDescent="0.25">
      <c r="A527"/>
      <c r="B527"/>
      <c r="C527"/>
      <c r="D527"/>
      <c r="E527"/>
      <c r="F527"/>
      <c r="G527"/>
      <c r="J527"/>
      <c r="K527" s="20"/>
    </row>
    <row r="528" spans="1:11" x14ac:dyDescent="0.25">
      <c r="A528"/>
      <c r="B528"/>
      <c r="C528"/>
      <c r="D528"/>
      <c r="E528"/>
      <c r="F528"/>
      <c r="G528"/>
      <c r="J528"/>
      <c r="K528" s="20"/>
    </row>
    <row r="529" spans="1:11" x14ac:dyDescent="0.25">
      <c r="A529"/>
      <c r="B529"/>
      <c r="C529"/>
      <c r="D529"/>
      <c r="E529"/>
      <c r="F529"/>
      <c r="G529"/>
      <c r="J529"/>
      <c r="K529" s="20"/>
    </row>
    <row r="530" spans="1:11" x14ac:dyDescent="0.25">
      <c r="A530"/>
      <c r="B530"/>
      <c r="C530"/>
      <c r="D530"/>
      <c r="E530"/>
      <c r="F530"/>
      <c r="G530"/>
      <c r="J530"/>
      <c r="K530" s="20"/>
    </row>
    <row r="531" spans="1:11" x14ac:dyDescent="0.25">
      <c r="A531"/>
      <c r="B531"/>
      <c r="C531"/>
      <c r="D531"/>
      <c r="E531"/>
      <c r="F531"/>
      <c r="G531"/>
      <c r="J531"/>
      <c r="K531" s="20"/>
    </row>
    <row r="532" spans="1:11" x14ac:dyDescent="0.25">
      <c r="A532"/>
      <c r="B532"/>
      <c r="C532"/>
      <c r="D532"/>
      <c r="E532"/>
      <c r="F532"/>
      <c r="G532"/>
      <c r="J532"/>
      <c r="K532" s="20"/>
    </row>
    <row r="533" spans="1:11" x14ac:dyDescent="0.25">
      <c r="A533"/>
      <c r="B533"/>
      <c r="C533"/>
      <c r="D533"/>
      <c r="E533"/>
      <c r="F533"/>
      <c r="G533"/>
      <c r="J533"/>
      <c r="K533" s="20"/>
    </row>
    <row r="534" spans="1:11" x14ac:dyDescent="0.25">
      <c r="A534"/>
      <c r="B534"/>
      <c r="C534"/>
      <c r="D534"/>
      <c r="E534"/>
      <c r="F534"/>
      <c r="G534"/>
      <c r="J534"/>
      <c r="K534" s="20"/>
    </row>
    <row r="535" spans="1:11" x14ac:dyDescent="0.25">
      <c r="A535"/>
      <c r="B535"/>
      <c r="C535"/>
      <c r="D535"/>
      <c r="E535"/>
      <c r="F535"/>
      <c r="G535"/>
      <c r="J535"/>
      <c r="K535" s="20"/>
    </row>
    <row r="536" spans="1:11" x14ac:dyDescent="0.25">
      <c r="A536"/>
      <c r="B536"/>
      <c r="C536"/>
      <c r="D536"/>
      <c r="E536"/>
      <c r="F536"/>
      <c r="G536"/>
      <c r="J536"/>
      <c r="K536" s="20"/>
    </row>
    <row r="537" spans="1:11" x14ac:dyDescent="0.25">
      <c r="A537"/>
      <c r="B537"/>
      <c r="C537"/>
      <c r="D537"/>
      <c r="E537"/>
      <c r="F537"/>
      <c r="G537"/>
      <c r="J537"/>
      <c r="K537" s="20"/>
    </row>
    <row r="538" spans="1:11" x14ac:dyDescent="0.25">
      <c r="A538"/>
      <c r="B538"/>
      <c r="C538"/>
      <c r="D538"/>
      <c r="E538"/>
      <c r="F538"/>
      <c r="G538"/>
      <c r="J538"/>
      <c r="K538" s="20"/>
    </row>
    <row r="539" spans="1:11" x14ac:dyDescent="0.25">
      <c r="A539"/>
      <c r="B539"/>
      <c r="C539"/>
      <c r="D539"/>
      <c r="E539"/>
      <c r="F539"/>
      <c r="G539"/>
      <c r="J539"/>
      <c r="K539" s="20"/>
    </row>
    <row r="540" spans="1:11" x14ac:dyDescent="0.25">
      <c r="A540"/>
      <c r="B540"/>
      <c r="C540"/>
      <c r="D540"/>
      <c r="E540"/>
      <c r="F540"/>
      <c r="G540"/>
      <c r="J540"/>
      <c r="K540" s="20"/>
    </row>
    <row r="541" spans="1:11" x14ac:dyDescent="0.25">
      <c r="A541"/>
      <c r="B541"/>
      <c r="C541"/>
      <c r="D541"/>
      <c r="E541"/>
      <c r="F541"/>
      <c r="G541"/>
      <c r="J541"/>
      <c r="K541" s="20"/>
    </row>
    <row r="542" spans="1:11" x14ac:dyDescent="0.25">
      <c r="A542"/>
      <c r="B542"/>
      <c r="C542"/>
      <c r="D542"/>
      <c r="E542"/>
      <c r="F542"/>
      <c r="G542"/>
      <c r="J542"/>
      <c r="K542" s="20"/>
    </row>
    <row r="543" spans="1:11" x14ac:dyDescent="0.25">
      <c r="A543"/>
      <c r="B543"/>
      <c r="C543"/>
      <c r="D543"/>
      <c r="E543"/>
      <c r="F543"/>
      <c r="G543"/>
      <c r="J543"/>
      <c r="K543" s="20"/>
    </row>
    <row r="544" spans="1:11" x14ac:dyDescent="0.25">
      <c r="A544"/>
      <c r="B544"/>
      <c r="C544"/>
      <c r="D544"/>
      <c r="E544"/>
      <c r="F544"/>
      <c r="G544"/>
      <c r="J544"/>
      <c r="K544" s="20"/>
    </row>
    <row r="545" spans="1:11" x14ac:dyDescent="0.25">
      <c r="A545"/>
      <c r="B545"/>
      <c r="C545"/>
      <c r="D545"/>
      <c r="E545"/>
      <c r="F545"/>
      <c r="G545"/>
      <c r="J545"/>
      <c r="K545" s="20"/>
    </row>
    <row r="546" spans="1:11" x14ac:dyDescent="0.25">
      <c r="A546"/>
      <c r="B546"/>
      <c r="C546"/>
      <c r="D546"/>
      <c r="E546"/>
      <c r="F546"/>
      <c r="G546"/>
      <c r="J546"/>
      <c r="K546" s="20"/>
    </row>
    <row r="547" spans="1:11" x14ac:dyDescent="0.25">
      <c r="A547"/>
      <c r="B547"/>
      <c r="C547"/>
      <c r="D547"/>
      <c r="E547"/>
      <c r="F547"/>
      <c r="G547"/>
      <c r="J547"/>
      <c r="K547" s="20"/>
    </row>
    <row r="548" spans="1:11" x14ac:dyDescent="0.25">
      <c r="A548"/>
      <c r="B548"/>
      <c r="C548"/>
      <c r="D548"/>
      <c r="E548"/>
      <c r="F548"/>
      <c r="G548"/>
      <c r="J548"/>
      <c r="K548" s="20"/>
    </row>
    <row r="549" spans="1:11" x14ac:dyDescent="0.25">
      <c r="A549"/>
      <c r="B549"/>
      <c r="C549"/>
      <c r="D549"/>
      <c r="E549"/>
      <c r="F549"/>
      <c r="G549"/>
      <c r="J549"/>
      <c r="K549" s="20"/>
    </row>
    <row r="550" spans="1:11" x14ac:dyDescent="0.25">
      <c r="A550"/>
      <c r="B550"/>
      <c r="C550"/>
      <c r="D550"/>
      <c r="E550"/>
      <c r="F550"/>
      <c r="G550"/>
      <c r="J550"/>
      <c r="K550" s="20"/>
    </row>
    <row r="551" spans="1:11" x14ac:dyDescent="0.25">
      <c r="A551"/>
      <c r="B551"/>
      <c r="C551"/>
      <c r="D551"/>
      <c r="E551"/>
      <c r="F551"/>
      <c r="G551"/>
      <c r="J551"/>
      <c r="K551" s="20"/>
    </row>
    <row r="552" spans="1:11" x14ac:dyDescent="0.25">
      <c r="A552"/>
      <c r="B552"/>
      <c r="C552"/>
      <c r="D552"/>
      <c r="E552"/>
      <c r="F552"/>
      <c r="G552"/>
      <c r="J552"/>
      <c r="K552" s="20"/>
    </row>
    <row r="553" spans="1:11" x14ac:dyDescent="0.25">
      <c r="A553"/>
      <c r="B553"/>
      <c r="C553"/>
      <c r="D553"/>
      <c r="E553"/>
      <c r="F553"/>
      <c r="G553"/>
      <c r="J553"/>
      <c r="K553" s="20"/>
    </row>
    <row r="554" spans="1:11" x14ac:dyDescent="0.25">
      <c r="A554"/>
      <c r="B554"/>
      <c r="C554"/>
      <c r="D554"/>
      <c r="E554"/>
      <c r="F554"/>
      <c r="G554"/>
      <c r="J554"/>
      <c r="K554" s="20"/>
    </row>
    <row r="555" spans="1:11" x14ac:dyDescent="0.25">
      <c r="A555"/>
      <c r="B555"/>
      <c r="C555"/>
      <c r="D555"/>
      <c r="E555"/>
      <c r="F555"/>
      <c r="G555"/>
      <c r="J555"/>
      <c r="K555" s="20"/>
    </row>
    <row r="556" spans="1:11" x14ac:dyDescent="0.25">
      <c r="A556"/>
      <c r="B556"/>
      <c r="C556"/>
      <c r="D556"/>
      <c r="E556"/>
      <c r="F556"/>
      <c r="G556"/>
      <c r="J556"/>
      <c r="K556" s="20"/>
    </row>
    <row r="557" spans="1:11" x14ac:dyDescent="0.25">
      <c r="A557"/>
      <c r="B557"/>
      <c r="C557"/>
      <c r="D557"/>
      <c r="E557"/>
      <c r="F557"/>
      <c r="G557"/>
      <c r="J557"/>
      <c r="K557" s="20"/>
    </row>
    <row r="558" spans="1:11" x14ac:dyDescent="0.25">
      <c r="A558"/>
      <c r="B558"/>
      <c r="C558"/>
      <c r="D558"/>
      <c r="E558"/>
      <c r="F558"/>
      <c r="G558"/>
      <c r="J558"/>
      <c r="K558" s="20"/>
    </row>
    <row r="559" spans="1:11" x14ac:dyDescent="0.25">
      <c r="A559"/>
      <c r="B559"/>
      <c r="C559"/>
      <c r="D559"/>
      <c r="E559"/>
      <c r="F559"/>
      <c r="G559"/>
      <c r="J559"/>
      <c r="K559" s="20"/>
    </row>
    <row r="560" spans="1:11" x14ac:dyDescent="0.25">
      <c r="A560"/>
      <c r="B560"/>
      <c r="C560"/>
      <c r="D560"/>
      <c r="E560"/>
      <c r="F560"/>
      <c r="G560"/>
      <c r="J560"/>
      <c r="K560" s="20"/>
    </row>
    <row r="561" spans="1:11" x14ac:dyDescent="0.25">
      <c r="A561"/>
      <c r="B561"/>
      <c r="C561"/>
      <c r="D561"/>
      <c r="E561"/>
      <c r="F561"/>
      <c r="G561"/>
      <c r="J561"/>
      <c r="K561" s="20"/>
    </row>
    <row r="562" spans="1:11" x14ac:dyDescent="0.25">
      <c r="A562"/>
      <c r="B562"/>
      <c r="C562"/>
      <c r="D562"/>
      <c r="E562"/>
      <c r="F562"/>
      <c r="G562"/>
      <c r="J562"/>
      <c r="K562" s="20"/>
    </row>
    <row r="563" spans="1:11" x14ac:dyDescent="0.25">
      <c r="A563"/>
      <c r="B563"/>
      <c r="C563"/>
      <c r="D563"/>
      <c r="E563"/>
      <c r="F563"/>
      <c r="G563"/>
      <c r="J563"/>
      <c r="K563" s="20"/>
    </row>
    <row r="564" spans="1:11" x14ac:dyDescent="0.25">
      <c r="A564"/>
      <c r="B564"/>
      <c r="C564"/>
      <c r="D564"/>
      <c r="E564"/>
      <c r="F564"/>
      <c r="G564"/>
      <c r="J564"/>
      <c r="K564" s="20"/>
    </row>
    <row r="565" spans="1:11" x14ac:dyDescent="0.25">
      <c r="A565"/>
      <c r="B565"/>
      <c r="C565"/>
      <c r="D565"/>
      <c r="E565"/>
      <c r="F565"/>
      <c r="G565"/>
      <c r="J565"/>
      <c r="K565" s="20"/>
    </row>
    <row r="566" spans="1:11" x14ac:dyDescent="0.25">
      <c r="A566"/>
      <c r="B566"/>
      <c r="C566"/>
      <c r="D566"/>
      <c r="E566"/>
      <c r="F566"/>
      <c r="G566"/>
      <c r="J566"/>
      <c r="K566" s="20"/>
    </row>
    <row r="567" spans="1:11" x14ac:dyDescent="0.25">
      <c r="A567"/>
      <c r="B567"/>
      <c r="C567"/>
      <c r="D567"/>
      <c r="E567"/>
      <c r="F567"/>
      <c r="G567"/>
      <c r="J567"/>
      <c r="K567" s="20"/>
    </row>
    <row r="568" spans="1:11" x14ac:dyDescent="0.25">
      <c r="A568"/>
      <c r="B568"/>
      <c r="C568"/>
      <c r="D568"/>
      <c r="E568"/>
      <c r="F568"/>
      <c r="G568"/>
      <c r="J568"/>
      <c r="K568" s="20"/>
    </row>
    <row r="569" spans="1:11" x14ac:dyDescent="0.25">
      <c r="A569"/>
      <c r="B569"/>
      <c r="C569"/>
      <c r="D569"/>
      <c r="E569"/>
      <c r="F569"/>
      <c r="G569"/>
      <c r="J569"/>
      <c r="K569" s="20"/>
    </row>
    <row r="570" spans="1:11" x14ac:dyDescent="0.25">
      <c r="A570"/>
      <c r="B570"/>
      <c r="C570"/>
      <c r="D570"/>
      <c r="E570"/>
      <c r="F570"/>
      <c r="G570"/>
      <c r="J570"/>
      <c r="K570" s="20"/>
    </row>
    <row r="571" spans="1:11" x14ac:dyDescent="0.25">
      <c r="A571"/>
      <c r="B571"/>
      <c r="C571"/>
      <c r="D571"/>
      <c r="E571"/>
      <c r="F571"/>
      <c r="G571"/>
      <c r="J571"/>
      <c r="K571" s="20"/>
    </row>
    <row r="572" spans="1:11" x14ac:dyDescent="0.25">
      <c r="A572"/>
      <c r="B572"/>
      <c r="C572"/>
      <c r="D572"/>
      <c r="E572"/>
      <c r="F572"/>
      <c r="G572"/>
      <c r="J572"/>
      <c r="K572" s="20"/>
    </row>
    <row r="573" spans="1:11" x14ac:dyDescent="0.25">
      <c r="A573"/>
      <c r="B573"/>
      <c r="C573"/>
      <c r="D573"/>
      <c r="E573"/>
      <c r="F573"/>
      <c r="G573"/>
      <c r="J573"/>
      <c r="K573" s="20"/>
    </row>
    <row r="574" spans="1:11" x14ac:dyDescent="0.25">
      <c r="A574"/>
      <c r="B574"/>
      <c r="C574"/>
      <c r="D574"/>
      <c r="E574"/>
      <c r="F574"/>
      <c r="G574"/>
      <c r="J574"/>
      <c r="K574" s="20"/>
    </row>
    <row r="575" spans="1:11" x14ac:dyDescent="0.25">
      <c r="A575"/>
      <c r="B575"/>
      <c r="C575"/>
      <c r="D575"/>
      <c r="E575"/>
      <c r="F575"/>
      <c r="G575"/>
      <c r="J575"/>
      <c r="K575" s="20"/>
    </row>
    <row r="576" spans="1:11" x14ac:dyDescent="0.25">
      <c r="A576"/>
      <c r="B576"/>
      <c r="C576"/>
      <c r="D576"/>
      <c r="E576"/>
      <c r="F576"/>
      <c r="G576"/>
      <c r="J576"/>
      <c r="K576" s="20"/>
    </row>
    <row r="577" spans="1:11" x14ac:dyDescent="0.25">
      <c r="A577"/>
      <c r="B577"/>
      <c r="C577"/>
      <c r="D577"/>
      <c r="E577"/>
      <c r="F577"/>
      <c r="G577"/>
      <c r="J577"/>
      <c r="K577" s="20"/>
    </row>
    <row r="578" spans="1:11" x14ac:dyDescent="0.25">
      <c r="A578"/>
      <c r="B578"/>
      <c r="C578"/>
      <c r="D578"/>
      <c r="E578"/>
      <c r="F578"/>
      <c r="G578"/>
      <c r="J578"/>
      <c r="K578" s="20"/>
    </row>
    <row r="579" spans="1:11" x14ac:dyDescent="0.25">
      <c r="A579"/>
      <c r="B579"/>
      <c r="C579"/>
      <c r="D579"/>
      <c r="E579"/>
      <c r="F579"/>
      <c r="G579"/>
      <c r="J579"/>
      <c r="K579" s="20"/>
    </row>
    <row r="580" spans="1:11" x14ac:dyDescent="0.25">
      <c r="A580"/>
      <c r="B580"/>
      <c r="C580"/>
      <c r="D580"/>
      <c r="E580"/>
      <c r="F580"/>
      <c r="G580"/>
      <c r="J580"/>
      <c r="K580" s="20"/>
    </row>
    <row r="581" spans="1:11" x14ac:dyDescent="0.25">
      <c r="A581"/>
      <c r="B581"/>
      <c r="C581"/>
      <c r="D581"/>
      <c r="E581"/>
      <c r="F581"/>
      <c r="G581"/>
      <c r="J581"/>
      <c r="K581" s="20"/>
    </row>
    <row r="582" spans="1:11" x14ac:dyDescent="0.25">
      <c r="A582"/>
      <c r="B582"/>
      <c r="C582"/>
      <c r="D582"/>
      <c r="E582"/>
      <c r="F582"/>
      <c r="G582"/>
      <c r="J582"/>
      <c r="K582" s="20"/>
    </row>
    <row r="583" spans="1:11" x14ac:dyDescent="0.25">
      <c r="A583"/>
      <c r="B583"/>
      <c r="C583"/>
      <c r="D583"/>
      <c r="E583"/>
      <c r="F583"/>
      <c r="G583"/>
      <c r="J583"/>
      <c r="K583" s="20"/>
    </row>
    <row r="584" spans="1:11" x14ac:dyDescent="0.25">
      <c r="A584"/>
      <c r="B584"/>
      <c r="C584"/>
      <c r="D584"/>
      <c r="E584"/>
      <c r="F584"/>
      <c r="G584"/>
      <c r="J584"/>
      <c r="K584" s="20"/>
    </row>
    <row r="585" spans="1:11" x14ac:dyDescent="0.25">
      <c r="A585"/>
      <c r="B585"/>
      <c r="C585"/>
      <c r="D585"/>
      <c r="E585"/>
      <c r="F585"/>
      <c r="G585"/>
      <c r="J585"/>
      <c r="K585" s="20"/>
    </row>
    <row r="586" spans="1:11" x14ac:dyDescent="0.25">
      <c r="A586"/>
      <c r="B586"/>
      <c r="C586"/>
      <c r="D586"/>
      <c r="E586"/>
      <c r="F586"/>
      <c r="G586"/>
      <c r="J586"/>
      <c r="K586" s="20"/>
    </row>
    <row r="587" spans="1:11" x14ac:dyDescent="0.25">
      <c r="A587"/>
      <c r="B587"/>
      <c r="C587"/>
      <c r="D587"/>
      <c r="E587"/>
      <c r="F587"/>
      <c r="G587"/>
      <c r="J587"/>
      <c r="K587" s="20"/>
    </row>
    <row r="588" spans="1:11" x14ac:dyDescent="0.25">
      <c r="A588"/>
      <c r="B588"/>
      <c r="C588"/>
      <c r="D588"/>
      <c r="E588"/>
      <c r="F588"/>
      <c r="G588"/>
      <c r="J588"/>
      <c r="K588" s="20"/>
    </row>
    <row r="589" spans="1:11" x14ac:dyDescent="0.25">
      <c r="A589"/>
      <c r="B589"/>
      <c r="C589"/>
      <c r="D589"/>
      <c r="E589"/>
      <c r="F589"/>
      <c r="G589"/>
      <c r="J589"/>
      <c r="K589" s="20"/>
    </row>
    <row r="590" spans="1:11" x14ac:dyDescent="0.25">
      <c r="A590"/>
      <c r="B590"/>
      <c r="C590"/>
      <c r="D590"/>
      <c r="E590"/>
      <c r="F590"/>
      <c r="G590"/>
      <c r="J590"/>
      <c r="K590" s="20"/>
    </row>
    <row r="591" spans="1:11" x14ac:dyDescent="0.25">
      <c r="A591"/>
      <c r="B591"/>
      <c r="C591"/>
      <c r="D591"/>
      <c r="E591"/>
      <c r="F591"/>
      <c r="G591"/>
      <c r="J591"/>
      <c r="K591" s="20"/>
    </row>
    <row r="592" spans="1:11" x14ac:dyDescent="0.25">
      <c r="A592"/>
      <c r="B592"/>
      <c r="C592"/>
      <c r="D592"/>
      <c r="E592"/>
      <c r="F592"/>
      <c r="G592"/>
      <c r="J592"/>
      <c r="K592" s="20"/>
    </row>
    <row r="593" spans="1:11" x14ac:dyDescent="0.25">
      <c r="A593"/>
      <c r="B593"/>
      <c r="C593"/>
      <c r="D593"/>
      <c r="E593"/>
      <c r="F593"/>
      <c r="G593"/>
      <c r="J593"/>
      <c r="K593" s="20"/>
    </row>
    <row r="594" spans="1:11" x14ac:dyDescent="0.25">
      <c r="A594"/>
      <c r="B594"/>
      <c r="C594"/>
      <c r="D594"/>
      <c r="E594"/>
      <c r="F594"/>
      <c r="G594"/>
      <c r="J594"/>
      <c r="K594" s="20"/>
    </row>
    <row r="595" spans="1:11" x14ac:dyDescent="0.25">
      <c r="A595"/>
      <c r="B595"/>
      <c r="C595"/>
      <c r="D595"/>
      <c r="E595"/>
      <c r="F595"/>
      <c r="G595"/>
      <c r="J595"/>
      <c r="K595" s="20"/>
    </row>
    <row r="596" spans="1:11" x14ac:dyDescent="0.25">
      <c r="A596"/>
      <c r="B596"/>
      <c r="C596"/>
      <c r="D596"/>
      <c r="E596"/>
      <c r="F596"/>
      <c r="G596"/>
      <c r="J596"/>
      <c r="K596" s="20"/>
    </row>
    <row r="597" spans="1:11" x14ac:dyDescent="0.25">
      <c r="A597"/>
      <c r="B597"/>
      <c r="C597"/>
      <c r="D597"/>
      <c r="E597"/>
      <c r="F597"/>
      <c r="G597"/>
      <c r="J597"/>
      <c r="K597" s="20"/>
    </row>
    <row r="598" spans="1:11" x14ac:dyDescent="0.25">
      <c r="A598"/>
      <c r="B598"/>
      <c r="C598"/>
      <c r="D598"/>
      <c r="E598"/>
      <c r="F598"/>
      <c r="G598"/>
      <c r="J598"/>
      <c r="K598" s="20"/>
    </row>
    <row r="599" spans="1:11" x14ac:dyDescent="0.25">
      <c r="A599"/>
      <c r="B599"/>
      <c r="C599"/>
      <c r="D599"/>
      <c r="E599"/>
      <c r="F599"/>
      <c r="G599"/>
      <c r="J599"/>
      <c r="K599" s="20"/>
    </row>
    <row r="600" spans="1:11" x14ac:dyDescent="0.25">
      <c r="A600"/>
      <c r="B600"/>
      <c r="C600"/>
      <c r="D600"/>
      <c r="E600"/>
      <c r="F600"/>
      <c r="G600"/>
      <c r="J600"/>
      <c r="K600" s="20"/>
    </row>
    <row r="601" spans="1:11" x14ac:dyDescent="0.25">
      <c r="A601"/>
      <c r="B601"/>
      <c r="C601"/>
      <c r="D601"/>
      <c r="E601"/>
      <c r="F601"/>
      <c r="G601"/>
      <c r="J601"/>
      <c r="K601" s="20"/>
    </row>
    <row r="602" spans="1:11" x14ac:dyDescent="0.25">
      <c r="A602"/>
      <c r="B602"/>
      <c r="C602"/>
      <c r="D602"/>
      <c r="E602"/>
      <c r="F602"/>
      <c r="G602"/>
      <c r="J602"/>
      <c r="K602" s="20"/>
    </row>
    <row r="603" spans="1:11" x14ac:dyDescent="0.25">
      <c r="A603"/>
      <c r="B603"/>
      <c r="C603"/>
      <c r="D603"/>
      <c r="E603"/>
      <c r="F603"/>
      <c r="G603"/>
      <c r="J603"/>
      <c r="K603" s="20"/>
    </row>
    <row r="604" spans="1:11" x14ac:dyDescent="0.25">
      <c r="A604"/>
      <c r="B604"/>
      <c r="C604"/>
      <c r="D604"/>
      <c r="E604"/>
      <c r="F604"/>
      <c r="G604"/>
      <c r="J604"/>
      <c r="K604" s="20"/>
    </row>
    <row r="605" spans="1:11" x14ac:dyDescent="0.25">
      <c r="A605"/>
      <c r="B605"/>
      <c r="C605"/>
      <c r="D605"/>
      <c r="E605"/>
      <c r="F605"/>
      <c r="G605"/>
      <c r="J605"/>
      <c r="K605" s="20"/>
    </row>
    <row r="606" spans="1:11" x14ac:dyDescent="0.25">
      <c r="A606"/>
      <c r="B606"/>
      <c r="C606"/>
      <c r="D606"/>
      <c r="E606"/>
      <c r="F606"/>
      <c r="G606"/>
      <c r="J606"/>
      <c r="K606" s="20"/>
    </row>
    <row r="607" spans="1:11" x14ac:dyDescent="0.25">
      <c r="A607"/>
      <c r="B607"/>
      <c r="C607"/>
      <c r="D607"/>
      <c r="E607"/>
      <c r="F607"/>
      <c r="G607"/>
      <c r="J607"/>
      <c r="K607" s="20"/>
    </row>
    <row r="608" spans="1:11" x14ac:dyDescent="0.25">
      <c r="A608"/>
      <c r="B608"/>
      <c r="C608"/>
      <c r="D608"/>
      <c r="E608"/>
      <c r="F608"/>
      <c r="G608"/>
      <c r="J608"/>
      <c r="K608" s="20"/>
    </row>
    <row r="609" spans="1:11" x14ac:dyDescent="0.25">
      <c r="A609"/>
      <c r="B609"/>
      <c r="C609"/>
      <c r="D609"/>
      <c r="E609"/>
      <c r="F609"/>
      <c r="G609"/>
      <c r="J609"/>
      <c r="K609" s="20"/>
    </row>
    <row r="610" spans="1:11" x14ac:dyDescent="0.25">
      <c r="A610"/>
      <c r="B610"/>
      <c r="C610"/>
      <c r="D610"/>
      <c r="E610"/>
      <c r="F610"/>
      <c r="G610"/>
      <c r="J610"/>
      <c r="K610" s="20"/>
    </row>
    <row r="611" spans="1:11" x14ac:dyDescent="0.25">
      <c r="A611"/>
      <c r="B611"/>
      <c r="C611"/>
      <c r="D611"/>
      <c r="E611"/>
      <c r="F611"/>
      <c r="G611"/>
      <c r="J611"/>
      <c r="K611" s="20"/>
    </row>
    <row r="612" spans="1:11" x14ac:dyDescent="0.25">
      <c r="A612"/>
      <c r="B612"/>
      <c r="C612"/>
      <c r="D612"/>
      <c r="E612"/>
      <c r="F612"/>
      <c r="G612"/>
      <c r="J612"/>
      <c r="K612" s="20"/>
    </row>
    <row r="613" spans="1:11" x14ac:dyDescent="0.25">
      <c r="A613"/>
      <c r="B613"/>
      <c r="C613"/>
      <c r="D613"/>
      <c r="E613"/>
      <c r="F613"/>
      <c r="G613"/>
      <c r="J613"/>
      <c r="K613" s="20"/>
    </row>
    <row r="614" spans="1:11" x14ac:dyDescent="0.25">
      <c r="A614"/>
      <c r="B614"/>
      <c r="C614"/>
      <c r="D614"/>
      <c r="E614"/>
      <c r="F614"/>
      <c r="G614"/>
      <c r="J614"/>
      <c r="K614" s="20"/>
    </row>
    <row r="615" spans="1:11" x14ac:dyDescent="0.25">
      <c r="A615"/>
      <c r="B615"/>
      <c r="C615"/>
      <c r="D615"/>
      <c r="E615"/>
      <c r="F615"/>
      <c r="G615"/>
      <c r="J615"/>
      <c r="K615" s="20"/>
    </row>
    <row r="616" spans="1:11" x14ac:dyDescent="0.25">
      <c r="A616"/>
      <c r="B616"/>
      <c r="C616"/>
      <c r="D616"/>
      <c r="E616"/>
      <c r="F616"/>
      <c r="G616"/>
      <c r="J616"/>
      <c r="K616" s="20"/>
    </row>
    <row r="617" spans="1:11" x14ac:dyDescent="0.25">
      <c r="A617"/>
      <c r="B617"/>
      <c r="C617"/>
      <c r="D617"/>
      <c r="E617"/>
      <c r="F617"/>
      <c r="G617"/>
      <c r="J617"/>
      <c r="K617" s="20"/>
    </row>
    <row r="618" spans="1:11" x14ac:dyDescent="0.25">
      <c r="A618"/>
      <c r="B618"/>
      <c r="C618"/>
      <c r="D618"/>
      <c r="E618"/>
      <c r="F618"/>
      <c r="G618"/>
      <c r="J618"/>
      <c r="K618" s="20"/>
    </row>
    <row r="619" spans="1:11" x14ac:dyDescent="0.25">
      <c r="A619"/>
      <c r="B619"/>
      <c r="C619"/>
      <c r="D619"/>
      <c r="E619"/>
      <c r="F619"/>
      <c r="G619"/>
      <c r="J619"/>
      <c r="K619" s="20"/>
    </row>
    <row r="620" spans="1:11" x14ac:dyDescent="0.25">
      <c r="A620"/>
      <c r="B620"/>
      <c r="C620"/>
      <c r="D620"/>
      <c r="E620"/>
      <c r="F620"/>
      <c r="G620"/>
      <c r="J620"/>
      <c r="K620" s="20"/>
    </row>
    <row r="621" spans="1:11" x14ac:dyDescent="0.25">
      <c r="A621"/>
      <c r="B621"/>
      <c r="C621"/>
      <c r="D621"/>
      <c r="E621"/>
      <c r="F621"/>
      <c r="G621"/>
      <c r="J621"/>
      <c r="K621" s="20"/>
    </row>
    <row r="622" spans="1:11" x14ac:dyDescent="0.25">
      <c r="A622"/>
      <c r="B622"/>
      <c r="C622"/>
      <c r="D622"/>
      <c r="E622"/>
      <c r="F622"/>
      <c r="G622"/>
      <c r="J622"/>
      <c r="K622" s="20"/>
    </row>
    <row r="623" spans="1:11" x14ac:dyDescent="0.25">
      <c r="A623"/>
      <c r="B623"/>
      <c r="C623"/>
      <c r="D623"/>
      <c r="E623"/>
      <c r="F623"/>
      <c r="G623"/>
      <c r="J623"/>
      <c r="K623" s="20"/>
    </row>
    <row r="624" spans="1:11" x14ac:dyDescent="0.25">
      <c r="A624"/>
      <c r="B624"/>
      <c r="C624"/>
      <c r="D624"/>
      <c r="E624"/>
      <c r="F624"/>
      <c r="G624"/>
      <c r="J624"/>
      <c r="K624" s="20"/>
    </row>
    <row r="625" spans="1:11" x14ac:dyDescent="0.25">
      <c r="A625"/>
      <c r="B625"/>
      <c r="C625"/>
      <c r="D625"/>
      <c r="E625"/>
      <c r="F625"/>
      <c r="G625"/>
      <c r="J625"/>
      <c r="K625" s="20"/>
    </row>
    <row r="626" spans="1:11" x14ac:dyDescent="0.25">
      <c r="A626"/>
      <c r="B626"/>
      <c r="C626"/>
      <c r="D626"/>
      <c r="E626"/>
      <c r="F626"/>
      <c r="G626"/>
      <c r="J626"/>
      <c r="K626" s="20"/>
    </row>
    <row r="627" spans="1:11" x14ac:dyDescent="0.25">
      <c r="A627"/>
      <c r="B627"/>
      <c r="C627"/>
      <c r="D627"/>
      <c r="E627"/>
      <c r="F627"/>
      <c r="G627"/>
      <c r="J627"/>
      <c r="K627" s="20"/>
    </row>
    <row r="628" spans="1:11" x14ac:dyDescent="0.25">
      <c r="A628"/>
      <c r="B628"/>
      <c r="C628"/>
      <c r="D628"/>
      <c r="E628"/>
      <c r="F628"/>
      <c r="G628"/>
      <c r="J628"/>
      <c r="K628" s="20"/>
    </row>
    <row r="629" spans="1:11" x14ac:dyDescent="0.25">
      <c r="A629"/>
      <c r="B629"/>
      <c r="C629"/>
      <c r="D629"/>
      <c r="E629"/>
      <c r="F629"/>
      <c r="G629"/>
      <c r="J629"/>
      <c r="K629" s="20"/>
    </row>
    <row r="630" spans="1:11" x14ac:dyDescent="0.25">
      <c r="A630"/>
      <c r="B630"/>
      <c r="C630"/>
      <c r="D630"/>
      <c r="E630"/>
      <c r="F630"/>
      <c r="G630"/>
      <c r="J630"/>
      <c r="K630" s="20"/>
    </row>
    <row r="631" spans="1:11" x14ac:dyDescent="0.25">
      <c r="A631"/>
      <c r="B631"/>
      <c r="C631"/>
      <c r="D631"/>
      <c r="E631"/>
      <c r="F631"/>
      <c r="G631"/>
      <c r="J631"/>
      <c r="K631" s="20"/>
    </row>
    <row r="632" spans="1:11" x14ac:dyDescent="0.25">
      <c r="A632"/>
      <c r="B632"/>
      <c r="C632"/>
      <c r="D632"/>
      <c r="E632"/>
      <c r="F632"/>
      <c r="G632"/>
      <c r="J632"/>
      <c r="K632" s="20"/>
    </row>
    <row r="633" spans="1:11" x14ac:dyDescent="0.25">
      <c r="A633"/>
      <c r="B633"/>
      <c r="C633"/>
      <c r="D633"/>
      <c r="E633"/>
      <c r="F633"/>
      <c r="G633"/>
      <c r="J633"/>
      <c r="K633" s="20"/>
    </row>
    <row r="634" spans="1:11" x14ac:dyDescent="0.25">
      <c r="A634"/>
      <c r="B634"/>
      <c r="C634"/>
      <c r="D634"/>
      <c r="E634"/>
      <c r="F634"/>
      <c r="G634"/>
      <c r="J634"/>
      <c r="K634" s="20"/>
    </row>
    <row r="635" spans="1:11" x14ac:dyDescent="0.25">
      <c r="A635"/>
      <c r="B635"/>
      <c r="C635"/>
      <c r="D635"/>
      <c r="E635"/>
      <c r="F635"/>
      <c r="G635"/>
      <c r="J635"/>
      <c r="K635" s="20"/>
    </row>
    <row r="636" spans="1:11" x14ac:dyDescent="0.25">
      <c r="A636"/>
      <c r="B636"/>
      <c r="C636"/>
      <c r="D636"/>
      <c r="E636"/>
      <c r="F636"/>
      <c r="G636"/>
      <c r="J636"/>
      <c r="K636" s="20"/>
    </row>
    <row r="637" spans="1:11" x14ac:dyDescent="0.25">
      <c r="A637"/>
      <c r="B637"/>
      <c r="C637"/>
      <c r="D637"/>
      <c r="E637"/>
      <c r="F637"/>
      <c r="G637"/>
      <c r="J637"/>
      <c r="K637" s="20"/>
    </row>
    <row r="638" spans="1:11" x14ac:dyDescent="0.25">
      <c r="A638"/>
      <c r="B638"/>
      <c r="C638"/>
      <c r="D638"/>
      <c r="E638"/>
      <c r="F638"/>
      <c r="G638"/>
      <c r="J638"/>
      <c r="K638" s="20"/>
    </row>
    <row r="639" spans="1:11" x14ac:dyDescent="0.25">
      <c r="A639"/>
      <c r="B639"/>
      <c r="C639"/>
      <c r="D639"/>
      <c r="E639"/>
      <c r="F639"/>
      <c r="G639"/>
      <c r="J639"/>
      <c r="K639" s="20"/>
    </row>
    <row r="640" spans="1:11" x14ac:dyDescent="0.25">
      <c r="A640"/>
      <c r="B640"/>
      <c r="C640"/>
      <c r="D640"/>
      <c r="E640"/>
      <c r="F640"/>
      <c r="G640"/>
      <c r="J640"/>
      <c r="K640" s="20"/>
    </row>
    <row r="641" spans="1:11" x14ac:dyDescent="0.25">
      <c r="A641"/>
      <c r="B641"/>
      <c r="C641"/>
      <c r="D641"/>
      <c r="E641"/>
      <c r="F641"/>
      <c r="G641"/>
      <c r="J641"/>
      <c r="K641" s="20"/>
    </row>
    <row r="642" spans="1:11" x14ac:dyDescent="0.25">
      <c r="A642"/>
      <c r="B642"/>
      <c r="C642"/>
      <c r="D642"/>
      <c r="E642"/>
      <c r="F642"/>
      <c r="G642"/>
      <c r="J642"/>
      <c r="K642" s="20"/>
    </row>
    <row r="643" spans="1:11" x14ac:dyDescent="0.25">
      <c r="A643"/>
      <c r="B643"/>
      <c r="C643"/>
      <c r="D643"/>
      <c r="E643"/>
      <c r="F643"/>
      <c r="G643"/>
      <c r="J643"/>
      <c r="K643" s="20"/>
    </row>
    <row r="644" spans="1:11" x14ac:dyDescent="0.25">
      <c r="A644"/>
      <c r="B644"/>
      <c r="C644"/>
      <c r="D644"/>
      <c r="E644"/>
      <c r="F644"/>
      <c r="G644"/>
      <c r="J644"/>
      <c r="K644" s="20"/>
    </row>
    <row r="645" spans="1:11" x14ac:dyDescent="0.25">
      <c r="A645"/>
      <c r="B645"/>
      <c r="C645"/>
      <c r="D645"/>
      <c r="E645"/>
      <c r="F645"/>
      <c r="G645"/>
      <c r="J645"/>
      <c r="K645" s="20"/>
    </row>
    <row r="646" spans="1:11" x14ac:dyDescent="0.25">
      <c r="A646"/>
      <c r="B646"/>
      <c r="C646"/>
      <c r="D646"/>
      <c r="E646"/>
      <c r="F646"/>
      <c r="G646"/>
      <c r="J646"/>
      <c r="K646" s="20"/>
    </row>
    <row r="647" spans="1:11" x14ac:dyDescent="0.25">
      <c r="A647"/>
      <c r="B647"/>
      <c r="C647"/>
      <c r="D647"/>
      <c r="E647"/>
      <c r="F647"/>
      <c r="G647"/>
      <c r="J647"/>
      <c r="K647" s="20"/>
    </row>
    <row r="648" spans="1:11" x14ac:dyDescent="0.25">
      <c r="A648"/>
      <c r="B648"/>
      <c r="C648"/>
      <c r="D648"/>
      <c r="E648"/>
      <c r="F648"/>
      <c r="G648"/>
      <c r="J648"/>
      <c r="K648" s="20"/>
    </row>
    <row r="649" spans="1:11" x14ac:dyDescent="0.25">
      <c r="A649"/>
      <c r="B649"/>
      <c r="C649"/>
      <c r="D649"/>
      <c r="E649"/>
      <c r="F649"/>
      <c r="G649"/>
      <c r="J649"/>
      <c r="K649" s="20"/>
    </row>
    <row r="650" spans="1:11" x14ac:dyDescent="0.25">
      <c r="A650"/>
      <c r="B650"/>
      <c r="C650"/>
      <c r="D650"/>
      <c r="E650"/>
      <c r="F650"/>
      <c r="G650"/>
      <c r="J650"/>
      <c r="K650" s="20"/>
    </row>
    <row r="651" spans="1:11" x14ac:dyDescent="0.25">
      <c r="A651"/>
      <c r="B651"/>
      <c r="C651"/>
      <c r="D651"/>
      <c r="E651"/>
      <c r="F651"/>
      <c r="G651"/>
      <c r="J651"/>
      <c r="K651" s="20"/>
    </row>
    <row r="652" spans="1:11" x14ac:dyDescent="0.25">
      <c r="A652"/>
      <c r="B652"/>
      <c r="C652"/>
      <c r="D652"/>
      <c r="E652"/>
      <c r="F652"/>
      <c r="G652"/>
      <c r="J652"/>
      <c r="K652" s="20"/>
    </row>
    <row r="653" spans="1:11" x14ac:dyDescent="0.25">
      <c r="A653"/>
      <c r="B653"/>
      <c r="C653"/>
      <c r="D653"/>
      <c r="E653"/>
      <c r="F653"/>
      <c r="G653"/>
      <c r="J653"/>
      <c r="K653" s="20"/>
    </row>
    <row r="654" spans="1:11" x14ac:dyDescent="0.25">
      <c r="A654"/>
      <c r="B654"/>
      <c r="C654"/>
      <c r="D654"/>
      <c r="E654"/>
      <c r="F654"/>
      <c r="G654"/>
      <c r="J654"/>
      <c r="K654" s="20"/>
    </row>
    <row r="655" spans="1:11" x14ac:dyDescent="0.25">
      <c r="A655"/>
      <c r="B655"/>
      <c r="C655"/>
      <c r="D655"/>
      <c r="E655"/>
      <c r="F655"/>
      <c r="G655"/>
      <c r="J655"/>
      <c r="K655" s="20"/>
    </row>
    <row r="656" spans="1:11" x14ac:dyDescent="0.25">
      <c r="A656"/>
      <c r="B656"/>
      <c r="C656"/>
      <c r="D656"/>
      <c r="E656"/>
      <c r="F656"/>
      <c r="G656"/>
      <c r="J656"/>
      <c r="K656" s="20"/>
    </row>
    <row r="657" spans="1:11" x14ac:dyDescent="0.25">
      <c r="A657"/>
      <c r="B657"/>
      <c r="C657"/>
      <c r="D657"/>
      <c r="E657"/>
      <c r="F657"/>
      <c r="G657"/>
      <c r="J657"/>
      <c r="K657" s="20"/>
    </row>
    <row r="658" spans="1:11" x14ac:dyDescent="0.25">
      <c r="A658"/>
      <c r="B658"/>
      <c r="C658"/>
      <c r="D658"/>
      <c r="E658"/>
      <c r="F658"/>
      <c r="G658"/>
      <c r="J658"/>
      <c r="K658" s="20"/>
    </row>
    <row r="659" spans="1:11" x14ac:dyDescent="0.25">
      <c r="A659"/>
      <c r="B659"/>
      <c r="C659"/>
      <c r="D659"/>
      <c r="E659"/>
      <c r="F659"/>
      <c r="G659"/>
      <c r="J659"/>
      <c r="K659" s="20"/>
    </row>
    <row r="660" spans="1:11" x14ac:dyDescent="0.25">
      <c r="A660"/>
      <c r="B660"/>
      <c r="C660"/>
      <c r="D660"/>
      <c r="E660"/>
      <c r="F660"/>
      <c r="G660"/>
      <c r="J660"/>
      <c r="K660" s="20"/>
    </row>
    <row r="661" spans="1:11" x14ac:dyDescent="0.25">
      <c r="A661"/>
      <c r="B661"/>
      <c r="C661"/>
      <c r="D661"/>
      <c r="E661"/>
      <c r="F661"/>
      <c r="G661"/>
      <c r="J661"/>
      <c r="K661" s="20"/>
    </row>
    <row r="662" spans="1:11" x14ac:dyDescent="0.25">
      <c r="A662"/>
      <c r="B662"/>
      <c r="C662"/>
      <c r="D662"/>
      <c r="E662"/>
      <c r="F662"/>
      <c r="G662"/>
      <c r="J662"/>
      <c r="K662" s="20"/>
    </row>
    <row r="663" spans="1:11" x14ac:dyDescent="0.25">
      <c r="A663"/>
      <c r="B663"/>
      <c r="C663"/>
      <c r="D663"/>
      <c r="E663"/>
      <c r="F663"/>
      <c r="G663"/>
      <c r="J663"/>
      <c r="K663" s="20"/>
    </row>
    <row r="664" spans="1:11" x14ac:dyDescent="0.25">
      <c r="A664"/>
      <c r="B664"/>
      <c r="C664"/>
      <c r="D664"/>
      <c r="E664"/>
      <c r="F664"/>
      <c r="G664"/>
      <c r="J664"/>
      <c r="K664" s="20"/>
    </row>
    <row r="665" spans="1:11" x14ac:dyDescent="0.25">
      <c r="A665"/>
      <c r="B665"/>
      <c r="C665"/>
      <c r="D665"/>
      <c r="E665"/>
      <c r="F665"/>
      <c r="G665"/>
      <c r="J665"/>
      <c r="K665" s="20"/>
    </row>
    <row r="666" spans="1:11" x14ac:dyDescent="0.25">
      <c r="A666"/>
      <c r="B666"/>
      <c r="C666"/>
      <c r="D666"/>
      <c r="E666"/>
      <c r="F666"/>
      <c r="G666"/>
      <c r="J666"/>
      <c r="K666" s="20"/>
    </row>
    <row r="667" spans="1:11" x14ac:dyDescent="0.25">
      <c r="A667"/>
      <c r="B667"/>
      <c r="C667"/>
      <c r="D667"/>
      <c r="E667"/>
      <c r="F667"/>
      <c r="G667"/>
      <c r="J667"/>
      <c r="K667" s="20"/>
    </row>
    <row r="668" spans="1:11" x14ac:dyDescent="0.25">
      <c r="A668"/>
      <c r="B668"/>
      <c r="C668"/>
      <c r="D668"/>
      <c r="E668"/>
      <c r="F668"/>
      <c r="G668"/>
      <c r="J668"/>
      <c r="K668" s="20"/>
    </row>
    <row r="669" spans="1:11" x14ac:dyDescent="0.25">
      <c r="A669"/>
      <c r="B669"/>
      <c r="C669"/>
      <c r="D669"/>
      <c r="E669"/>
      <c r="F669"/>
      <c r="G669"/>
      <c r="J669"/>
      <c r="K669" s="20"/>
    </row>
    <row r="670" spans="1:11" x14ac:dyDescent="0.25">
      <c r="A670"/>
      <c r="B670"/>
      <c r="C670"/>
      <c r="D670"/>
      <c r="E670"/>
      <c r="F670"/>
      <c r="G670"/>
      <c r="J670"/>
      <c r="K670" s="20"/>
    </row>
    <row r="671" spans="1:11" x14ac:dyDescent="0.25">
      <c r="A671"/>
      <c r="B671"/>
      <c r="C671"/>
      <c r="D671"/>
      <c r="E671"/>
      <c r="F671"/>
      <c r="G671"/>
      <c r="J671"/>
      <c r="K671" s="20"/>
    </row>
    <row r="672" spans="1:11" x14ac:dyDescent="0.25">
      <c r="A672"/>
      <c r="B672"/>
      <c r="C672"/>
      <c r="D672"/>
      <c r="E672"/>
      <c r="F672"/>
      <c r="G672"/>
      <c r="J672"/>
      <c r="K672" s="20"/>
    </row>
    <row r="673" spans="1:11" x14ac:dyDescent="0.25">
      <c r="A673"/>
      <c r="B673"/>
      <c r="C673"/>
      <c r="D673"/>
      <c r="E673"/>
      <c r="F673"/>
      <c r="G673"/>
      <c r="J673"/>
      <c r="K673" s="20"/>
    </row>
    <row r="674" spans="1:11" x14ac:dyDescent="0.25">
      <c r="A674"/>
      <c r="B674"/>
      <c r="C674"/>
      <c r="D674"/>
      <c r="E674"/>
      <c r="F674"/>
      <c r="G674"/>
      <c r="J674"/>
      <c r="K674" s="20"/>
    </row>
    <row r="675" spans="1:11" x14ac:dyDescent="0.25">
      <c r="A675"/>
      <c r="B675"/>
      <c r="C675"/>
      <c r="D675"/>
      <c r="E675"/>
      <c r="F675"/>
      <c r="G675"/>
      <c r="J675"/>
      <c r="K675" s="20"/>
    </row>
    <row r="676" spans="1:11" x14ac:dyDescent="0.25">
      <c r="A676"/>
      <c r="B676"/>
      <c r="C676"/>
      <c r="D676"/>
      <c r="E676"/>
      <c r="F676"/>
      <c r="G676"/>
      <c r="J676"/>
      <c r="K676" s="20"/>
    </row>
    <row r="677" spans="1:11" x14ac:dyDescent="0.25">
      <c r="A677"/>
      <c r="B677"/>
      <c r="C677"/>
      <c r="D677"/>
      <c r="E677"/>
      <c r="F677"/>
      <c r="G677"/>
      <c r="J677"/>
      <c r="K677" s="20"/>
    </row>
    <row r="678" spans="1:11" x14ac:dyDescent="0.25">
      <c r="A678"/>
      <c r="B678"/>
      <c r="C678"/>
      <c r="D678"/>
      <c r="E678"/>
      <c r="F678"/>
      <c r="G678"/>
      <c r="J678"/>
      <c r="K678" s="20"/>
    </row>
    <row r="679" spans="1:11" x14ac:dyDescent="0.25">
      <c r="A679"/>
      <c r="B679"/>
      <c r="C679"/>
      <c r="D679"/>
      <c r="E679"/>
      <c r="F679"/>
      <c r="G679"/>
      <c r="J679"/>
      <c r="K679" s="20"/>
    </row>
    <row r="680" spans="1:11" x14ac:dyDescent="0.25">
      <c r="A680"/>
      <c r="B680"/>
      <c r="C680"/>
      <c r="D680"/>
      <c r="E680"/>
      <c r="F680"/>
      <c r="G680"/>
      <c r="J680"/>
      <c r="K680" s="20"/>
    </row>
    <row r="681" spans="1:11" x14ac:dyDescent="0.25">
      <c r="A681"/>
      <c r="B681"/>
      <c r="C681"/>
      <c r="D681"/>
      <c r="E681"/>
      <c r="F681"/>
      <c r="G681"/>
      <c r="J681"/>
      <c r="K681" s="20"/>
    </row>
    <row r="682" spans="1:11" x14ac:dyDescent="0.25">
      <c r="A682"/>
      <c r="B682"/>
      <c r="C682"/>
      <c r="D682"/>
      <c r="E682"/>
      <c r="F682"/>
      <c r="G682"/>
      <c r="J682"/>
      <c r="K682" s="20"/>
    </row>
    <row r="683" spans="1:11" x14ac:dyDescent="0.25">
      <c r="A683"/>
      <c r="B683"/>
      <c r="C683"/>
      <c r="D683"/>
      <c r="E683"/>
      <c r="F683"/>
      <c r="G683"/>
      <c r="J683"/>
      <c r="K683" s="20"/>
    </row>
    <row r="684" spans="1:11" x14ac:dyDescent="0.25">
      <c r="A684"/>
      <c r="B684"/>
      <c r="C684"/>
      <c r="D684"/>
      <c r="E684"/>
      <c r="F684"/>
      <c r="G684"/>
      <c r="J684"/>
      <c r="K684" s="20"/>
    </row>
    <row r="685" spans="1:11" x14ac:dyDescent="0.25">
      <c r="A685"/>
      <c r="B685"/>
      <c r="C685"/>
      <c r="D685"/>
      <c r="E685"/>
      <c r="F685"/>
      <c r="G685"/>
      <c r="J685"/>
      <c r="K685" s="20"/>
    </row>
    <row r="686" spans="1:11" x14ac:dyDescent="0.25">
      <c r="A686"/>
      <c r="B686"/>
      <c r="C686"/>
      <c r="D686"/>
      <c r="E686"/>
      <c r="F686"/>
      <c r="G686"/>
      <c r="J686"/>
      <c r="K686" s="20"/>
    </row>
    <row r="687" spans="1:11" x14ac:dyDescent="0.25">
      <c r="A687"/>
      <c r="B687"/>
      <c r="C687"/>
      <c r="D687"/>
      <c r="E687"/>
      <c r="F687"/>
      <c r="G687"/>
      <c r="J687"/>
      <c r="K687" s="20"/>
    </row>
    <row r="688" spans="1:11" x14ac:dyDescent="0.25">
      <c r="A688"/>
      <c r="B688"/>
      <c r="C688"/>
      <c r="D688"/>
      <c r="E688"/>
      <c r="F688"/>
      <c r="G688"/>
      <c r="J688"/>
      <c r="K688" s="20"/>
    </row>
    <row r="689" spans="1:11" x14ac:dyDescent="0.25">
      <c r="A689"/>
      <c r="B689"/>
      <c r="C689"/>
      <c r="D689"/>
      <c r="E689"/>
      <c r="F689"/>
      <c r="G689"/>
      <c r="J689"/>
      <c r="K689" s="20"/>
    </row>
    <row r="690" spans="1:11" x14ac:dyDescent="0.25">
      <c r="A690"/>
      <c r="B690"/>
      <c r="C690"/>
      <c r="D690"/>
      <c r="E690"/>
      <c r="F690"/>
      <c r="G690"/>
      <c r="J690"/>
      <c r="K690" s="20"/>
    </row>
    <row r="691" spans="1:11" x14ac:dyDescent="0.25">
      <c r="A691"/>
      <c r="B691"/>
      <c r="C691"/>
      <c r="D691"/>
      <c r="E691"/>
      <c r="F691"/>
      <c r="G691"/>
      <c r="J691"/>
      <c r="K691" s="20"/>
    </row>
    <row r="692" spans="1:11" x14ac:dyDescent="0.25">
      <c r="A692"/>
      <c r="B692"/>
      <c r="C692"/>
      <c r="D692"/>
      <c r="E692"/>
      <c r="F692"/>
      <c r="G692"/>
      <c r="J692"/>
      <c r="K692" s="20"/>
    </row>
    <row r="693" spans="1:11" x14ac:dyDescent="0.25">
      <c r="A693"/>
      <c r="B693"/>
      <c r="C693"/>
      <c r="D693"/>
      <c r="E693"/>
      <c r="F693"/>
      <c r="G693"/>
      <c r="J693"/>
      <c r="K693" s="20"/>
    </row>
    <row r="694" spans="1:11" x14ac:dyDescent="0.25">
      <c r="A694"/>
      <c r="B694"/>
      <c r="C694"/>
      <c r="D694"/>
      <c r="E694"/>
      <c r="F694"/>
      <c r="G694"/>
      <c r="J694"/>
      <c r="K694" s="20"/>
    </row>
    <row r="695" spans="1:11" x14ac:dyDescent="0.25">
      <c r="A695"/>
      <c r="B695"/>
      <c r="C695"/>
      <c r="D695"/>
      <c r="E695"/>
      <c r="F695"/>
      <c r="G695"/>
      <c r="J695"/>
      <c r="K695" s="20"/>
    </row>
    <row r="696" spans="1:11" x14ac:dyDescent="0.25">
      <c r="A696"/>
      <c r="B696"/>
      <c r="C696"/>
      <c r="D696"/>
      <c r="E696"/>
      <c r="F696"/>
      <c r="G696"/>
      <c r="J696"/>
      <c r="K696" s="20"/>
    </row>
    <row r="697" spans="1:11" x14ac:dyDescent="0.25">
      <c r="A697"/>
      <c r="B697"/>
      <c r="C697"/>
      <c r="D697"/>
      <c r="E697"/>
      <c r="F697"/>
      <c r="G697"/>
      <c r="J697"/>
      <c r="K697" s="20"/>
    </row>
    <row r="698" spans="1:11" x14ac:dyDescent="0.25">
      <c r="A698"/>
      <c r="B698"/>
      <c r="C698"/>
      <c r="D698"/>
      <c r="E698"/>
      <c r="F698"/>
      <c r="G698"/>
      <c r="J698"/>
      <c r="K698" s="20"/>
    </row>
    <row r="699" spans="1:11" x14ac:dyDescent="0.25">
      <c r="A699"/>
      <c r="B699"/>
      <c r="C699"/>
      <c r="D699"/>
      <c r="E699"/>
      <c r="F699"/>
      <c r="G699"/>
      <c r="J699"/>
      <c r="K699" s="20"/>
    </row>
    <row r="700" spans="1:11" x14ac:dyDescent="0.25">
      <c r="A700"/>
      <c r="B700"/>
      <c r="C700"/>
      <c r="D700"/>
      <c r="E700"/>
      <c r="F700"/>
      <c r="G700"/>
      <c r="J700"/>
      <c r="K700" s="20"/>
    </row>
    <row r="701" spans="1:11" x14ac:dyDescent="0.25">
      <c r="A701"/>
      <c r="B701"/>
      <c r="C701"/>
      <c r="D701"/>
      <c r="E701"/>
      <c r="F701"/>
      <c r="G701"/>
      <c r="J701"/>
      <c r="K701" s="20"/>
    </row>
    <row r="702" spans="1:11" x14ac:dyDescent="0.25">
      <c r="A702"/>
      <c r="B702"/>
      <c r="C702"/>
      <c r="D702"/>
      <c r="E702"/>
      <c r="F702"/>
      <c r="G702"/>
      <c r="J702"/>
      <c r="K702" s="20"/>
    </row>
    <row r="703" spans="1:11" x14ac:dyDescent="0.25">
      <c r="A703"/>
      <c r="B703"/>
      <c r="C703"/>
      <c r="D703"/>
      <c r="E703"/>
      <c r="F703"/>
      <c r="G703"/>
      <c r="J703"/>
      <c r="K703" s="20"/>
    </row>
    <row r="704" spans="1:11" x14ac:dyDescent="0.25">
      <c r="A704"/>
      <c r="B704"/>
      <c r="C704"/>
      <c r="D704"/>
      <c r="E704"/>
      <c r="F704"/>
      <c r="G704"/>
      <c r="J704"/>
      <c r="K704" s="20"/>
    </row>
    <row r="705" spans="1:11" x14ac:dyDescent="0.25">
      <c r="A705"/>
      <c r="B705"/>
      <c r="C705"/>
      <c r="D705"/>
      <c r="E705"/>
      <c r="F705"/>
      <c r="G705"/>
      <c r="J705"/>
      <c r="K705" s="20"/>
    </row>
    <row r="706" spans="1:11" x14ac:dyDescent="0.25">
      <c r="A706"/>
      <c r="B706"/>
      <c r="C706"/>
      <c r="D706"/>
      <c r="E706"/>
      <c r="F706"/>
      <c r="G706"/>
      <c r="J706"/>
      <c r="K706" s="20"/>
    </row>
    <row r="707" spans="1:11" x14ac:dyDescent="0.25">
      <c r="A707"/>
      <c r="B707"/>
      <c r="C707"/>
      <c r="D707"/>
      <c r="E707"/>
      <c r="F707"/>
      <c r="G707"/>
      <c r="J707"/>
      <c r="K707" s="20"/>
    </row>
    <row r="708" spans="1:11" x14ac:dyDescent="0.25">
      <c r="A708"/>
      <c r="B708"/>
      <c r="C708"/>
      <c r="D708"/>
      <c r="E708"/>
      <c r="F708"/>
      <c r="G708"/>
      <c r="J708"/>
      <c r="K708" s="20"/>
    </row>
    <row r="709" spans="1:11" x14ac:dyDescent="0.25">
      <c r="A709"/>
      <c r="B709"/>
      <c r="C709"/>
      <c r="D709"/>
      <c r="E709"/>
      <c r="F709"/>
      <c r="G709"/>
      <c r="J709"/>
      <c r="K709" s="20"/>
    </row>
    <row r="710" spans="1:11" x14ac:dyDescent="0.25">
      <c r="A710"/>
      <c r="B710"/>
      <c r="C710"/>
      <c r="D710"/>
      <c r="E710"/>
      <c r="F710"/>
      <c r="G710"/>
      <c r="J710"/>
      <c r="K710" s="20"/>
    </row>
    <row r="711" spans="1:11" x14ac:dyDescent="0.25">
      <c r="A711"/>
      <c r="B711"/>
      <c r="C711"/>
      <c r="D711"/>
      <c r="E711"/>
      <c r="F711"/>
      <c r="G711"/>
      <c r="J711"/>
      <c r="K711" s="20"/>
    </row>
    <row r="712" spans="1:11" x14ac:dyDescent="0.25">
      <c r="A712"/>
      <c r="B712"/>
      <c r="C712"/>
      <c r="D712"/>
      <c r="E712"/>
      <c r="F712"/>
      <c r="G712"/>
      <c r="J712"/>
      <c r="K712" s="20"/>
    </row>
    <row r="713" spans="1:11" x14ac:dyDescent="0.25">
      <c r="A713"/>
      <c r="B713"/>
      <c r="C713"/>
      <c r="D713"/>
      <c r="E713"/>
      <c r="F713"/>
      <c r="G713"/>
      <c r="J713"/>
      <c r="K713" s="20"/>
    </row>
    <row r="714" spans="1:11" x14ac:dyDescent="0.25">
      <c r="A714"/>
      <c r="B714"/>
      <c r="C714"/>
      <c r="D714"/>
      <c r="E714"/>
      <c r="F714"/>
      <c r="G714"/>
      <c r="J714"/>
      <c r="K714" s="20"/>
    </row>
    <row r="715" spans="1:11" x14ac:dyDescent="0.25">
      <c r="A715"/>
      <c r="B715"/>
      <c r="C715"/>
      <c r="D715"/>
      <c r="E715"/>
      <c r="F715"/>
      <c r="G715"/>
      <c r="J715"/>
      <c r="K715" s="20"/>
    </row>
    <row r="716" spans="1:11" x14ac:dyDescent="0.25">
      <c r="A716"/>
      <c r="B716"/>
      <c r="C716"/>
      <c r="D716"/>
      <c r="E716"/>
      <c r="F716"/>
      <c r="G716"/>
      <c r="J716"/>
      <c r="K716" s="20"/>
    </row>
    <row r="717" spans="1:11" x14ac:dyDescent="0.25">
      <c r="A717"/>
      <c r="B717"/>
      <c r="C717"/>
      <c r="D717"/>
      <c r="E717"/>
      <c r="F717"/>
      <c r="G717"/>
      <c r="J717"/>
      <c r="K717" s="20"/>
    </row>
    <row r="718" spans="1:11" x14ac:dyDescent="0.25">
      <c r="A718"/>
      <c r="B718"/>
      <c r="C718"/>
      <c r="D718"/>
      <c r="E718"/>
      <c r="F718"/>
      <c r="G718"/>
      <c r="J718"/>
      <c r="K718" s="20"/>
    </row>
    <row r="719" spans="1:11" x14ac:dyDescent="0.25">
      <c r="A719"/>
      <c r="B719"/>
      <c r="C719"/>
      <c r="D719"/>
      <c r="E719"/>
      <c r="F719"/>
      <c r="G719"/>
      <c r="J719"/>
      <c r="K719" s="20"/>
    </row>
    <row r="720" spans="1:11" x14ac:dyDescent="0.25">
      <c r="A720"/>
      <c r="B720"/>
      <c r="C720"/>
      <c r="D720"/>
      <c r="E720"/>
      <c r="F720"/>
      <c r="G720"/>
      <c r="J720"/>
      <c r="K720" s="20"/>
    </row>
    <row r="721" spans="1:11" x14ac:dyDescent="0.25">
      <c r="A721"/>
      <c r="B721"/>
      <c r="C721"/>
      <c r="D721"/>
      <c r="E721"/>
      <c r="F721"/>
      <c r="G721"/>
      <c r="J721"/>
      <c r="K721" s="20"/>
    </row>
    <row r="722" spans="1:11" x14ac:dyDescent="0.25">
      <c r="A722"/>
      <c r="B722"/>
      <c r="C722"/>
      <c r="D722"/>
      <c r="E722"/>
      <c r="F722"/>
      <c r="G722"/>
      <c r="J722"/>
      <c r="K722" s="20"/>
    </row>
    <row r="723" spans="1:11" x14ac:dyDescent="0.25">
      <c r="A723"/>
      <c r="B723"/>
      <c r="C723"/>
      <c r="D723"/>
      <c r="E723"/>
      <c r="F723"/>
      <c r="G723"/>
      <c r="J723"/>
      <c r="K723" s="20"/>
    </row>
    <row r="724" spans="1:11" x14ac:dyDescent="0.25">
      <c r="A724"/>
      <c r="B724"/>
      <c r="C724"/>
      <c r="D724"/>
      <c r="E724"/>
      <c r="F724"/>
      <c r="G724"/>
      <c r="J724"/>
      <c r="K724" s="20"/>
    </row>
    <row r="725" spans="1:11" x14ac:dyDescent="0.25">
      <c r="A725"/>
      <c r="B725"/>
      <c r="C725"/>
      <c r="D725"/>
      <c r="E725"/>
      <c r="F725"/>
      <c r="G725"/>
      <c r="J725"/>
      <c r="K725" s="20"/>
    </row>
    <row r="726" spans="1:11" x14ac:dyDescent="0.25">
      <c r="A726"/>
      <c r="B726"/>
      <c r="C726"/>
      <c r="D726"/>
      <c r="E726"/>
      <c r="F726"/>
      <c r="G726"/>
      <c r="J726"/>
      <c r="K726" s="20"/>
    </row>
    <row r="727" spans="1:11" x14ac:dyDescent="0.25">
      <c r="A727"/>
      <c r="B727"/>
      <c r="C727"/>
      <c r="D727"/>
      <c r="E727"/>
      <c r="F727"/>
      <c r="G727"/>
      <c r="J727"/>
      <c r="K727" s="20"/>
    </row>
    <row r="728" spans="1:11" x14ac:dyDescent="0.25">
      <c r="A728"/>
      <c r="B728"/>
      <c r="C728"/>
      <c r="D728"/>
      <c r="E728"/>
      <c r="F728"/>
      <c r="G728"/>
      <c r="J728"/>
      <c r="K728" s="20"/>
    </row>
    <row r="729" spans="1:11" x14ac:dyDescent="0.25">
      <c r="A729"/>
      <c r="B729"/>
      <c r="C729"/>
      <c r="D729"/>
      <c r="E729"/>
      <c r="F729"/>
      <c r="G729"/>
      <c r="J729"/>
      <c r="K729" s="20"/>
    </row>
    <row r="730" spans="1:11" x14ac:dyDescent="0.25">
      <c r="A730"/>
      <c r="B730"/>
      <c r="C730"/>
      <c r="D730"/>
      <c r="E730"/>
      <c r="F730"/>
      <c r="G730"/>
      <c r="J730"/>
      <c r="K730" s="20"/>
    </row>
    <row r="731" spans="1:11" x14ac:dyDescent="0.25">
      <c r="A731"/>
      <c r="B731"/>
      <c r="C731"/>
      <c r="D731"/>
      <c r="E731"/>
      <c r="F731"/>
      <c r="G731"/>
      <c r="J731"/>
      <c r="K731" s="20"/>
    </row>
    <row r="732" spans="1:11" x14ac:dyDescent="0.25">
      <c r="A732"/>
      <c r="B732"/>
      <c r="C732"/>
      <c r="D732"/>
      <c r="E732"/>
      <c r="F732"/>
      <c r="G732"/>
      <c r="J732"/>
      <c r="K732" s="20"/>
    </row>
    <row r="733" spans="1:11" x14ac:dyDescent="0.25">
      <c r="A733"/>
      <c r="B733"/>
      <c r="C733"/>
      <c r="D733"/>
      <c r="E733"/>
      <c r="F733"/>
      <c r="G733"/>
      <c r="J733"/>
      <c r="K733" s="20"/>
    </row>
    <row r="734" spans="1:11" x14ac:dyDescent="0.25">
      <c r="A734"/>
      <c r="B734"/>
      <c r="C734"/>
      <c r="D734"/>
      <c r="E734"/>
      <c r="F734"/>
      <c r="G734"/>
      <c r="J734"/>
      <c r="K734" s="20"/>
    </row>
    <row r="735" spans="1:11" x14ac:dyDescent="0.25">
      <c r="A735"/>
      <c r="B735"/>
      <c r="C735"/>
      <c r="D735"/>
      <c r="E735"/>
      <c r="F735"/>
      <c r="G735"/>
      <c r="J735"/>
      <c r="K735" s="20"/>
    </row>
    <row r="736" spans="1:11" x14ac:dyDescent="0.25">
      <c r="A736"/>
      <c r="B736"/>
      <c r="C736"/>
      <c r="D736"/>
      <c r="E736"/>
      <c r="F736"/>
      <c r="G736"/>
      <c r="J736"/>
      <c r="K736" s="20"/>
    </row>
    <row r="737" spans="1:11" x14ac:dyDescent="0.25">
      <c r="A737"/>
      <c r="B737"/>
      <c r="C737"/>
      <c r="D737"/>
      <c r="E737"/>
      <c r="F737"/>
      <c r="G737"/>
      <c r="J737"/>
      <c r="K737" s="20"/>
    </row>
    <row r="738" spans="1:11" x14ac:dyDescent="0.25">
      <c r="A738"/>
      <c r="B738"/>
      <c r="C738"/>
      <c r="D738"/>
      <c r="E738"/>
      <c r="F738"/>
      <c r="G738"/>
      <c r="J738"/>
      <c r="K738" s="20"/>
    </row>
    <row r="739" spans="1:11" x14ac:dyDescent="0.25">
      <c r="A739"/>
      <c r="B739"/>
      <c r="C739"/>
      <c r="D739"/>
      <c r="E739"/>
      <c r="F739"/>
      <c r="G739"/>
      <c r="J739"/>
      <c r="K739" s="20"/>
    </row>
    <row r="740" spans="1:11" x14ac:dyDescent="0.25">
      <c r="A740"/>
      <c r="B740"/>
      <c r="C740"/>
      <c r="D740"/>
      <c r="E740"/>
      <c r="F740"/>
      <c r="G740"/>
      <c r="J740"/>
      <c r="K740" s="20"/>
    </row>
    <row r="741" spans="1:11" x14ac:dyDescent="0.25">
      <c r="A741"/>
      <c r="B741"/>
      <c r="C741"/>
      <c r="D741"/>
      <c r="E741"/>
      <c r="F741"/>
      <c r="G741"/>
      <c r="J741"/>
      <c r="K741" s="20"/>
    </row>
    <row r="742" spans="1:11" x14ac:dyDescent="0.25">
      <c r="A742"/>
      <c r="B742"/>
      <c r="C742"/>
      <c r="D742"/>
      <c r="E742"/>
      <c r="F742"/>
      <c r="G742"/>
      <c r="J742"/>
      <c r="K742" s="20"/>
    </row>
    <row r="743" spans="1:11" x14ac:dyDescent="0.25">
      <c r="A743"/>
      <c r="B743"/>
      <c r="C743"/>
      <c r="D743"/>
      <c r="E743"/>
      <c r="F743"/>
      <c r="G743"/>
      <c r="J743"/>
      <c r="K743" s="20"/>
    </row>
    <row r="744" spans="1:11" x14ac:dyDescent="0.25">
      <c r="A744"/>
      <c r="B744"/>
      <c r="C744"/>
      <c r="D744"/>
      <c r="E744"/>
      <c r="F744"/>
      <c r="G744"/>
      <c r="J744"/>
      <c r="K744" s="20"/>
    </row>
    <row r="745" spans="1:11" x14ac:dyDescent="0.25">
      <c r="A745"/>
      <c r="B745"/>
      <c r="C745"/>
      <c r="D745"/>
      <c r="E745"/>
      <c r="F745"/>
      <c r="G745"/>
      <c r="J745"/>
      <c r="K745" s="20"/>
    </row>
    <row r="746" spans="1:11" x14ac:dyDescent="0.25">
      <c r="A746"/>
      <c r="B746"/>
      <c r="C746"/>
      <c r="D746"/>
      <c r="E746"/>
      <c r="F746"/>
      <c r="G746"/>
      <c r="J746"/>
      <c r="K746" s="20"/>
    </row>
    <row r="747" spans="1:11" x14ac:dyDescent="0.25">
      <c r="A747"/>
      <c r="B747"/>
      <c r="C747"/>
      <c r="D747"/>
      <c r="E747"/>
      <c r="F747"/>
      <c r="G747"/>
      <c r="J747"/>
      <c r="K747" s="20"/>
    </row>
    <row r="748" spans="1:11" x14ac:dyDescent="0.25">
      <c r="A748"/>
      <c r="B748"/>
      <c r="C748"/>
      <c r="D748"/>
      <c r="E748"/>
      <c r="F748"/>
      <c r="G748"/>
      <c r="J748"/>
      <c r="K748" s="20"/>
    </row>
    <row r="749" spans="1:11" x14ac:dyDescent="0.25">
      <c r="A749"/>
      <c r="B749"/>
      <c r="C749"/>
      <c r="D749"/>
      <c r="E749"/>
      <c r="F749"/>
      <c r="G749"/>
      <c r="J749"/>
      <c r="K749" s="20"/>
    </row>
    <row r="750" spans="1:11" x14ac:dyDescent="0.25">
      <c r="A750"/>
      <c r="B750"/>
      <c r="C750"/>
      <c r="D750"/>
      <c r="E750"/>
      <c r="F750"/>
      <c r="G750"/>
      <c r="J750"/>
      <c r="K750" s="20"/>
    </row>
    <row r="751" spans="1:11" x14ac:dyDescent="0.25">
      <c r="A751"/>
      <c r="B751"/>
      <c r="C751"/>
      <c r="D751"/>
      <c r="E751"/>
      <c r="F751"/>
      <c r="G751"/>
      <c r="J751"/>
      <c r="K751" s="20"/>
    </row>
    <row r="752" spans="1:11" x14ac:dyDescent="0.25">
      <c r="A752"/>
      <c r="B752"/>
      <c r="C752"/>
      <c r="D752"/>
      <c r="E752"/>
      <c r="F752"/>
      <c r="G752"/>
      <c r="J752"/>
      <c r="K752" s="20"/>
    </row>
    <row r="753" spans="1:11" x14ac:dyDescent="0.25">
      <c r="A753"/>
      <c r="B753"/>
      <c r="C753"/>
      <c r="D753"/>
      <c r="E753"/>
      <c r="F753"/>
      <c r="G753"/>
      <c r="J753"/>
      <c r="K753" s="20"/>
    </row>
    <row r="754" spans="1:11" x14ac:dyDescent="0.25">
      <c r="A754"/>
      <c r="B754"/>
      <c r="C754"/>
      <c r="D754"/>
      <c r="E754"/>
      <c r="F754"/>
      <c r="G754"/>
      <c r="J754"/>
      <c r="K754" s="20"/>
    </row>
    <row r="755" spans="1:11" x14ac:dyDescent="0.25">
      <c r="A755"/>
      <c r="B755"/>
      <c r="C755"/>
      <c r="D755"/>
      <c r="E755"/>
      <c r="F755"/>
      <c r="G755"/>
      <c r="J755"/>
      <c r="K755" s="20"/>
    </row>
    <row r="756" spans="1:11" x14ac:dyDescent="0.25">
      <c r="A756"/>
      <c r="B756"/>
      <c r="C756"/>
      <c r="D756"/>
      <c r="E756"/>
      <c r="F756"/>
      <c r="G756"/>
      <c r="J756"/>
      <c r="K756" s="20"/>
    </row>
    <row r="757" spans="1:11" x14ac:dyDescent="0.25">
      <c r="A757"/>
      <c r="B757"/>
      <c r="C757"/>
      <c r="D757"/>
      <c r="E757"/>
      <c r="F757"/>
      <c r="G757"/>
      <c r="J757"/>
      <c r="K757" s="20"/>
    </row>
    <row r="758" spans="1:11" x14ac:dyDescent="0.25">
      <c r="A758"/>
      <c r="B758"/>
      <c r="C758"/>
      <c r="D758"/>
      <c r="E758"/>
      <c r="F758"/>
      <c r="G758"/>
      <c r="J758"/>
      <c r="K758" s="20"/>
    </row>
    <row r="759" spans="1:11" x14ac:dyDescent="0.25">
      <c r="A759"/>
      <c r="B759"/>
      <c r="C759"/>
      <c r="D759"/>
      <c r="E759"/>
      <c r="F759"/>
      <c r="G759"/>
      <c r="J759"/>
      <c r="K759" s="20"/>
    </row>
    <row r="760" spans="1:11" x14ac:dyDescent="0.25">
      <c r="A760"/>
      <c r="B760"/>
      <c r="C760"/>
      <c r="D760"/>
      <c r="E760"/>
      <c r="F760"/>
      <c r="G760"/>
      <c r="J760"/>
      <c r="K760" s="20"/>
    </row>
    <row r="761" spans="1:11" x14ac:dyDescent="0.25">
      <c r="A761"/>
      <c r="B761"/>
      <c r="C761"/>
      <c r="D761"/>
      <c r="E761"/>
      <c r="F761"/>
      <c r="G761"/>
      <c r="J761"/>
      <c r="K761" s="20"/>
    </row>
    <row r="762" spans="1:11" x14ac:dyDescent="0.25">
      <c r="A762"/>
      <c r="B762"/>
      <c r="C762"/>
      <c r="D762"/>
      <c r="E762"/>
      <c r="F762"/>
      <c r="G762"/>
      <c r="J762"/>
      <c r="K762" s="20"/>
    </row>
    <row r="763" spans="1:11" x14ac:dyDescent="0.25">
      <c r="A763"/>
      <c r="B763"/>
      <c r="C763"/>
      <c r="D763"/>
      <c r="E763"/>
      <c r="F763"/>
      <c r="G763"/>
      <c r="J763"/>
      <c r="K763" s="20"/>
    </row>
    <row r="764" spans="1:11" x14ac:dyDescent="0.25">
      <c r="A764"/>
      <c r="B764"/>
      <c r="C764"/>
      <c r="D764"/>
      <c r="E764"/>
      <c r="F764"/>
      <c r="G764"/>
      <c r="J764"/>
      <c r="K764" s="20"/>
    </row>
    <row r="765" spans="1:11" x14ac:dyDescent="0.25">
      <c r="A765"/>
      <c r="B765"/>
      <c r="C765"/>
      <c r="D765"/>
      <c r="E765"/>
      <c r="F765"/>
      <c r="G765"/>
      <c r="J765"/>
      <c r="K765" s="20"/>
    </row>
    <row r="766" spans="1:11" x14ac:dyDescent="0.25">
      <c r="A766"/>
      <c r="B766"/>
      <c r="C766"/>
      <c r="D766"/>
      <c r="E766"/>
      <c r="F766"/>
      <c r="G766"/>
      <c r="J766"/>
      <c r="K766" s="20"/>
    </row>
    <row r="767" spans="1:11" x14ac:dyDescent="0.25">
      <c r="A767"/>
      <c r="B767"/>
      <c r="C767"/>
      <c r="D767"/>
      <c r="E767"/>
      <c r="F767"/>
      <c r="G767"/>
      <c r="J767"/>
      <c r="K767" s="20"/>
    </row>
    <row r="768" spans="1:11" x14ac:dyDescent="0.25">
      <c r="A768"/>
      <c r="B768"/>
      <c r="C768"/>
      <c r="D768"/>
      <c r="E768"/>
      <c r="F768"/>
      <c r="G768"/>
      <c r="J768"/>
      <c r="K768" s="20"/>
    </row>
    <row r="769" spans="1:11" x14ac:dyDescent="0.25">
      <c r="A769"/>
      <c r="B769"/>
      <c r="C769"/>
      <c r="D769"/>
      <c r="E769"/>
      <c r="F769"/>
      <c r="G769"/>
      <c r="J769"/>
      <c r="K769" s="20"/>
    </row>
    <row r="770" spans="1:11" x14ac:dyDescent="0.25">
      <c r="A770"/>
      <c r="B770"/>
      <c r="C770"/>
      <c r="D770"/>
      <c r="E770"/>
      <c r="F770"/>
      <c r="G770"/>
      <c r="J770"/>
      <c r="K770" s="20"/>
    </row>
    <row r="771" spans="1:11" x14ac:dyDescent="0.25">
      <c r="A771"/>
      <c r="B771"/>
      <c r="C771"/>
      <c r="D771"/>
      <c r="E771"/>
      <c r="F771"/>
      <c r="G771"/>
      <c r="J771"/>
      <c r="K771" s="20"/>
    </row>
    <row r="772" spans="1:11" x14ac:dyDescent="0.25">
      <c r="A772"/>
      <c r="B772"/>
      <c r="C772"/>
      <c r="D772"/>
      <c r="E772"/>
      <c r="F772"/>
      <c r="G772"/>
      <c r="J772"/>
      <c r="K772" s="20"/>
    </row>
    <row r="773" spans="1:11" x14ac:dyDescent="0.25">
      <c r="A773"/>
      <c r="B773"/>
      <c r="C773"/>
      <c r="D773"/>
      <c r="E773"/>
      <c r="F773"/>
      <c r="G773"/>
      <c r="J773"/>
      <c r="K773" s="20"/>
    </row>
    <row r="774" spans="1:11" x14ac:dyDescent="0.25">
      <c r="A774"/>
      <c r="B774"/>
      <c r="C774"/>
      <c r="D774"/>
      <c r="E774"/>
      <c r="F774"/>
      <c r="G774"/>
      <c r="J774"/>
      <c r="K774" s="20"/>
    </row>
    <row r="775" spans="1:11" x14ac:dyDescent="0.25">
      <c r="A775"/>
      <c r="B775"/>
      <c r="C775"/>
      <c r="D775"/>
      <c r="E775"/>
      <c r="F775"/>
      <c r="G775"/>
      <c r="J775"/>
      <c r="K775" s="20"/>
    </row>
    <row r="776" spans="1:11" x14ac:dyDescent="0.25">
      <c r="A776"/>
      <c r="B776"/>
      <c r="C776"/>
      <c r="D776"/>
      <c r="E776"/>
      <c r="F776"/>
      <c r="G776"/>
      <c r="J776"/>
      <c r="K776" s="20"/>
    </row>
    <row r="777" spans="1:11" x14ac:dyDescent="0.25">
      <c r="A777"/>
      <c r="B777"/>
      <c r="C777"/>
      <c r="D777"/>
      <c r="E777"/>
      <c r="F777"/>
      <c r="G777"/>
      <c r="J777"/>
      <c r="K777" s="20"/>
    </row>
    <row r="778" spans="1:11" x14ac:dyDescent="0.25">
      <c r="A778"/>
      <c r="B778"/>
      <c r="C778"/>
      <c r="D778"/>
      <c r="E778"/>
      <c r="F778"/>
      <c r="G778"/>
      <c r="J778"/>
      <c r="K778" s="20"/>
    </row>
    <row r="779" spans="1:11" x14ac:dyDescent="0.25">
      <c r="A779"/>
      <c r="B779"/>
      <c r="C779"/>
      <c r="D779"/>
      <c r="E779"/>
      <c r="F779"/>
      <c r="G779"/>
      <c r="J779"/>
      <c r="K779" s="20"/>
    </row>
    <row r="780" spans="1:11" x14ac:dyDescent="0.25">
      <c r="A780"/>
      <c r="B780"/>
      <c r="C780"/>
      <c r="D780"/>
      <c r="E780"/>
      <c r="F780"/>
      <c r="G780"/>
      <c r="J780"/>
      <c r="K780" s="20"/>
    </row>
    <row r="781" spans="1:11" x14ac:dyDescent="0.25">
      <c r="A781"/>
      <c r="B781"/>
      <c r="C781"/>
      <c r="D781"/>
      <c r="E781"/>
      <c r="F781"/>
      <c r="G781"/>
      <c r="J781"/>
      <c r="K781" s="20"/>
    </row>
    <row r="782" spans="1:11" x14ac:dyDescent="0.25">
      <c r="A782"/>
      <c r="B782"/>
      <c r="C782"/>
      <c r="D782"/>
      <c r="E782"/>
      <c r="F782"/>
      <c r="G782"/>
      <c r="J782"/>
      <c r="K782" s="20"/>
    </row>
    <row r="783" spans="1:11" x14ac:dyDescent="0.25">
      <c r="A783"/>
      <c r="B783"/>
      <c r="C783"/>
      <c r="D783"/>
      <c r="E783"/>
      <c r="F783"/>
      <c r="G783"/>
      <c r="J783"/>
      <c r="K783" s="20"/>
    </row>
    <row r="784" spans="1:11" x14ac:dyDescent="0.25">
      <c r="A784"/>
      <c r="B784"/>
      <c r="C784"/>
      <c r="D784"/>
      <c r="E784"/>
      <c r="F784"/>
      <c r="G784"/>
      <c r="J784"/>
      <c r="K784" s="20"/>
    </row>
    <row r="785" spans="1:11" x14ac:dyDescent="0.25">
      <c r="A785"/>
      <c r="B785"/>
      <c r="C785"/>
      <c r="D785"/>
      <c r="E785"/>
      <c r="F785"/>
      <c r="G785"/>
      <c r="J785"/>
      <c r="K785" s="20"/>
    </row>
    <row r="786" spans="1:11" x14ac:dyDescent="0.25">
      <c r="A786"/>
      <c r="B786"/>
      <c r="C786"/>
      <c r="D786"/>
      <c r="E786"/>
      <c r="F786"/>
      <c r="G786"/>
      <c r="J786"/>
      <c r="K786" s="20"/>
    </row>
    <row r="787" spans="1:11" x14ac:dyDescent="0.25">
      <c r="A787"/>
      <c r="B787"/>
      <c r="C787"/>
      <c r="D787"/>
      <c r="E787"/>
      <c r="F787"/>
      <c r="G787"/>
      <c r="J787"/>
      <c r="K787" s="20"/>
    </row>
    <row r="788" spans="1:11" x14ac:dyDescent="0.25">
      <c r="A788"/>
      <c r="B788"/>
      <c r="C788"/>
      <c r="D788"/>
      <c r="E788"/>
      <c r="F788"/>
      <c r="G788"/>
      <c r="J788"/>
      <c r="K788" s="20"/>
    </row>
    <row r="789" spans="1:11" x14ac:dyDescent="0.25">
      <c r="A789"/>
      <c r="B789"/>
      <c r="C789"/>
      <c r="D789"/>
      <c r="E789"/>
      <c r="F789"/>
      <c r="G789"/>
      <c r="J789"/>
      <c r="K789" s="20"/>
    </row>
    <row r="790" spans="1:11" x14ac:dyDescent="0.25">
      <c r="A790"/>
      <c r="B790"/>
      <c r="C790"/>
      <c r="D790"/>
      <c r="E790"/>
      <c r="F790"/>
      <c r="G790"/>
      <c r="J790"/>
      <c r="K790" s="20"/>
    </row>
    <row r="791" spans="1:11" x14ac:dyDescent="0.25">
      <c r="A791"/>
      <c r="B791"/>
      <c r="C791"/>
      <c r="D791"/>
      <c r="E791"/>
      <c r="F791"/>
      <c r="G791"/>
      <c r="J791"/>
      <c r="K791" s="20"/>
    </row>
    <row r="792" spans="1:11" x14ac:dyDescent="0.25">
      <c r="A792"/>
      <c r="B792"/>
      <c r="C792"/>
      <c r="D792"/>
      <c r="E792"/>
      <c r="F792"/>
      <c r="G792"/>
      <c r="J792"/>
      <c r="K792" s="20"/>
    </row>
    <row r="793" spans="1:11" x14ac:dyDescent="0.25">
      <c r="A793"/>
      <c r="B793"/>
      <c r="C793"/>
      <c r="D793"/>
      <c r="E793"/>
      <c r="F793"/>
      <c r="G793"/>
      <c r="J793"/>
      <c r="K793" s="20"/>
    </row>
    <row r="794" spans="1:11" x14ac:dyDescent="0.25">
      <c r="A794"/>
      <c r="B794"/>
      <c r="C794"/>
      <c r="D794"/>
      <c r="E794"/>
      <c r="F794"/>
      <c r="G794"/>
      <c r="J794"/>
      <c r="K794" s="20"/>
    </row>
    <row r="795" spans="1:11" x14ac:dyDescent="0.25">
      <c r="A795"/>
      <c r="B795"/>
      <c r="C795"/>
      <c r="D795"/>
      <c r="E795"/>
      <c r="F795"/>
      <c r="G795"/>
      <c r="J795"/>
      <c r="K795" s="20"/>
    </row>
    <row r="796" spans="1:11" x14ac:dyDescent="0.25">
      <c r="A796"/>
      <c r="B796"/>
      <c r="C796"/>
      <c r="D796"/>
      <c r="E796"/>
      <c r="F796"/>
      <c r="G796"/>
      <c r="J796"/>
      <c r="K796" s="20"/>
    </row>
    <row r="797" spans="1:11" x14ac:dyDescent="0.25">
      <c r="A797"/>
      <c r="B797"/>
      <c r="C797"/>
      <c r="D797"/>
      <c r="E797"/>
      <c r="F797"/>
      <c r="G797"/>
      <c r="J797"/>
      <c r="K797" s="20"/>
    </row>
    <row r="798" spans="1:11" x14ac:dyDescent="0.25">
      <c r="A798"/>
      <c r="B798"/>
      <c r="C798"/>
      <c r="D798"/>
      <c r="E798"/>
      <c r="F798"/>
      <c r="G798"/>
      <c r="J798"/>
      <c r="K798" s="20"/>
    </row>
    <row r="799" spans="1:11" x14ac:dyDescent="0.25">
      <c r="A799"/>
      <c r="B799"/>
      <c r="C799"/>
      <c r="D799"/>
      <c r="E799"/>
      <c r="F799"/>
      <c r="G799"/>
      <c r="J799"/>
      <c r="K799" s="20"/>
    </row>
    <row r="800" spans="1:11" x14ac:dyDescent="0.25">
      <c r="A800"/>
      <c r="B800"/>
      <c r="C800"/>
      <c r="D800"/>
      <c r="E800"/>
      <c r="F800"/>
      <c r="G800"/>
      <c r="J800"/>
      <c r="K800" s="20"/>
    </row>
    <row r="801" spans="1:11" x14ac:dyDescent="0.25">
      <c r="A801"/>
      <c r="B801"/>
      <c r="C801"/>
      <c r="D801"/>
      <c r="E801"/>
      <c r="F801"/>
      <c r="G801"/>
      <c r="J801"/>
      <c r="K801" s="20"/>
    </row>
    <row r="802" spans="1:11" x14ac:dyDescent="0.25">
      <c r="A802"/>
      <c r="B802"/>
      <c r="C802"/>
      <c r="D802"/>
      <c r="E802"/>
      <c r="F802"/>
      <c r="G802"/>
      <c r="J802"/>
      <c r="K802" s="20"/>
    </row>
    <row r="803" spans="1:11" x14ac:dyDescent="0.25">
      <c r="A803"/>
      <c r="B803"/>
      <c r="C803"/>
      <c r="D803"/>
      <c r="E803"/>
      <c r="F803"/>
      <c r="G803"/>
      <c r="J803"/>
      <c r="K803" s="20"/>
    </row>
    <row r="804" spans="1:11" x14ac:dyDescent="0.25">
      <c r="A804"/>
      <c r="B804"/>
      <c r="C804"/>
      <c r="D804"/>
      <c r="E804"/>
      <c r="F804"/>
      <c r="G804"/>
      <c r="J804"/>
      <c r="K804" s="20"/>
    </row>
    <row r="805" spans="1:11" x14ac:dyDescent="0.25">
      <c r="A805"/>
      <c r="B805"/>
      <c r="C805"/>
      <c r="D805"/>
      <c r="E805"/>
      <c r="F805"/>
      <c r="G805"/>
      <c r="J805"/>
      <c r="K805" s="20"/>
    </row>
    <row r="806" spans="1:11" x14ac:dyDescent="0.25">
      <c r="A806"/>
      <c r="B806"/>
      <c r="C806"/>
      <c r="D806"/>
      <c r="E806"/>
      <c r="F806"/>
      <c r="G806"/>
      <c r="J806"/>
      <c r="K806" s="20"/>
    </row>
    <row r="807" spans="1:11" x14ac:dyDescent="0.25">
      <c r="A807"/>
      <c r="B807"/>
      <c r="C807"/>
      <c r="D807"/>
      <c r="E807"/>
      <c r="F807"/>
      <c r="G807"/>
      <c r="J807"/>
      <c r="K807" s="20"/>
    </row>
    <row r="808" spans="1:11" x14ac:dyDescent="0.25">
      <c r="A808"/>
      <c r="B808"/>
      <c r="C808"/>
      <c r="D808"/>
      <c r="E808"/>
      <c r="F808"/>
      <c r="G808"/>
      <c r="J808"/>
      <c r="K808" s="20"/>
    </row>
    <row r="809" spans="1:11" x14ac:dyDescent="0.25">
      <c r="A809"/>
      <c r="B809"/>
      <c r="C809"/>
      <c r="D809"/>
      <c r="E809"/>
      <c r="F809"/>
      <c r="G809"/>
      <c r="J809"/>
      <c r="K809" s="20"/>
    </row>
    <row r="810" spans="1:11" x14ac:dyDescent="0.25">
      <c r="A810"/>
      <c r="B810"/>
      <c r="C810"/>
      <c r="D810"/>
      <c r="E810"/>
      <c r="F810"/>
      <c r="G810"/>
      <c r="J810"/>
      <c r="K810" s="20"/>
    </row>
    <row r="811" spans="1:11" x14ac:dyDescent="0.25">
      <c r="A811"/>
      <c r="B811"/>
      <c r="C811"/>
      <c r="D811"/>
      <c r="E811"/>
      <c r="F811"/>
      <c r="G811"/>
      <c r="J811"/>
      <c r="K811" s="20"/>
    </row>
    <row r="812" spans="1:11" x14ac:dyDescent="0.25">
      <c r="A812"/>
      <c r="B812"/>
      <c r="C812"/>
      <c r="D812"/>
      <c r="E812"/>
      <c r="F812"/>
      <c r="G812"/>
      <c r="J812"/>
      <c r="K812" s="20"/>
    </row>
    <row r="813" spans="1:11" x14ac:dyDescent="0.25">
      <c r="A813"/>
      <c r="B813"/>
      <c r="C813"/>
      <c r="D813"/>
      <c r="E813"/>
      <c r="F813"/>
      <c r="G813"/>
      <c r="J813"/>
      <c r="K813" s="20"/>
    </row>
    <row r="814" spans="1:11" x14ac:dyDescent="0.25">
      <c r="A814"/>
      <c r="B814"/>
      <c r="C814"/>
      <c r="D814"/>
      <c r="E814"/>
      <c r="F814"/>
      <c r="G814"/>
      <c r="J814"/>
      <c r="K814" s="20"/>
    </row>
    <row r="815" spans="1:11" x14ac:dyDescent="0.25">
      <c r="A815"/>
      <c r="B815"/>
      <c r="C815"/>
      <c r="D815"/>
      <c r="E815"/>
      <c r="F815"/>
      <c r="G815"/>
      <c r="J815"/>
      <c r="K815" s="20"/>
    </row>
    <row r="816" spans="1:11" x14ac:dyDescent="0.25">
      <c r="A816"/>
      <c r="B816"/>
      <c r="C816"/>
      <c r="D816"/>
      <c r="E816"/>
      <c r="F816"/>
      <c r="G816"/>
      <c r="J816"/>
      <c r="K816" s="20"/>
    </row>
    <row r="817" spans="1:11" x14ac:dyDescent="0.25">
      <c r="A817"/>
      <c r="B817"/>
      <c r="C817"/>
      <c r="D817"/>
      <c r="E817"/>
      <c r="F817"/>
      <c r="G817"/>
      <c r="J817"/>
      <c r="K817" s="20"/>
    </row>
    <row r="818" spans="1:11" x14ac:dyDescent="0.25">
      <c r="A818"/>
      <c r="B818"/>
      <c r="C818"/>
      <c r="D818"/>
      <c r="E818"/>
      <c r="F818"/>
      <c r="G818"/>
      <c r="J818"/>
      <c r="K818" s="20"/>
    </row>
    <row r="819" spans="1:11" x14ac:dyDescent="0.25">
      <c r="A819"/>
      <c r="B819"/>
      <c r="C819"/>
      <c r="D819"/>
      <c r="E819"/>
      <c r="F819"/>
      <c r="G819"/>
      <c r="J819"/>
      <c r="K819" s="20"/>
    </row>
    <row r="820" spans="1:11" x14ac:dyDescent="0.25">
      <c r="A820"/>
      <c r="B820"/>
      <c r="C820"/>
      <c r="D820"/>
      <c r="E820"/>
      <c r="F820"/>
      <c r="G820"/>
      <c r="J820"/>
      <c r="K820" s="20"/>
    </row>
    <row r="821" spans="1:11" x14ac:dyDescent="0.25">
      <c r="A821"/>
      <c r="B821"/>
      <c r="C821"/>
      <c r="D821"/>
      <c r="E821"/>
      <c r="F821"/>
      <c r="G821"/>
      <c r="J821"/>
      <c r="K821" s="20"/>
    </row>
    <row r="822" spans="1:11" x14ac:dyDescent="0.25">
      <c r="A822"/>
      <c r="B822"/>
      <c r="C822"/>
      <c r="D822"/>
      <c r="E822"/>
      <c r="F822"/>
      <c r="G822"/>
      <c r="J822"/>
      <c r="K822" s="20"/>
    </row>
    <row r="823" spans="1:11" x14ac:dyDescent="0.25">
      <c r="A823"/>
      <c r="B823"/>
      <c r="C823"/>
      <c r="D823"/>
      <c r="E823"/>
      <c r="F823"/>
      <c r="G823"/>
      <c r="J823"/>
      <c r="K823" s="20"/>
    </row>
    <row r="824" spans="1:11" x14ac:dyDescent="0.25">
      <c r="A824"/>
      <c r="B824"/>
      <c r="C824"/>
      <c r="D824"/>
      <c r="E824"/>
      <c r="F824"/>
      <c r="G824"/>
      <c r="J824"/>
      <c r="K824" s="20"/>
    </row>
    <row r="825" spans="1:11" x14ac:dyDescent="0.25">
      <c r="A825"/>
      <c r="B825"/>
      <c r="C825"/>
      <c r="D825"/>
      <c r="E825"/>
      <c r="F825"/>
      <c r="G825"/>
      <c r="J825"/>
      <c r="K825" s="20"/>
    </row>
    <row r="826" spans="1:11" x14ac:dyDescent="0.25">
      <c r="A826"/>
      <c r="B826"/>
      <c r="C826"/>
      <c r="D826"/>
      <c r="E826"/>
      <c r="F826"/>
      <c r="G826"/>
      <c r="J826"/>
      <c r="K826" s="20"/>
    </row>
    <row r="827" spans="1:11" x14ac:dyDescent="0.25">
      <c r="A827"/>
      <c r="B827"/>
      <c r="C827"/>
      <c r="D827"/>
      <c r="E827"/>
      <c r="F827"/>
      <c r="G827"/>
      <c r="J827"/>
      <c r="K827" s="20"/>
    </row>
    <row r="828" spans="1:11" x14ac:dyDescent="0.25">
      <c r="A828"/>
      <c r="B828"/>
      <c r="C828"/>
      <c r="D828"/>
      <c r="E828"/>
      <c r="F828"/>
      <c r="G828"/>
      <c r="J828"/>
      <c r="K828" s="20"/>
    </row>
    <row r="829" spans="1:11" x14ac:dyDescent="0.25">
      <c r="A829"/>
      <c r="B829"/>
      <c r="C829"/>
      <c r="D829"/>
      <c r="E829"/>
      <c r="F829"/>
      <c r="G829"/>
      <c r="J829"/>
      <c r="K829" s="20"/>
    </row>
    <row r="830" spans="1:11" x14ac:dyDescent="0.25">
      <c r="A830"/>
      <c r="B830"/>
      <c r="C830"/>
      <c r="D830"/>
      <c r="E830"/>
      <c r="F830"/>
      <c r="G830"/>
      <c r="J830"/>
      <c r="K830" s="20"/>
    </row>
    <row r="831" spans="1:11" x14ac:dyDescent="0.25">
      <c r="A831"/>
      <c r="B831"/>
      <c r="C831"/>
      <c r="D831"/>
      <c r="E831"/>
      <c r="F831"/>
      <c r="G831"/>
      <c r="J831"/>
      <c r="K831" s="20"/>
    </row>
    <row r="832" spans="1:11" x14ac:dyDescent="0.25">
      <c r="A832"/>
      <c r="B832"/>
      <c r="C832"/>
      <c r="D832"/>
      <c r="E832"/>
      <c r="F832"/>
      <c r="G832"/>
      <c r="J832"/>
      <c r="K832" s="20"/>
    </row>
    <row r="833" spans="1:11" x14ac:dyDescent="0.25">
      <c r="A833"/>
      <c r="B833"/>
      <c r="C833"/>
      <c r="D833"/>
      <c r="E833"/>
      <c r="F833"/>
      <c r="G833"/>
      <c r="J833"/>
      <c r="K833" s="20"/>
    </row>
    <row r="834" spans="1:11" x14ac:dyDescent="0.25">
      <c r="A834"/>
      <c r="B834"/>
      <c r="C834"/>
      <c r="D834"/>
      <c r="E834"/>
      <c r="F834"/>
      <c r="G834"/>
      <c r="J834"/>
      <c r="K834" s="20"/>
    </row>
    <row r="835" spans="1:11" x14ac:dyDescent="0.25">
      <c r="A835"/>
      <c r="B835"/>
      <c r="C835"/>
      <c r="D835"/>
      <c r="E835"/>
      <c r="F835"/>
      <c r="G835"/>
      <c r="J835"/>
      <c r="K835" s="20"/>
    </row>
    <row r="836" spans="1:11" x14ac:dyDescent="0.25">
      <c r="A836"/>
      <c r="B836"/>
      <c r="C836"/>
      <c r="D836"/>
      <c r="E836"/>
      <c r="F836"/>
      <c r="G836"/>
      <c r="J836"/>
      <c r="K836" s="20"/>
    </row>
    <row r="837" spans="1:11" x14ac:dyDescent="0.25">
      <c r="A837"/>
      <c r="B837"/>
      <c r="C837"/>
      <c r="D837"/>
      <c r="E837"/>
      <c r="F837"/>
      <c r="G837"/>
      <c r="J837"/>
      <c r="K837" s="20"/>
    </row>
    <row r="838" spans="1:11" x14ac:dyDescent="0.25">
      <c r="A838"/>
      <c r="B838"/>
      <c r="C838"/>
      <c r="D838"/>
      <c r="E838"/>
      <c r="F838"/>
      <c r="G838"/>
      <c r="J838"/>
      <c r="K838" s="20"/>
    </row>
    <row r="839" spans="1:11" x14ac:dyDescent="0.25">
      <c r="A839"/>
      <c r="B839"/>
      <c r="C839"/>
      <c r="D839"/>
      <c r="E839"/>
      <c r="F839"/>
      <c r="G839"/>
      <c r="J839"/>
      <c r="K839" s="20"/>
    </row>
    <row r="840" spans="1:11" x14ac:dyDescent="0.25">
      <c r="A840"/>
      <c r="B840"/>
      <c r="C840"/>
      <c r="D840"/>
      <c r="E840"/>
      <c r="F840"/>
      <c r="G840"/>
      <c r="J840"/>
      <c r="K840" s="20"/>
    </row>
    <row r="841" spans="1:11" x14ac:dyDescent="0.25">
      <c r="A841"/>
      <c r="B841"/>
      <c r="C841"/>
      <c r="D841"/>
      <c r="E841"/>
      <c r="F841"/>
      <c r="G841"/>
      <c r="J841"/>
      <c r="K841" s="20"/>
    </row>
    <row r="842" spans="1:11" x14ac:dyDescent="0.25">
      <c r="A842"/>
      <c r="B842"/>
      <c r="C842"/>
      <c r="D842"/>
      <c r="E842"/>
      <c r="F842"/>
      <c r="G842"/>
      <c r="J842"/>
      <c r="K842" s="20"/>
    </row>
    <row r="843" spans="1:11" x14ac:dyDescent="0.25">
      <c r="A843"/>
      <c r="B843"/>
      <c r="C843"/>
      <c r="D843"/>
      <c r="E843"/>
      <c r="F843"/>
      <c r="G843"/>
      <c r="J843"/>
      <c r="K843" s="20"/>
    </row>
    <row r="844" spans="1:11" x14ac:dyDescent="0.25">
      <c r="A844"/>
      <c r="B844"/>
      <c r="C844"/>
      <c r="D844"/>
      <c r="E844"/>
      <c r="F844"/>
      <c r="G844"/>
      <c r="J844"/>
      <c r="K844" s="20"/>
    </row>
    <row r="845" spans="1:11" x14ac:dyDescent="0.25">
      <c r="A845"/>
      <c r="B845"/>
      <c r="C845"/>
      <c r="D845"/>
      <c r="E845"/>
      <c r="F845"/>
      <c r="G845"/>
      <c r="J845"/>
      <c r="K845" s="20"/>
    </row>
    <row r="846" spans="1:11" x14ac:dyDescent="0.25">
      <c r="A846"/>
      <c r="B846"/>
      <c r="C846"/>
      <c r="D846"/>
      <c r="E846"/>
      <c r="F846"/>
      <c r="G846"/>
      <c r="J846"/>
      <c r="K846" s="20"/>
    </row>
    <row r="847" spans="1:11" x14ac:dyDescent="0.25">
      <c r="A847"/>
      <c r="B847"/>
      <c r="C847"/>
      <c r="D847"/>
      <c r="E847"/>
      <c r="F847"/>
      <c r="G847"/>
      <c r="J847"/>
      <c r="K847" s="20"/>
    </row>
    <row r="848" spans="1:11" x14ac:dyDescent="0.25">
      <c r="A848"/>
      <c r="B848"/>
      <c r="C848"/>
      <c r="D848"/>
      <c r="E848"/>
      <c r="F848"/>
      <c r="G848"/>
      <c r="J848"/>
      <c r="K848" s="20"/>
    </row>
    <row r="849" spans="1:11" x14ac:dyDescent="0.25">
      <c r="A849"/>
      <c r="B849"/>
      <c r="C849"/>
      <c r="D849"/>
      <c r="E849"/>
      <c r="F849"/>
      <c r="G849"/>
      <c r="J849"/>
      <c r="K849" s="20"/>
    </row>
    <row r="850" spans="1:11" x14ac:dyDescent="0.25">
      <c r="A850"/>
      <c r="B850"/>
      <c r="C850"/>
      <c r="D850"/>
      <c r="E850"/>
      <c r="F850"/>
      <c r="G850"/>
      <c r="J850"/>
      <c r="K850" s="20"/>
    </row>
    <row r="851" spans="1:11" x14ac:dyDescent="0.25">
      <c r="A851"/>
      <c r="B851"/>
      <c r="C851"/>
      <c r="D851"/>
      <c r="E851"/>
      <c r="F851"/>
      <c r="G851"/>
      <c r="J851"/>
      <c r="K851" s="20"/>
    </row>
    <row r="852" spans="1:11" x14ac:dyDescent="0.25">
      <c r="A852"/>
      <c r="B852"/>
      <c r="C852"/>
      <c r="D852"/>
      <c r="E852"/>
      <c r="F852"/>
      <c r="G852"/>
      <c r="J852"/>
      <c r="K852" s="20"/>
    </row>
    <row r="853" spans="1:11" x14ac:dyDescent="0.25">
      <c r="A853"/>
      <c r="B853"/>
      <c r="C853"/>
      <c r="D853"/>
      <c r="E853"/>
      <c r="F853"/>
      <c r="G853"/>
      <c r="J853"/>
      <c r="K853" s="20"/>
    </row>
    <row r="854" spans="1:11" x14ac:dyDescent="0.25">
      <c r="A854"/>
      <c r="B854"/>
      <c r="C854"/>
      <c r="D854"/>
      <c r="E854"/>
      <c r="F854"/>
      <c r="G854"/>
      <c r="J854"/>
      <c r="K854" s="20"/>
    </row>
    <row r="855" spans="1:11" x14ac:dyDescent="0.25">
      <c r="A855"/>
      <c r="B855"/>
      <c r="C855"/>
      <c r="D855"/>
      <c r="E855"/>
      <c r="F855"/>
      <c r="G855"/>
      <c r="J855"/>
      <c r="K855" s="20"/>
    </row>
    <row r="856" spans="1:11" x14ac:dyDescent="0.25">
      <c r="A856"/>
      <c r="B856"/>
      <c r="C856"/>
      <c r="D856"/>
      <c r="E856"/>
      <c r="F856"/>
      <c r="G856"/>
      <c r="J856"/>
      <c r="K856" s="20"/>
    </row>
    <row r="857" spans="1:11" x14ac:dyDescent="0.25">
      <c r="A857"/>
      <c r="B857"/>
      <c r="C857"/>
      <c r="D857"/>
      <c r="E857"/>
      <c r="F857"/>
      <c r="G857"/>
      <c r="J857"/>
      <c r="K857" s="20"/>
    </row>
    <row r="858" spans="1:11" x14ac:dyDescent="0.25">
      <c r="A858"/>
      <c r="B858"/>
      <c r="C858"/>
      <c r="D858"/>
      <c r="E858"/>
      <c r="F858"/>
      <c r="G858"/>
      <c r="J858"/>
      <c r="K858" s="20"/>
    </row>
    <row r="859" spans="1:11" x14ac:dyDescent="0.25">
      <c r="A859"/>
      <c r="B859"/>
      <c r="C859"/>
      <c r="D859"/>
      <c r="E859"/>
      <c r="F859"/>
      <c r="G859"/>
      <c r="J859"/>
      <c r="K859" s="20"/>
    </row>
    <row r="860" spans="1:11" x14ac:dyDescent="0.25">
      <c r="A860"/>
      <c r="B860"/>
      <c r="C860"/>
      <c r="D860"/>
      <c r="E860"/>
      <c r="F860"/>
      <c r="G860"/>
      <c r="J860"/>
      <c r="K860" s="20"/>
    </row>
    <row r="861" spans="1:11" x14ac:dyDescent="0.25">
      <c r="A861"/>
      <c r="B861"/>
      <c r="C861"/>
      <c r="D861"/>
      <c r="E861"/>
      <c r="F861"/>
      <c r="G861"/>
      <c r="J861"/>
      <c r="K861" s="20"/>
    </row>
    <row r="862" spans="1:11" x14ac:dyDescent="0.25">
      <c r="A862"/>
      <c r="B862"/>
      <c r="C862"/>
      <c r="D862"/>
      <c r="E862"/>
      <c r="F862"/>
      <c r="G862"/>
      <c r="J862"/>
      <c r="K862" s="20"/>
    </row>
    <row r="863" spans="1:11" x14ac:dyDescent="0.25">
      <c r="A863"/>
      <c r="B863"/>
      <c r="C863"/>
      <c r="D863"/>
      <c r="E863"/>
      <c r="F863"/>
      <c r="G863"/>
      <c r="J863"/>
      <c r="K863" s="20"/>
    </row>
    <row r="864" spans="1:11" x14ac:dyDescent="0.25">
      <c r="A864"/>
      <c r="B864"/>
      <c r="C864"/>
      <c r="D864"/>
      <c r="E864"/>
      <c r="F864"/>
      <c r="G864"/>
      <c r="J864"/>
      <c r="K864" s="20"/>
    </row>
    <row r="865" spans="1:11" x14ac:dyDescent="0.25">
      <c r="A865"/>
      <c r="B865"/>
      <c r="C865"/>
      <c r="D865"/>
      <c r="E865"/>
      <c r="F865"/>
      <c r="G865"/>
      <c r="J865"/>
      <c r="K865" s="20"/>
    </row>
    <row r="866" spans="1:11" x14ac:dyDescent="0.25">
      <c r="A866"/>
      <c r="B866"/>
      <c r="C866"/>
      <c r="D866"/>
      <c r="E866"/>
      <c r="F866"/>
      <c r="G866"/>
      <c r="J866"/>
      <c r="K866" s="20"/>
    </row>
    <row r="867" spans="1:11" x14ac:dyDescent="0.25">
      <c r="A867"/>
      <c r="B867"/>
      <c r="C867"/>
      <c r="D867"/>
      <c r="E867"/>
      <c r="F867"/>
      <c r="G867"/>
      <c r="J867"/>
      <c r="K867" s="20"/>
    </row>
    <row r="868" spans="1:11" x14ac:dyDescent="0.25">
      <c r="A868"/>
      <c r="B868"/>
      <c r="C868"/>
      <c r="D868"/>
      <c r="E868"/>
      <c r="F868"/>
      <c r="G868"/>
      <c r="J868"/>
      <c r="K868" s="20"/>
    </row>
    <row r="869" spans="1:11" x14ac:dyDescent="0.25">
      <c r="A869"/>
      <c r="B869"/>
      <c r="C869"/>
      <c r="D869"/>
      <c r="E869"/>
      <c r="F869"/>
      <c r="G869"/>
      <c r="J869"/>
      <c r="K869" s="20"/>
    </row>
    <row r="870" spans="1:11" x14ac:dyDescent="0.25">
      <c r="A870"/>
      <c r="B870"/>
      <c r="C870"/>
      <c r="D870"/>
      <c r="E870"/>
      <c r="F870"/>
      <c r="G870"/>
      <c r="J870"/>
      <c r="K870" s="20"/>
    </row>
    <row r="871" spans="1:11" x14ac:dyDescent="0.25">
      <c r="A871"/>
      <c r="B871"/>
      <c r="C871"/>
      <c r="D871"/>
      <c r="E871"/>
      <c r="F871"/>
      <c r="G871"/>
      <c r="J871"/>
      <c r="K871" s="20"/>
    </row>
    <row r="872" spans="1:11" x14ac:dyDescent="0.25">
      <c r="A872"/>
      <c r="B872"/>
      <c r="C872"/>
      <c r="D872"/>
      <c r="E872"/>
      <c r="F872"/>
      <c r="G872"/>
      <c r="J872"/>
      <c r="K872" s="20"/>
    </row>
    <row r="873" spans="1:11" x14ac:dyDescent="0.25">
      <c r="A873"/>
      <c r="B873"/>
      <c r="C873"/>
      <c r="D873"/>
      <c r="E873"/>
      <c r="F873"/>
      <c r="G873"/>
      <c r="J873"/>
      <c r="K873" s="20"/>
    </row>
    <row r="874" spans="1:11" x14ac:dyDescent="0.25">
      <c r="A874"/>
      <c r="B874"/>
      <c r="C874"/>
      <c r="D874"/>
      <c r="E874"/>
      <c r="F874"/>
      <c r="G874"/>
      <c r="J874"/>
      <c r="K874" s="20"/>
    </row>
    <row r="875" spans="1:11" x14ac:dyDescent="0.25">
      <c r="A875"/>
      <c r="B875"/>
      <c r="C875"/>
      <c r="D875"/>
      <c r="E875"/>
      <c r="F875"/>
      <c r="G875"/>
      <c r="J875"/>
      <c r="K875" s="20"/>
    </row>
    <row r="876" spans="1:11" x14ac:dyDescent="0.25">
      <c r="A876"/>
      <c r="B876"/>
      <c r="C876"/>
      <c r="D876"/>
      <c r="E876"/>
      <c r="F876"/>
      <c r="G876"/>
      <c r="J876"/>
      <c r="K876" s="20"/>
    </row>
    <row r="877" spans="1:11" x14ac:dyDescent="0.25">
      <c r="A877"/>
      <c r="B877"/>
      <c r="C877"/>
      <c r="D877"/>
      <c r="E877"/>
      <c r="F877"/>
      <c r="G877"/>
      <c r="J877"/>
      <c r="K877" s="20"/>
    </row>
    <row r="878" spans="1:11" x14ac:dyDescent="0.25">
      <c r="A878"/>
      <c r="B878"/>
      <c r="C878"/>
      <c r="D878"/>
      <c r="E878"/>
      <c r="F878"/>
      <c r="G878"/>
      <c r="J878"/>
      <c r="K878" s="20"/>
    </row>
    <row r="879" spans="1:11" x14ac:dyDescent="0.25">
      <c r="A879"/>
      <c r="B879"/>
      <c r="C879"/>
      <c r="D879"/>
      <c r="E879"/>
      <c r="F879"/>
      <c r="G879"/>
      <c r="J879"/>
      <c r="K879" s="20"/>
    </row>
    <row r="880" spans="1:11" x14ac:dyDescent="0.25">
      <c r="A880"/>
      <c r="B880"/>
      <c r="C880"/>
      <c r="D880"/>
      <c r="E880"/>
      <c r="F880"/>
      <c r="G880"/>
      <c r="J880"/>
      <c r="K880" s="20"/>
    </row>
    <row r="881" spans="1:11" x14ac:dyDescent="0.25">
      <c r="A881"/>
      <c r="B881"/>
      <c r="C881"/>
      <c r="D881"/>
      <c r="E881"/>
      <c r="F881"/>
      <c r="G881"/>
      <c r="J881"/>
      <c r="K881" s="20"/>
    </row>
    <row r="882" spans="1:11" x14ac:dyDescent="0.25">
      <c r="A882"/>
      <c r="B882"/>
      <c r="C882"/>
      <c r="D882"/>
      <c r="E882"/>
      <c r="F882"/>
      <c r="G882"/>
      <c r="J882"/>
      <c r="K882" s="20"/>
    </row>
    <row r="883" spans="1:11" x14ac:dyDescent="0.25">
      <c r="A883"/>
      <c r="B883"/>
      <c r="C883"/>
      <c r="D883"/>
      <c r="E883"/>
      <c r="F883"/>
      <c r="G883"/>
      <c r="J883"/>
      <c r="K883" s="20"/>
    </row>
    <row r="884" spans="1:11" x14ac:dyDescent="0.25">
      <c r="A884"/>
      <c r="B884"/>
      <c r="C884"/>
      <c r="D884"/>
      <c r="E884"/>
      <c r="F884"/>
      <c r="G884"/>
      <c r="J884"/>
      <c r="K884" s="20"/>
    </row>
    <row r="885" spans="1:11" x14ac:dyDescent="0.25">
      <c r="A885"/>
      <c r="B885"/>
      <c r="C885"/>
      <c r="D885"/>
      <c r="E885"/>
      <c r="F885"/>
      <c r="G885"/>
      <c r="J885"/>
      <c r="K885" s="20"/>
    </row>
    <row r="886" spans="1:11" x14ac:dyDescent="0.25">
      <c r="A886"/>
      <c r="B886"/>
      <c r="C886"/>
      <c r="D886"/>
      <c r="E886"/>
      <c r="F886"/>
      <c r="G886"/>
      <c r="J886"/>
      <c r="K886" s="20"/>
    </row>
    <row r="887" spans="1:11" x14ac:dyDescent="0.25">
      <c r="A887"/>
      <c r="B887"/>
      <c r="C887"/>
      <c r="D887"/>
      <c r="E887"/>
      <c r="F887"/>
      <c r="G887"/>
      <c r="J887"/>
      <c r="K887" s="20"/>
    </row>
    <row r="888" spans="1:11" x14ac:dyDescent="0.25">
      <c r="A888"/>
      <c r="B888"/>
      <c r="C888"/>
      <c r="D888"/>
      <c r="E888"/>
      <c r="F888"/>
      <c r="G888"/>
      <c r="J888"/>
      <c r="K888" s="20"/>
    </row>
    <row r="889" spans="1:11" x14ac:dyDescent="0.25">
      <c r="A889"/>
      <c r="B889"/>
      <c r="C889"/>
      <c r="D889"/>
      <c r="E889"/>
      <c r="F889"/>
      <c r="G889"/>
      <c r="J889"/>
      <c r="K889" s="20"/>
    </row>
    <row r="890" spans="1:11" x14ac:dyDescent="0.25">
      <c r="A890"/>
      <c r="B890"/>
      <c r="C890"/>
      <c r="D890"/>
      <c r="E890"/>
      <c r="F890"/>
      <c r="G890"/>
      <c r="J890"/>
      <c r="K890" s="20"/>
    </row>
    <row r="891" spans="1:11" x14ac:dyDescent="0.25">
      <c r="A891"/>
      <c r="B891"/>
      <c r="C891"/>
      <c r="D891"/>
      <c r="E891"/>
      <c r="F891"/>
      <c r="G891"/>
      <c r="J891"/>
      <c r="K891" s="20"/>
    </row>
    <row r="892" spans="1:11" x14ac:dyDescent="0.25">
      <c r="A892"/>
      <c r="B892"/>
      <c r="C892"/>
      <c r="D892"/>
      <c r="E892"/>
      <c r="F892"/>
      <c r="G892"/>
      <c r="J892"/>
      <c r="K892" s="20"/>
    </row>
    <row r="893" spans="1:11" x14ac:dyDescent="0.25">
      <c r="A893"/>
      <c r="B893"/>
      <c r="C893"/>
      <c r="D893"/>
      <c r="E893"/>
      <c r="F893"/>
      <c r="G893"/>
      <c r="J893"/>
      <c r="K893" s="20"/>
    </row>
    <row r="894" spans="1:11" x14ac:dyDescent="0.25">
      <c r="A894"/>
      <c r="B894"/>
      <c r="C894"/>
      <c r="D894"/>
      <c r="E894"/>
      <c r="F894"/>
      <c r="G894"/>
      <c r="J894"/>
      <c r="K894" s="20"/>
    </row>
    <row r="895" spans="1:11" x14ac:dyDescent="0.25">
      <c r="A895"/>
      <c r="B895"/>
      <c r="C895"/>
      <c r="D895"/>
      <c r="E895"/>
      <c r="F895"/>
      <c r="G895"/>
      <c r="J895"/>
      <c r="K895" s="20"/>
    </row>
    <row r="896" spans="1:11" x14ac:dyDescent="0.25">
      <c r="A896"/>
      <c r="B896"/>
      <c r="C896"/>
      <c r="D896"/>
      <c r="E896"/>
      <c r="F896"/>
      <c r="G896"/>
      <c r="J896"/>
      <c r="K896" s="20"/>
    </row>
    <row r="897" spans="1:11" x14ac:dyDescent="0.25">
      <c r="A897"/>
      <c r="B897"/>
      <c r="C897"/>
      <c r="D897"/>
      <c r="E897"/>
      <c r="F897"/>
      <c r="G897"/>
      <c r="J897"/>
      <c r="K897" s="20"/>
    </row>
    <row r="898" spans="1:11" x14ac:dyDescent="0.25">
      <c r="A898"/>
      <c r="B898"/>
      <c r="C898"/>
      <c r="D898"/>
      <c r="E898"/>
      <c r="F898"/>
      <c r="G898"/>
      <c r="J898"/>
      <c r="K898" s="20"/>
    </row>
    <row r="899" spans="1:11" x14ac:dyDescent="0.25">
      <c r="A899"/>
      <c r="B899"/>
      <c r="C899"/>
      <c r="D899"/>
      <c r="E899"/>
      <c r="F899"/>
      <c r="G899"/>
      <c r="J899"/>
      <c r="K899" s="20"/>
    </row>
    <row r="900" spans="1:11" x14ac:dyDescent="0.25">
      <c r="A900"/>
      <c r="B900"/>
      <c r="C900"/>
      <c r="D900"/>
      <c r="E900"/>
      <c r="F900"/>
      <c r="G900"/>
      <c r="J900"/>
      <c r="K900" s="20"/>
    </row>
    <row r="901" spans="1:11" x14ac:dyDescent="0.25">
      <c r="A901"/>
      <c r="B901"/>
      <c r="C901"/>
      <c r="D901"/>
      <c r="E901"/>
      <c r="F901"/>
      <c r="G901"/>
      <c r="J901"/>
      <c r="K901" s="20"/>
    </row>
    <row r="902" spans="1:11" x14ac:dyDescent="0.25">
      <c r="A902"/>
      <c r="B902"/>
      <c r="C902"/>
      <c r="D902"/>
      <c r="E902"/>
      <c r="F902"/>
      <c r="G902"/>
      <c r="J902"/>
      <c r="K902" s="20"/>
    </row>
    <row r="903" spans="1:11" x14ac:dyDescent="0.25">
      <c r="A903"/>
      <c r="B903"/>
      <c r="C903"/>
      <c r="D903"/>
      <c r="E903"/>
      <c r="F903"/>
      <c r="G903"/>
      <c r="J903"/>
      <c r="K903" s="20"/>
    </row>
    <row r="904" spans="1:11" x14ac:dyDescent="0.25">
      <c r="A904"/>
      <c r="B904"/>
      <c r="C904"/>
      <c r="D904"/>
      <c r="E904"/>
      <c r="F904"/>
      <c r="G904"/>
      <c r="J904"/>
      <c r="K904" s="20"/>
    </row>
    <row r="905" spans="1:11" x14ac:dyDescent="0.25">
      <c r="A905"/>
      <c r="B905"/>
      <c r="C905"/>
      <c r="D905"/>
      <c r="E905"/>
      <c r="F905"/>
      <c r="G905"/>
      <c r="J905"/>
      <c r="K905" s="20"/>
    </row>
    <row r="906" spans="1:11" x14ac:dyDescent="0.25">
      <c r="A906"/>
      <c r="B906"/>
      <c r="C906"/>
      <c r="D906"/>
      <c r="E906"/>
      <c r="F906"/>
      <c r="G906"/>
      <c r="J906"/>
      <c r="K906" s="20"/>
    </row>
    <row r="907" spans="1:11" x14ac:dyDescent="0.25">
      <c r="A907"/>
      <c r="B907"/>
      <c r="C907"/>
      <c r="D907"/>
      <c r="E907"/>
      <c r="F907"/>
      <c r="G907"/>
      <c r="J907"/>
      <c r="K907" s="20"/>
    </row>
    <row r="908" spans="1:11" x14ac:dyDescent="0.25">
      <c r="A908"/>
      <c r="B908"/>
      <c r="C908"/>
      <c r="D908"/>
      <c r="E908"/>
      <c r="F908"/>
      <c r="G908"/>
      <c r="J908"/>
      <c r="K908" s="20"/>
    </row>
    <row r="909" spans="1:11" x14ac:dyDescent="0.25">
      <c r="A909"/>
      <c r="B909"/>
      <c r="C909"/>
      <c r="D909"/>
      <c r="E909"/>
      <c r="F909"/>
      <c r="G909"/>
      <c r="J909"/>
      <c r="K909" s="20"/>
    </row>
    <row r="910" spans="1:11" x14ac:dyDescent="0.25">
      <c r="A910"/>
      <c r="B910"/>
      <c r="C910"/>
      <c r="D910"/>
      <c r="E910"/>
      <c r="F910"/>
      <c r="G910"/>
      <c r="J910"/>
      <c r="K910" s="20"/>
    </row>
    <row r="911" spans="1:11" x14ac:dyDescent="0.25">
      <c r="A911"/>
      <c r="B911"/>
      <c r="C911"/>
      <c r="D911"/>
      <c r="E911"/>
      <c r="F911"/>
      <c r="G911"/>
      <c r="J911"/>
      <c r="K911" s="20"/>
    </row>
    <row r="912" spans="1:11" x14ac:dyDescent="0.25">
      <c r="A912"/>
      <c r="B912"/>
      <c r="C912"/>
      <c r="D912"/>
      <c r="E912"/>
      <c r="F912"/>
      <c r="G912"/>
      <c r="J912"/>
      <c r="K912" s="20"/>
    </row>
    <row r="913" spans="1:11" x14ac:dyDescent="0.25">
      <c r="A913"/>
      <c r="B913"/>
      <c r="C913"/>
      <c r="D913"/>
      <c r="E913"/>
      <c r="F913"/>
      <c r="G913"/>
      <c r="J913"/>
      <c r="K913" s="20"/>
    </row>
    <row r="914" spans="1:11" x14ac:dyDescent="0.25">
      <c r="A914"/>
      <c r="B914"/>
      <c r="C914"/>
      <c r="D914"/>
      <c r="E914"/>
      <c r="F914"/>
      <c r="G914"/>
      <c r="J914"/>
      <c r="K914" s="20"/>
    </row>
    <row r="915" spans="1:11" x14ac:dyDescent="0.25">
      <c r="A915"/>
      <c r="B915"/>
      <c r="C915"/>
      <c r="D915"/>
      <c r="E915"/>
      <c r="F915"/>
      <c r="G915"/>
      <c r="J915"/>
      <c r="K915" s="20"/>
    </row>
    <row r="916" spans="1:11" x14ac:dyDescent="0.25">
      <c r="A916"/>
      <c r="B916"/>
      <c r="C916"/>
      <c r="D916"/>
      <c r="E916"/>
      <c r="F916"/>
      <c r="G916"/>
      <c r="J916"/>
      <c r="K916" s="20"/>
    </row>
    <row r="917" spans="1:11" x14ac:dyDescent="0.25">
      <c r="A917"/>
      <c r="B917"/>
      <c r="C917"/>
      <c r="D917"/>
      <c r="E917"/>
      <c r="F917"/>
      <c r="G917"/>
      <c r="J917"/>
      <c r="K917" s="20"/>
    </row>
    <row r="918" spans="1:11" x14ac:dyDescent="0.25">
      <c r="A918"/>
      <c r="B918"/>
      <c r="C918"/>
      <c r="D918"/>
      <c r="E918"/>
      <c r="F918"/>
      <c r="G918"/>
      <c r="J918"/>
      <c r="K918" s="20"/>
    </row>
    <row r="919" spans="1:11" x14ac:dyDescent="0.25">
      <c r="A919"/>
      <c r="B919"/>
      <c r="C919"/>
      <c r="D919"/>
      <c r="E919"/>
      <c r="F919"/>
      <c r="G919"/>
      <c r="J919"/>
      <c r="K919" s="20"/>
    </row>
    <row r="920" spans="1:11" x14ac:dyDescent="0.25">
      <c r="A920"/>
      <c r="B920"/>
      <c r="C920"/>
      <c r="D920"/>
      <c r="E920"/>
      <c r="F920"/>
      <c r="G920"/>
      <c r="J920"/>
      <c r="K920" s="20"/>
    </row>
    <row r="921" spans="1:11" x14ac:dyDescent="0.25">
      <c r="A921"/>
      <c r="B921"/>
      <c r="C921"/>
      <c r="D921"/>
      <c r="E921"/>
      <c r="F921"/>
      <c r="G921"/>
      <c r="J921"/>
      <c r="K921" s="20"/>
    </row>
    <row r="922" spans="1:11" x14ac:dyDescent="0.25">
      <c r="A922"/>
      <c r="B922"/>
      <c r="C922"/>
      <c r="D922"/>
      <c r="E922"/>
      <c r="F922"/>
      <c r="G922"/>
      <c r="J922"/>
      <c r="K922" s="20"/>
    </row>
    <row r="923" spans="1:11" x14ac:dyDescent="0.25">
      <c r="A923"/>
      <c r="B923"/>
      <c r="C923"/>
      <c r="D923"/>
      <c r="E923"/>
      <c r="F923"/>
      <c r="G923"/>
      <c r="J923"/>
      <c r="K923" s="20"/>
    </row>
    <row r="924" spans="1:11" x14ac:dyDescent="0.25">
      <c r="A924"/>
      <c r="B924"/>
      <c r="C924"/>
      <c r="D924"/>
      <c r="E924"/>
      <c r="F924"/>
      <c r="G924"/>
      <c r="J924"/>
      <c r="K924" s="20"/>
    </row>
    <row r="925" spans="1:11" x14ac:dyDescent="0.25">
      <c r="A925"/>
      <c r="B925"/>
      <c r="C925"/>
      <c r="D925"/>
      <c r="E925"/>
      <c r="F925"/>
      <c r="G925"/>
      <c r="J925"/>
      <c r="K925" s="20"/>
    </row>
    <row r="926" spans="1:11" x14ac:dyDescent="0.25">
      <c r="A926"/>
      <c r="B926"/>
      <c r="C926"/>
      <c r="D926"/>
      <c r="E926"/>
      <c r="F926"/>
      <c r="G926"/>
      <c r="J926"/>
      <c r="K926" s="20"/>
    </row>
    <row r="927" spans="1:11" x14ac:dyDescent="0.25">
      <c r="A927"/>
      <c r="B927"/>
      <c r="C927"/>
      <c r="D927"/>
      <c r="E927"/>
      <c r="F927"/>
      <c r="G927"/>
      <c r="J927"/>
      <c r="K927" s="20"/>
    </row>
    <row r="928" spans="1:11" x14ac:dyDescent="0.25">
      <c r="A928"/>
      <c r="B928"/>
      <c r="C928"/>
      <c r="D928"/>
      <c r="E928"/>
      <c r="F928"/>
      <c r="G928"/>
      <c r="J928"/>
      <c r="K928" s="20"/>
    </row>
    <row r="929" spans="1:11" x14ac:dyDescent="0.25">
      <c r="A929"/>
      <c r="B929"/>
      <c r="C929"/>
      <c r="D929"/>
      <c r="E929"/>
      <c r="F929"/>
      <c r="G929"/>
      <c r="J929"/>
      <c r="K929" s="20"/>
    </row>
    <row r="930" spans="1:11" x14ac:dyDescent="0.25">
      <c r="A930"/>
      <c r="B930"/>
      <c r="C930"/>
      <c r="D930"/>
      <c r="E930"/>
      <c r="F930"/>
      <c r="G930"/>
      <c r="J930"/>
      <c r="K930" s="20"/>
    </row>
    <row r="931" spans="1:11" x14ac:dyDescent="0.25">
      <c r="A931"/>
      <c r="B931"/>
      <c r="C931"/>
      <c r="D931"/>
      <c r="E931"/>
      <c r="F931"/>
      <c r="G931"/>
      <c r="J931"/>
      <c r="K931" s="20"/>
    </row>
    <row r="932" spans="1:11" x14ac:dyDescent="0.25">
      <c r="A932"/>
      <c r="B932"/>
      <c r="C932"/>
      <c r="D932"/>
      <c r="E932"/>
      <c r="F932"/>
      <c r="G932"/>
      <c r="J932"/>
      <c r="K932" s="20"/>
    </row>
    <row r="933" spans="1:11" x14ac:dyDescent="0.25">
      <c r="A933"/>
      <c r="B933"/>
      <c r="C933"/>
      <c r="D933"/>
      <c r="E933"/>
      <c r="F933"/>
      <c r="G933"/>
      <c r="J933"/>
      <c r="K933" s="20"/>
    </row>
    <row r="934" spans="1:11" x14ac:dyDescent="0.25">
      <c r="A934"/>
      <c r="B934"/>
      <c r="C934"/>
      <c r="D934"/>
      <c r="E934"/>
      <c r="F934"/>
      <c r="G934"/>
      <c r="J934"/>
      <c r="K934" s="20"/>
    </row>
    <row r="935" spans="1:11" x14ac:dyDescent="0.25">
      <c r="A935"/>
      <c r="B935"/>
      <c r="C935"/>
      <c r="D935"/>
      <c r="E935"/>
      <c r="F935"/>
      <c r="G935"/>
      <c r="J935"/>
      <c r="K935" s="20"/>
    </row>
    <row r="936" spans="1:11" x14ac:dyDescent="0.25">
      <c r="A936"/>
      <c r="B936"/>
      <c r="C936"/>
      <c r="D936"/>
      <c r="E936"/>
      <c r="F936"/>
      <c r="G936"/>
      <c r="J936"/>
      <c r="K936" s="20"/>
    </row>
    <row r="937" spans="1:11" x14ac:dyDescent="0.25">
      <c r="A937"/>
      <c r="B937"/>
      <c r="C937"/>
      <c r="D937"/>
      <c r="E937"/>
      <c r="F937"/>
      <c r="G937"/>
      <c r="J937"/>
      <c r="K937" s="20"/>
    </row>
    <row r="938" spans="1:11" x14ac:dyDescent="0.25">
      <c r="A938"/>
      <c r="B938"/>
      <c r="C938"/>
      <c r="D938"/>
      <c r="E938"/>
      <c r="F938"/>
      <c r="G938"/>
      <c r="J938"/>
      <c r="K938" s="20"/>
    </row>
    <row r="939" spans="1:11" x14ac:dyDescent="0.25">
      <c r="A939"/>
      <c r="B939"/>
      <c r="C939"/>
      <c r="D939"/>
      <c r="E939"/>
      <c r="F939"/>
      <c r="G939"/>
      <c r="J939"/>
      <c r="K939" s="20"/>
    </row>
    <row r="940" spans="1:11" x14ac:dyDescent="0.25">
      <c r="A940"/>
      <c r="B940"/>
      <c r="C940"/>
      <c r="D940"/>
      <c r="E940"/>
      <c r="F940"/>
      <c r="G940"/>
      <c r="J940"/>
      <c r="K940" s="20"/>
    </row>
    <row r="941" spans="1:11" x14ac:dyDescent="0.25">
      <c r="A941"/>
      <c r="B941"/>
      <c r="C941"/>
      <c r="D941"/>
      <c r="E941"/>
      <c r="F941"/>
      <c r="G941"/>
      <c r="J941"/>
      <c r="K941" s="20"/>
    </row>
    <row r="942" spans="1:11" x14ac:dyDescent="0.25">
      <c r="A942"/>
      <c r="B942"/>
      <c r="C942"/>
      <c r="D942"/>
      <c r="E942"/>
      <c r="F942"/>
      <c r="G942"/>
      <c r="J942"/>
      <c r="K942" s="20"/>
    </row>
    <row r="943" spans="1:11" x14ac:dyDescent="0.25">
      <c r="A943"/>
      <c r="B943"/>
      <c r="C943"/>
      <c r="D943"/>
      <c r="E943"/>
      <c r="F943"/>
      <c r="G943"/>
      <c r="J943"/>
      <c r="K943" s="20"/>
    </row>
    <row r="944" spans="1:11" x14ac:dyDescent="0.25">
      <c r="A944"/>
      <c r="B944"/>
      <c r="C944"/>
      <c r="D944"/>
      <c r="E944"/>
      <c r="F944"/>
      <c r="G944"/>
      <c r="J944"/>
      <c r="K944" s="20"/>
    </row>
    <row r="945" spans="1:11" x14ac:dyDescent="0.25">
      <c r="A945"/>
      <c r="B945"/>
      <c r="C945"/>
      <c r="D945"/>
      <c r="E945"/>
      <c r="F945"/>
      <c r="G945"/>
      <c r="J945"/>
      <c r="K945" s="20"/>
    </row>
    <row r="946" spans="1:11" x14ac:dyDescent="0.25">
      <c r="A946"/>
      <c r="B946"/>
      <c r="C946"/>
      <c r="D946"/>
      <c r="E946"/>
      <c r="F946"/>
      <c r="G946"/>
      <c r="J946"/>
      <c r="K946" s="20"/>
    </row>
    <row r="947" spans="1:11" x14ac:dyDescent="0.25">
      <c r="A947"/>
      <c r="B947"/>
      <c r="C947"/>
      <c r="D947"/>
      <c r="E947"/>
      <c r="F947"/>
      <c r="G947"/>
      <c r="J947"/>
      <c r="K947" s="20"/>
    </row>
    <row r="948" spans="1:11" x14ac:dyDescent="0.25">
      <c r="A948"/>
      <c r="B948"/>
      <c r="C948"/>
      <c r="D948"/>
      <c r="E948"/>
      <c r="F948"/>
      <c r="G948"/>
      <c r="J948"/>
      <c r="K948" s="20"/>
    </row>
    <row r="949" spans="1:11" x14ac:dyDescent="0.25">
      <c r="A949"/>
      <c r="B949"/>
      <c r="C949"/>
      <c r="D949"/>
      <c r="E949"/>
      <c r="F949"/>
      <c r="G949"/>
      <c r="J949"/>
      <c r="K949" s="20"/>
    </row>
    <row r="950" spans="1:11" x14ac:dyDescent="0.25">
      <c r="A950"/>
      <c r="B950"/>
      <c r="C950"/>
      <c r="D950"/>
      <c r="E950"/>
      <c r="F950"/>
      <c r="G950"/>
      <c r="J950"/>
      <c r="K950" s="20"/>
    </row>
    <row r="951" spans="1:11" x14ac:dyDescent="0.25">
      <c r="A951"/>
      <c r="B951"/>
      <c r="C951"/>
      <c r="D951"/>
      <c r="E951"/>
      <c r="F951"/>
      <c r="G951"/>
      <c r="J951"/>
      <c r="K951" s="20"/>
    </row>
    <row r="952" spans="1:11" x14ac:dyDescent="0.25">
      <c r="A952"/>
      <c r="B952"/>
      <c r="C952"/>
      <c r="D952"/>
      <c r="E952"/>
      <c r="F952"/>
      <c r="G952"/>
      <c r="J952"/>
      <c r="K952" s="20"/>
    </row>
    <row r="953" spans="1:11" x14ac:dyDescent="0.25">
      <c r="A953"/>
      <c r="B953"/>
      <c r="C953"/>
      <c r="D953"/>
      <c r="E953"/>
      <c r="F953"/>
      <c r="G953"/>
      <c r="J953"/>
      <c r="K953" s="20"/>
    </row>
    <row r="954" spans="1:11" x14ac:dyDescent="0.25">
      <c r="A954"/>
      <c r="B954"/>
      <c r="C954"/>
      <c r="D954"/>
      <c r="E954"/>
      <c r="F954"/>
      <c r="G954"/>
      <c r="J954"/>
      <c r="K954" s="20"/>
    </row>
    <row r="955" spans="1:11" x14ac:dyDescent="0.25">
      <c r="A955"/>
      <c r="B955"/>
      <c r="C955"/>
      <c r="D955"/>
      <c r="E955"/>
      <c r="F955"/>
      <c r="G955"/>
      <c r="J955"/>
      <c r="K955" s="20"/>
    </row>
    <row r="956" spans="1:11" x14ac:dyDescent="0.25">
      <c r="A956"/>
      <c r="B956"/>
      <c r="C956"/>
      <c r="D956"/>
      <c r="E956"/>
      <c r="F956"/>
      <c r="G956"/>
      <c r="J956"/>
      <c r="K956" s="20"/>
    </row>
    <row r="957" spans="1:11" x14ac:dyDescent="0.25">
      <c r="A957"/>
      <c r="B957"/>
      <c r="C957"/>
      <c r="D957"/>
      <c r="E957"/>
      <c r="F957"/>
      <c r="G957"/>
      <c r="J957"/>
      <c r="K957" s="20"/>
    </row>
    <row r="958" spans="1:11" x14ac:dyDescent="0.25">
      <c r="A958"/>
      <c r="B958"/>
      <c r="C958"/>
      <c r="D958"/>
      <c r="E958"/>
      <c r="F958"/>
      <c r="G958"/>
      <c r="J958"/>
      <c r="K958" s="20"/>
    </row>
    <row r="959" spans="1:11" x14ac:dyDescent="0.25">
      <c r="A959"/>
      <c r="B959"/>
      <c r="C959"/>
      <c r="D959"/>
      <c r="E959"/>
      <c r="F959"/>
      <c r="G959"/>
      <c r="J959"/>
      <c r="K959" s="20"/>
    </row>
    <row r="960" spans="1:11" x14ac:dyDescent="0.25">
      <c r="A960"/>
      <c r="B960"/>
      <c r="C960"/>
      <c r="D960"/>
      <c r="E960"/>
      <c r="F960"/>
      <c r="G960"/>
      <c r="J960"/>
      <c r="K960" s="20"/>
    </row>
    <row r="961" spans="1:11" x14ac:dyDescent="0.25">
      <c r="A961"/>
      <c r="B961"/>
      <c r="C961"/>
      <c r="D961"/>
      <c r="E961"/>
      <c r="F961"/>
      <c r="G961"/>
      <c r="J961"/>
      <c r="K961" s="20"/>
    </row>
    <row r="962" spans="1:11" x14ac:dyDescent="0.25">
      <c r="A962"/>
      <c r="B962"/>
      <c r="C962"/>
      <c r="D962"/>
      <c r="E962"/>
      <c r="F962"/>
      <c r="G962"/>
      <c r="J962"/>
      <c r="K962" s="20"/>
    </row>
    <row r="963" spans="1:11" x14ac:dyDescent="0.25">
      <c r="A963"/>
      <c r="B963"/>
      <c r="C963"/>
      <c r="D963"/>
      <c r="E963"/>
      <c r="F963"/>
      <c r="G963"/>
      <c r="J963"/>
      <c r="K963" s="20"/>
    </row>
    <row r="964" spans="1:11" x14ac:dyDescent="0.25">
      <c r="A964"/>
      <c r="B964"/>
      <c r="C964"/>
      <c r="D964"/>
      <c r="E964"/>
      <c r="F964"/>
      <c r="G964"/>
      <c r="J964"/>
      <c r="K964" s="20"/>
    </row>
    <row r="965" spans="1:11" x14ac:dyDescent="0.25">
      <c r="A965"/>
      <c r="B965"/>
      <c r="C965"/>
      <c r="D965"/>
      <c r="E965"/>
      <c r="F965"/>
      <c r="G965"/>
      <c r="J965"/>
      <c r="K965" s="20"/>
    </row>
    <row r="966" spans="1:11" x14ac:dyDescent="0.25">
      <c r="A966"/>
      <c r="B966"/>
      <c r="C966"/>
      <c r="D966"/>
      <c r="E966"/>
      <c r="F966"/>
      <c r="G966"/>
      <c r="J966"/>
      <c r="K966" s="20"/>
    </row>
    <row r="967" spans="1:11" x14ac:dyDescent="0.25">
      <c r="A967"/>
      <c r="B967"/>
      <c r="C967"/>
      <c r="D967"/>
      <c r="E967"/>
      <c r="F967"/>
      <c r="G967"/>
      <c r="J967"/>
      <c r="K967" s="20"/>
    </row>
    <row r="968" spans="1:11" x14ac:dyDescent="0.25">
      <c r="A968"/>
      <c r="B968"/>
      <c r="C968"/>
      <c r="D968"/>
      <c r="E968"/>
      <c r="F968"/>
      <c r="G968"/>
      <c r="J968"/>
      <c r="K968" s="20"/>
    </row>
    <row r="969" spans="1:11" x14ac:dyDescent="0.25">
      <c r="A969"/>
      <c r="B969"/>
      <c r="C969"/>
      <c r="D969"/>
      <c r="E969"/>
      <c r="F969"/>
      <c r="G969"/>
    </row>
    <row r="970" spans="1:11" x14ac:dyDescent="0.25">
      <c r="A970"/>
      <c r="B970"/>
      <c r="C970"/>
      <c r="D970"/>
      <c r="E970"/>
      <c r="F970"/>
      <c r="G970"/>
    </row>
    <row r="971" spans="1:11" x14ac:dyDescent="0.25">
      <c r="A971"/>
      <c r="B971"/>
      <c r="C971"/>
      <c r="D971"/>
      <c r="E971"/>
      <c r="F971"/>
      <c r="G971"/>
    </row>
    <row r="972" spans="1:11" x14ac:dyDescent="0.25">
      <c r="A972"/>
      <c r="B972"/>
      <c r="C972"/>
      <c r="D972"/>
      <c r="E972"/>
      <c r="F972"/>
      <c r="G972"/>
    </row>
    <row r="973" spans="1:11" x14ac:dyDescent="0.25">
      <c r="A973"/>
      <c r="B973"/>
      <c r="C973"/>
      <c r="D973"/>
      <c r="E973"/>
      <c r="F973"/>
      <c r="G973"/>
    </row>
    <row r="974" spans="1:11" x14ac:dyDescent="0.25">
      <c r="A974"/>
      <c r="B974"/>
      <c r="C974"/>
      <c r="D974"/>
      <c r="E974"/>
      <c r="F974"/>
      <c r="G974"/>
    </row>
    <row r="975" spans="1:11" x14ac:dyDescent="0.25">
      <c r="A975"/>
      <c r="B975"/>
      <c r="C975"/>
      <c r="D975"/>
      <c r="E975"/>
      <c r="F975"/>
      <c r="G975"/>
    </row>
    <row r="976" spans="1:11" x14ac:dyDescent="0.25">
      <c r="A976"/>
      <c r="B976"/>
      <c r="C976"/>
      <c r="D976"/>
      <c r="E976"/>
      <c r="F976"/>
      <c r="G976"/>
    </row>
    <row r="977" spans="1:7" x14ac:dyDescent="0.25">
      <c r="A977"/>
      <c r="B977"/>
      <c r="C977"/>
      <c r="D977"/>
      <c r="E977"/>
      <c r="F977"/>
      <c r="G977"/>
    </row>
    <row r="978" spans="1:7" x14ac:dyDescent="0.25">
      <c r="A978"/>
      <c r="B978"/>
      <c r="C978"/>
      <c r="D978"/>
      <c r="E978"/>
      <c r="F978"/>
      <c r="G978"/>
    </row>
    <row r="979" spans="1:7" x14ac:dyDescent="0.25">
      <c r="A979"/>
      <c r="B979"/>
      <c r="C979"/>
      <c r="D979"/>
      <c r="E979"/>
      <c r="F979"/>
      <c r="G979"/>
    </row>
    <row r="980" spans="1:7" x14ac:dyDescent="0.25">
      <c r="A980"/>
      <c r="B980"/>
      <c r="C980"/>
      <c r="D980"/>
      <c r="E980"/>
      <c r="F980"/>
      <c r="G980"/>
    </row>
    <row r="981" spans="1:7" x14ac:dyDescent="0.25">
      <c r="A981"/>
      <c r="B981"/>
      <c r="C981"/>
      <c r="D981"/>
      <c r="E981"/>
      <c r="F981"/>
      <c r="G981"/>
    </row>
    <row r="982" spans="1:7" x14ac:dyDescent="0.25">
      <c r="A982"/>
      <c r="B982"/>
      <c r="C982"/>
      <c r="D982"/>
      <c r="E982"/>
      <c r="F982"/>
      <c r="G982"/>
    </row>
    <row r="983" spans="1:7" x14ac:dyDescent="0.25">
      <c r="A983"/>
      <c r="B983"/>
      <c r="C983"/>
      <c r="D983"/>
      <c r="E983"/>
      <c r="F983"/>
      <c r="G983"/>
    </row>
    <row r="984" spans="1:7" x14ac:dyDescent="0.25">
      <c r="A984"/>
      <c r="B984"/>
      <c r="C984"/>
      <c r="D984"/>
      <c r="E984"/>
      <c r="F984"/>
      <c r="G984"/>
    </row>
    <row r="985" spans="1:7" x14ac:dyDescent="0.25">
      <c r="A985"/>
      <c r="B985"/>
      <c r="C985"/>
      <c r="D985"/>
      <c r="E985"/>
      <c r="F985"/>
      <c r="G985"/>
    </row>
    <row r="986" spans="1:7" x14ac:dyDescent="0.25">
      <c r="A986"/>
      <c r="B986"/>
      <c r="C986"/>
      <c r="D986"/>
      <c r="E986"/>
      <c r="F986"/>
      <c r="G986"/>
    </row>
    <row r="987" spans="1:7" x14ac:dyDescent="0.25">
      <c r="A987"/>
      <c r="B987"/>
      <c r="C987"/>
      <c r="D987"/>
      <c r="E987"/>
      <c r="F987"/>
      <c r="G987"/>
    </row>
    <row r="988" spans="1:7" x14ac:dyDescent="0.25">
      <c r="A988"/>
      <c r="B988"/>
      <c r="C988"/>
      <c r="D988"/>
      <c r="E988"/>
      <c r="F988"/>
      <c r="G988"/>
    </row>
    <row r="989" spans="1:7" x14ac:dyDescent="0.25">
      <c r="A989"/>
      <c r="B989"/>
      <c r="C989"/>
      <c r="D989"/>
      <c r="E989"/>
      <c r="F989"/>
      <c r="G989"/>
    </row>
    <row r="990" spans="1:7" x14ac:dyDescent="0.25">
      <c r="A990"/>
      <c r="B990"/>
      <c r="C990"/>
      <c r="D990"/>
      <c r="E990"/>
      <c r="F990"/>
      <c r="G990"/>
    </row>
    <row r="991" spans="1:7" x14ac:dyDescent="0.25">
      <c r="A991"/>
      <c r="B991"/>
      <c r="C991"/>
      <c r="D991"/>
      <c r="E991"/>
      <c r="F991"/>
      <c r="G991"/>
    </row>
    <row r="992" spans="1:7" x14ac:dyDescent="0.25">
      <c r="A992"/>
      <c r="B992"/>
      <c r="C992"/>
      <c r="D992"/>
      <c r="E992"/>
      <c r="F992"/>
      <c r="G992"/>
    </row>
    <row r="993" spans="1:7" x14ac:dyDescent="0.25">
      <c r="A993"/>
      <c r="B993"/>
      <c r="C993"/>
      <c r="D993"/>
      <c r="E993"/>
      <c r="F993"/>
      <c r="G993"/>
    </row>
    <row r="994" spans="1:7" x14ac:dyDescent="0.25">
      <c r="A994"/>
      <c r="B994"/>
      <c r="C994"/>
      <c r="D994"/>
      <c r="E994"/>
      <c r="F994"/>
      <c r="G994"/>
    </row>
    <row r="995" spans="1:7" x14ac:dyDescent="0.25">
      <c r="A995"/>
      <c r="B995"/>
      <c r="C995"/>
      <c r="D995"/>
      <c r="E995"/>
      <c r="F995"/>
      <c r="G995"/>
    </row>
    <row r="996" spans="1:7" x14ac:dyDescent="0.25">
      <c r="A996"/>
      <c r="B996"/>
      <c r="C996"/>
      <c r="D996"/>
      <c r="E996"/>
      <c r="F996"/>
      <c r="G996"/>
    </row>
    <row r="997" spans="1:7" x14ac:dyDescent="0.25">
      <c r="A997"/>
      <c r="B997"/>
      <c r="C997"/>
      <c r="D997"/>
      <c r="E997"/>
      <c r="F997"/>
      <c r="G997"/>
    </row>
    <row r="998" spans="1:7" x14ac:dyDescent="0.25">
      <c r="A998"/>
      <c r="B998"/>
      <c r="C998"/>
      <c r="D998"/>
      <c r="E998"/>
      <c r="F998"/>
      <c r="G998"/>
    </row>
    <row r="999" spans="1:7" x14ac:dyDescent="0.25">
      <c r="A999"/>
      <c r="B999"/>
      <c r="C999"/>
      <c r="D999"/>
      <c r="E999"/>
      <c r="F999"/>
      <c r="G999"/>
    </row>
  </sheetData>
  <sheetProtection algorithmName="SHA-512" hashValue="5+LJKe9EvU8b5C5KlGYVXkvWq6k3Yz6wS8TOHke+G0CxiI1Vs9K/HfFefnoILPdlV2jj62SpZY2bXw24OJze4Q==" saltValue="vIJ4D0geMnbVCOYYIObB8g==" spinCount="100000" sheet="1" objects="1" scenarios="1"/>
  <phoneticPr fontId="5"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70C7A-E1EF-4741-BDDC-105BA7735880}">
  <sheetPr codeName="Sheet6">
    <tabColor theme="4"/>
  </sheetPr>
  <dimension ref="A1:I113"/>
  <sheetViews>
    <sheetView workbookViewId="0">
      <selection activeCell="L6" sqref="L6"/>
    </sheetView>
  </sheetViews>
  <sheetFormatPr defaultRowHeight="11.5" x14ac:dyDescent="0.25"/>
  <cols>
    <col min="1" max="1" width="8.69921875" bestFit="1" customWidth="1"/>
    <col min="2" max="2" width="15.19921875" bestFit="1" customWidth="1"/>
    <col min="3" max="3" width="8.09765625" bestFit="1" customWidth="1"/>
    <col min="4" max="4" width="10" bestFit="1" customWidth="1"/>
    <col min="5" max="5" width="13.09765625" bestFit="1" customWidth="1"/>
    <col min="6" max="6" width="8.8984375" bestFit="1" customWidth="1"/>
    <col min="7" max="7" width="10.09765625" bestFit="1" customWidth="1"/>
    <col min="8" max="8" width="14" bestFit="1" customWidth="1"/>
    <col min="9" max="9" width="17.296875" bestFit="1" customWidth="1"/>
  </cols>
  <sheetData>
    <row r="1" spans="1:9" x14ac:dyDescent="0.25">
      <c r="A1" t="s">
        <v>8</v>
      </c>
      <c r="B1" t="s">
        <v>9</v>
      </c>
      <c r="C1" t="s">
        <v>10</v>
      </c>
      <c r="D1" t="s">
        <v>11</v>
      </c>
      <c r="E1" t="s">
        <v>12</v>
      </c>
      <c r="F1" t="s">
        <v>73</v>
      </c>
      <c r="G1" t="s">
        <v>15</v>
      </c>
      <c r="H1" t="s">
        <v>1363</v>
      </c>
      <c r="I1" t="s">
        <v>1364</v>
      </c>
    </row>
    <row r="2" spans="1:9" x14ac:dyDescent="0.25">
      <c r="A2">
        <v>2025</v>
      </c>
      <c r="B2" s="288">
        <v>45658</v>
      </c>
      <c r="C2" t="s">
        <v>13</v>
      </c>
      <c r="D2" t="s">
        <v>1332</v>
      </c>
      <c r="E2" t="s">
        <v>1415</v>
      </c>
      <c r="F2">
        <v>20250101</v>
      </c>
      <c r="G2">
        <v>1.0000000000000001E-5</v>
      </c>
      <c r="H2" t="s">
        <v>471</v>
      </c>
      <c r="I2">
        <v>1</v>
      </c>
    </row>
    <row r="3" spans="1:9" x14ac:dyDescent="0.25">
      <c r="A3">
        <v>2025</v>
      </c>
      <c r="B3" s="288">
        <v>45658</v>
      </c>
      <c r="C3" t="s">
        <v>13</v>
      </c>
      <c r="D3" t="s">
        <v>1331</v>
      </c>
      <c r="E3" t="s">
        <v>659</v>
      </c>
      <c r="F3">
        <v>20250102</v>
      </c>
      <c r="G3">
        <v>1.0000000000000001E-5</v>
      </c>
      <c r="H3" t="s">
        <v>471</v>
      </c>
      <c r="I3">
        <v>1</v>
      </c>
    </row>
    <row r="4" spans="1:9" x14ac:dyDescent="0.25">
      <c r="A4">
        <v>2025</v>
      </c>
      <c r="B4" s="288">
        <v>45658</v>
      </c>
      <c r="C4" t="s">
        <v>13</v>
      </c>
      <c r="D4" t="s">
        <v>1333</v>
      </c>
      <c r="E4" t="s">
        <v>1416</v>
      </c>
      <c r="F4">
        <v>20250103</v>
      </c>
      <c r="G4">
        <v>1.0000000000000001E-5</v>
      </c>
      <c r="H4" t="s">
        <v>471</v>
      </c>
      <c r="I4">
        <v>1</v>
      </c>
    </row>
    <row r="5" spans="1:9" x14ac:dyDescent="0.25">
      <c r="A5">
        <v>2025</v>
      </c>
      <c r="B5" s="288">
        <v>45658</v>
      </c>
      <c r="C5" t="s">
        <v>14</v>
      </c>
      <c r="D5" t="s">
        <v>1401</v>
      </c>
      <c r="E5" t="s">
        <v>1408</v>
      </c>
      <c r="F5">
        <v>20250104</v>
      </c>
      <c r="G5">
        <v>1.0000000000000001E-5</v>
      </c>
      <c r="H5" t="s">
        <v>471</v>
      </c>
      <c r="I5">
        <v>1</v>
      </c>
    </row>
    <row r="6" spans="1:9" x14ac:dyDescent="0.25">
      <c r="A6">
        <v>2025</v>
      </c>
      <c r="B6" s="288">
        <v>45658</v>
      </c>
      <c r="C6" t="s">
        <v>14</v>
      </c>
      <c r="D6" t="s">
        <v>1402</v>
      </c>
      <c r="E6" t="s">
        <v>1409</v>
      </c>
      <c r="F6">
        <v>20250105</v>
      </c>
      <c r="G6">
        <v>1.0000000000000001E-5</v>
      </c>
      <c r="H6" t="s">
        <v>471</v>
      </c>
      <c r="I6">
        <v>1</v>
      </c>
    </row>
    <row r="7" spans="1:9" x14ac:dyDescent="0.25">
      <c r="A7">
        <v>2025</v>
      </c>
      <c r="B7" s="288">
        <v>45658</v>
      </c>
      <c r="C7" t="s">
        <v>14</v>
      </c>
      <c r="D7" t="s">
        <v>1403</v>
      </c>
      <c r="E7" t="s">
        <v>1410</v>
      </c>
      <c r="F7">
        <v>20250106</v>
      </c>
      <c r="G7">
        <v>1.0000000000000001E-5</v>
      </c>
      <c r="H7" t="s">
        <v>471</v>
      </c>
      <c r="I7">
        <v>1</v>
      </c>
    </row>
    <row r="8" spans="1:9" x14ac:dyDescent="0.25">
      <c r="A8">
        <v>2025</v>
      </c>
      <c r="B8" s="288">
        <v>45658</v>
      </c>
      <c r="C8" t="s">
        <v>14</v>
      </c>
      <c r="D8" t="s">
        <v>1404</v>
      </c>
      <c r="E8" t="s">
        <v>1411</v>
      </c>
      <c r="F8">
        <v>20250107</v>
      </c>
      <c r="G8">
        <v>1.0000000000000001E-5</v>
      </c>
      <c r="H8" t="s">
        <v>471</v>
      </c>
      <c r="I8">
        <v>1</v>
      </c>
    </row>
    <row r="9" spans="1:9" x14ac:dyDescent="0.25">
      <c r="A9">
        <v>2025</v>
      </c>
      <c r="B9" s="288">
        <v>45658</v>
      </c>
      <c r="C9" t="s">
        <v>14</v>
      </c>
      <c r="D9" t="s">
        <v>1405</v>
      </c>
      <c r="E9" t="s">
        <v>1412</v>
      </c>
      <c r="F9">
        <v>20250108</v>
      </c>
      <c r="G9">
        <v>1.0000000000000001E-5</v>
      </c>
      <c r="H9" t="s">
        <v>471</v>
      </c>
      <c r="I9">
        <v>1</v>
      </c>
    </row>
    <row r="10" spans="1:9" x14ac:dyDescent="0.25">
      <c r="A10">
        <v>2025</v>
      </c>
      <c r="B10" s="288">
        <v>45658</v>
      </c>
      <c r="C10" t="s">
        <v>14</v>
      </c>
      <c r="D10" t="s">
        <v>1406</v>
      </c>
      <c r="E10" t="s">
        <v>1414</v>
      </c>
      <c r="F10">
        <v>20250109</v>
      </c>
      <c r="G10">
        <v>1.0000000000000001E-5</v>
      </c>
      <c r="H10" t="s">
        <v>471</v>
      </c>
      <c r="I10">
        <v>1</v>
      </c>
    </row>
    <row r="11" spans="1:9" x14ac:dyDescent="0.25">
      <c r="A11">
        <v>2025</v>
      </c>
      <c r="B11" s="288">
        <v>45658</v>
      </c>
      <c r="C11" t="s">
        <v>14</v>
      </c>
      <c r="D11" t="s">
        <v>1407</v>
      </c>
      <c r="E11" t="s">
        <v>1413</v>
      </c>
      <c r="F11">
        <v>20250110</v>
      </c>
      <c r="G11">
        <v>1.0000000000000001E-5</v>
      </c>
      <c r="H11" t="s">
        <v>471</v>
      </c>
      <c r="I11">
        <v>1</v>
      </c>
    </row>
    <row r="12" spans="1:9" x14ac:dyDescent="0.25">
      <c r="A12">
        <v>2025</v>
      </c>
      <c r="B12" s="288">
        <v>45689</v>
      </c>
      <c r="C12" t="s">
        <v>13</v>
      </c>
      <c r="D12" t="s">
        <v>1332</v>
      </c>
      <c r="E12" t="s">
        <v>1415</v>
      </c>
      <c r="F12">
        <v>20250201</v>
      </c>
      <c r="G12">
        <v>1.0000000000000001E-5</v>
      </c>
      <c r="H12" t="s">
        <v>474</v>
      </c>
      <c r="I12">
        <v>2</v>
      </c>
    </row>
    <row r="13" spans="1:9" x14ac:dyDescent="0.25">
      <c r="A13">
        <v>2025</v>
      </c>
      <c r="B13" s="288">
        <v>45689</v>
      </c>
      <c r="C13" t="s">
        <v>13</v>
      </c>
      <c r="D13" t="s">
        <v>1331</v>
      </c>
      <c r="E13" t="s">
        <v>659</v>
      </c>
      <c r="F13">
        <v>20250202</v>
      </c>
      <c r="G13">
        <v>1.0000000000000001E-5</v>
      </c>
      <c r="H13" t="s">
        <v>474</v>
      </c>
      <c r="I13">
        <v>2</v>
      </c>
    </row>
    <row r="14" spans="1:9" x14ac:dyDescent="0.25">
      <c r="A14">
        <v>2025</v>
      </c>
      <c r="B14" s="288">
        <v>45689</v>
      </c>
      <c r="C14" t="s">
        <v>13</v>
      </c>
      <c r="D14" t="s">
        <v>1333</v>
      </c>
      <c r="E14" t="s">
        <v>1416</v>
      </c>
      <c r="F14">
        <v>20250203</v>
      </c>
      <c r="G14">
        <v>1.0000000000000001E-5</v>
      </c>
      <c r="H14" t="s">
        <v>474</v>
      </c>
      <c r="I14">
        <v>2</v>
      </c>
    </row>
    <row r="15" spans="1:9" x14ac:dyDescent="0.25">
      <c r="A15">
        <v>2025</v>
      </c>
      <c r="B15" s="288">
        <v>45689</v>
      </c>
      <c r="C15" t="s">
        <v>14</v>
      </c>
      <c r="D15" t="s">
        <v>1401</v>
      </c>
      <c r="E15" t="s">
        <v>1408</v>
      </c>
      <c r="F15">
        <v>20250204</v>
      </c>
      <c r="G15">
        <v>1.0000000000000001E-5</v>
      </c>
      <c r="H15" t="s">
        <v>474</v>
      </c>
      <c r="I15">
        <v>2</v>
      </c>
    </row>
    <row r="16" spans="1:9" x14ac:dyDescent="0.25">
      <c r="A16">
        <v>2025</v>
      </c>
      <c r="B16" s="288">
        <v>45689</v>
      </c>
      <c r="C16" t="s">
        <v>14</v>
      </c>
      <c r="D16" t="s">
        <v>1402</v>
      </c>
      <c r="E16" t="s">
        <v>1409</v>
      </c>
      <c r="F16">
        <v>20250205</v>
      </c>
      <c r="G16">
        <v>1.0000000000000001E-5</v>
      </c>
      <c r="H16" t="s">
        <v>474</v>
      </c>
      <c r="I16">
        <v>2</v>
      </c>
    </row>
    <row r="17" spans="1:9" x14ac:dyDescent="0.25">
      <c r="A17">
        <v>2025</v>
      </c>
      <c r="B17" s="288">
        <v>45689</v>
      </c>
      <c r="C17" t="s">
        <v>14</v>
      </c>
      <c r="D17" t="s">
        <v>1403</v>
      </c>
      <c r="E17" t="s">
        <v>1410</v>
      </c>
      <c r="F17">
        <v>20250206</v>
      </c>
      <c r="G17">
        <v>1.0000000000000001E-5</v>
      </c>
      <c r="H17" t="s">
        <v>474</v>
      </c>
      <c r="I17">
        <v>2</v>
      </c>
    </row>
    <row r="18" spans="1:9" x14ac:dyDescent="0.25">
      <c r="A18">
        <v>2025</v>
      </c>
      <c r="B18" s="288">
        <v>45689</v>
      </c>
      <c r="C18" t="s">
        <v>14</v>
      </c>
      <c r="D18" t="s">
        <v>1404</v>
      </c>
      <c r="E18" t="s">
        <v>1411</v>
      </c>
      <c r="F18">
        <v>20250207</v>
      </c>
      <c r="G18">
        <v>1.0000000000000001E-5</v>
      </c>
      <c r="H18" t="s">
        <v>474</v>
      </c>
      <c r="I18">
        <v>2</v>
      </c>
    </row>
    <row r="19" spans="1:9" x14ac:dyDescent="0.25">
      <c r="A19">
        <v>2025</v>
      </c>
      <c r="B19" s="288">
        <v>45689</v>
      </c>
      <c r="C19" t="s">
        <v>14</v>
      </c>
      <c r="D19" t="s">
        <v>1405</v>
      </c>
      <c r="E19" t="s">
        <v>1412</v>
      </c>
      <c r="F19">
        <v>20250208</v>
      </c>
      <c r="G19">
        <v>1.0000000000000001E-5</v>
      </c>
      <c r="H19" t="s">
        <v>474</v>
      </c>
      <c r="I19">
        <v>2</v>
      </c>
    </row>
    <row r="20" spans="1:9" x14ac:dyDescent="0.25">
      <c r="A20">
        <v>2025</v>
      </c>
      <c r="B20" s="288">
        <v>45689</v>
      </c>
      <c r="C20" t="s">
        <v>14</v>
      </c>
      <c r="D20" t="s">
        <v>1406</v>
      </c>
      <c r="E20" t="s">
        <v>1414</v>
      </c>
      <c r="F20">
        <v>20250209</v>
      </c>
      <c r="G20">
        <v>1.0000000000000001E-5</v>
      </c>
      <c r="H20" t="s">
        <v>474</v>
      </c>
      <c r="I20">
        <v>2</v>
      </c>
    </row>
    <row r="21" spans="1:9" x14ac:dyDescent="0.25">
      <c r="A21">
        <v>2025</v>
      </c>
      <c r="B21" s="288">
        <v>45689</v>
      </c>
      <c r="C21" t="s">
        <v>14</v>
      </c>
      <c r="D21" t="s">
        <v>1407</v>
      </c>
      <c r="E21" t="s">
        <v>1413</v>
      </c>
      <c r="F21">
        <v>20250210</v>
      </c>
      <c r="G21">
        <v>1.0000000000000001E-5</v>
      </c>
      <c r="H21" t="s">
        <v>474</v>
      </c>
      <c r="I21">
        <v>2</v>
      </c>
    </row>
    <row r="22" spans="1:9" x14ac:dyDescent="0.25">
      <c r="A22">
        <v>2025</v>
      </c>
      <c r="B22" s="288">
        <v>45717</v>
      </c>
      <c r="C22" t="s">
        <v>13</v>
      </c>
      <c r="D22" t="s">
        <v>1332</v>
      </c>
      <c r="E22" t="s">
        <v>1415</v>
      </c>
      <c r="F22">
        <v>20250301</v>
      </c>
      <c r="G22">
        <v>1.0000000000000001E-5</v>
      </c>
      <c r="H22" t="s">
        <v>477</v>
      </c>
      <c r="I22">
        <v>3</v>
      </c>
    </row>
    <row r="23" spans="1:9" x14ac:dyDescent="0.25">
      <c r="A23">
        <v>2025</v>
      </c>
      <c r="B23" s="288">
        <v>45717</v>
      </c>
      <c r="C23" t="s">
        <v>13</v>
      </c>
      <c r="D23" t="s">
        <v>1331</v>
      </c>
      <c r="E23" t="s">
        <v>659</v>
      </c>
      <c r="F23">
        <v>20250302</v>
      </c>
      <c r="G23">
        <v>1.0000000000000001E-5</v>
      </c>
      <c r="H23" t="s">
        <v>477</v>
      </c>
      <c r="I23">
        <v>3</v>
      </c>
    </row>
    <row r="24" spans="1:9" x14ac:dyDescent="0.25">
      <c r="A24">
        <v>2025</v>
      </c>
      <c r="B24" s="288">
        <v>45717</v>
      </c>
      <c r="C24" t="s">
        <v>13</v>
      </c>
      <c r="D24" t="s">
        <v>1333</v>
      </c>
      <c r="E24" t="s">
        <v>1416</v>
      </c>
      <c r="F24">
        <v>20250303</v>
      </c>
      <c r="G24">
        <v>1.0000000000000001E-5</v>
      </c>
      <c r="H24" t="s">
        <v>477</v>
      </c>
      <c r="I24">
        <v>3</v>
      </c>
    </row>
    <row r="25" spans="1:9" x14ac:dyDescent="0.25">
      <c r="A25">
        <v>2025</v>
      </c>
      <c r="B25" s="288">
        <v>45717</v>
      </c>
      <c r="C25" t="s">
        <v>14</v>
      </c>
      <c r="D25" t="s">
        <v>1401</v>
      </c>
      <c r="E25" t="s">
        <v>1408</v>
      </c>
      <c r="F25">
        <v>20250304</v>
      </c>
      <c r="G25">
        <v>1.0000000000000001E-5</v>
      </c>
      <c r="H25" t="s">
        <v>477</v>
      </c>
      <c r="I25">
        <v>3</v>
      </c>
    </row>
    <row r="26" spans="1:9" x14ac:dyDescent="0.25">
      <c r="A26">
        <v>2025</v>
      </c>
      <c r="B26" s="288">
        <v>45717</v>
      </c>
      <c r="C26" t="s">
        <v>14</v>
      </c>
      <c r="D26" t="s">
        <v>1402</v>
      </c>
      <c r="E26" t="s">
        <v>1409</v>
      </c>
      <c r="F26">
        <v>20250305</v>
      </c>
      <c r="G26">
        <v>1.0000000000000001E-5</v>
      </c>
      <c r="H26" t="s">
        <v>477</v>
      </c>
      <c r="I26">
        <v>3</v>
      </c>
    </row>
    <row r="27" spans="1:9" x14ac:dyDescent="0.25">
      <c r="A27">
        <v>2025</v>
      </c>
      <c r="B27" s="288">
        <v>45717</v>
      </c>
      <c r="C27" t="s">
        <v>14</v>
      </c>
      <c r="D27" t="s">
        <v>1403</v>
      </c>
      <c r="E27" t="s">
        <v>1410</v>
      </c>
      <c r="F27">
        <v>20250306</v>
      </c>
      <c r="G27">
        <v>1.0000000000000001E-5</v>
      </c>
      <c r="H27" t="s">
        <v>477</v>
      </c>
      <c r="I27">
        <v>3</v>
      </c>
    </row>
    <row r="28" spans="1:9" x14ac:dyDescent="0.25">
      <c r="A28">
        <v>2025</v>
      </c>
      <c r="B28" s="288">
        <v>45717</v>
      </c>
      <c r="C28" t="s">
        <v>14</v>
      </c>
      <c r="D28" t="s">
        <v>1404</v>
      </c>
      <c r="E28" t="s">
        <v>1411</v>
      </c>
      <c r="F28">
        <v>20250307</v>
      </c>
      <c r="G28">
        <v>1.0000000000000001E-5</v>
      </c>
      <c r="H28" t="s">
        <v>477</v>
      </c>
      <c r="I28">
        <v>3</v>
      </c>
    </row>
    <row r="29" spans="1:9" x14ac:dyDescent="0.25">
      <c r="A29">
        <v>2025</v>
      </c>
      <c r="B29" s="288">
        <v>45717</v>
      </c>
      <c r="C29" t="s">
        <v>14</v>
      </c>
      <c r="D29" t="s">
        <v>1405</v>
      </c>
      <c r="E29" t="s">
        <v>1412</v>
      </c>
      <c r="F29">
        <v>20250308</v>
      </c>
      <c r="G29">
        <v>1.0000000000000001E-5</v>
      </c>
      <c r="H29" t="s">
        <v>477</v>
      </c>
      <c r="I29">
        <v>3</v>
      </c>
    </row>
    <row r="30" spans="1:9" x14ac:dyDescent="0.25">
      <c r="A30">
        <v>2025</v>
      </c>
      <c r="B30" s="288">
        <v>45717</v>
      </c>
      <c r="C30" t="s">
        <v>14</v>
      </c>
      <c r="D30" t="s">
        <v>1406</v>
      </c>
      <c r="E30" t="s">
        <v>1414</v>
      </c>
      <c r="F30">
        <v>20250309</v>
      </c>
      <c r="G30">
        <v>1.0000000000000001E-5</v>
      </c>
      <c r="H30" t="s">
        <v>477</v>
      </c>
      <c r="I30">
        <v>3</v>
      </c>
    </row>
    <row r="31" spans="1:9" x14ac:dyDescent="0.25">
      <c r="A31">
        <v>2025</v>
      </c>
      <c r="B31" s="288">
        <v>45717</v>
      </c>
      <c r="C31" t="s">
        <v>14</v>
      </c>
      <c r="D31" t="s">
        <v>1407</v>
      </c>
      <c r="E31" t="s">
        <v>1413</v>
      </c>
      <c r="F31">
        <v>20250310</v>
      </c>
      <c r="G31">
        <v>1.0000000000000001E-5</v>
      </c>
      <c r="H31" t="s">
        <v>477</v>
      </c>
      <c r="I31">
        <v>3</v>
      </c>
    </row>
    <row r="32" spans="1:9" x14ac:dyDescent="0.25">
      <c r="A32">
        <v>2025</v>
      </c>
      <c r="B32" s="288">
        <v>45748</v>
      </c>
      <c r="C32" t="s">
        <v>13</v>
      </c>
      <c r="D32" t="s">
        <v>1332</v>
      </c>
      <c r="E32" t="s">
        <v>1415</v>
      </c>
      <c r="F32">
        <v>20250401</v>
      </c>
      <c r="G32">
        <v>1.0000000000000001E-5</v>
      </c>
      <c r="H32" t="s">
        <v>480</v>
      </c>
      <c r="I32">
        <v>4</v>
      </c>
    </row>
    <row r="33" spans="1:9" x14ac:dyDescent="0.25">
      <c r="A33">
        <v>2025</v>
      </c>
      <c r="B33" s="288">
        <v>45748</v>
      </c>
      <c r="C33" t="s">
        <v>13</v>
      </c>
      <c r="D33" t="s">
        <v>1331</v>
      </c>
      <c r="E33" t="s">
        <v>659</v>
      </c>
      <c r="F33">
        <v>20250402</v>
      </c>
      <c r="G33">
        <v>1.0000000000000001E-5</v>
      </c>
      <c r="H33" t="s">
        <v>480</v>
      </c>
      <c r="I33">
        <v>4</v>
      </c>
    </row>
    <row r="34" spans="1:9" x14ac:dyDescent="0.25">
      <c r="A34">
        <v>2025</v>
      </c>
      <c r="B34" s="288">
        <v>45748</v>
      </c>
      <c r="C34" t="s">
        <v>14</v>
      </c>
      <c r="D34" t="s">
        <v>1401</v>
      </c>
      <c r="E34" t="s">
        <v>1408</v>
      </c>
      <c r="F34">
        <v>20250404</v>
      </c>
      <c r="G34">
        <v>1.0000000000000001E-5</v>
      </c>
      <c r="H34" t="s">
        <v>480</v>
      </c>
      <c r="I34">
        <v>4</v>
      </c>
    </row>
    <row r="35" spans="1:9" x14ac:dyDescent="0.25">
      <c r="A35">
        <v>2025</v>
      </c>
      <c r="B35" s="288">
        <v>45748</v>
      </c>
      <c r="C35" t="s">
        <v>14</v>
      </c>
      <c r="D35" t="s">
        <v>1402</v>
      </c>
      <c r="E35" t="s">
        <v>1409</v>
      </c>
      <c r="F35">
        <v>20250405</v>
      </c>
      <c r="G35">
        <v>1.0000000000000001E-5</v>
      </c>
      <c r="H35" t="s">
        <v>480</v>
      </c>
      <c r="I35">
        <v>4</v>
      </c>
    </row>
    <row r="36" spans="1:9" x14ac:dyDescent="0.25">
      <c r="A36">
        <v>2025</v>
      </c>
      <c r="B36" s="288">
        <v>45748</v>
      </c>
      <c r="C36" t="s">
        <v>14</v>
      </c>
      <c r="D36" t="s">
        <v>1403</v>
      </c>
      <c r="E36" t="s">
        <v>1410</v>
      </c>
      <c r="F36">
        <v>20250406</v>
      </c>
      <c r="G36">
        <v>1.0000000000000001E-5</v>
      </c>
      <c r="H36" t="s">
        <v>480</v>
      </c>
      <c r="I36">
        <v>4</v>
      </c>
    </row>
    <row r="37" spans="1:9" x14ac:dyDescent="0.25">
      <c r="A37">
        <v>2025</v>
      </c>
      <c r="B37" s="288">
        <v>45748</v>
      </c>
      <c r="C37" t="s">
        <v>14</v>
      </c>
      <c r="D37" t="s">
        <v>1404</v>
      </c>
      <c r="E37" t="s">
        <v>1411</v>
      </c>
      <c r="F37">
        <v>20250407</v>
      </c>
      <c r="G37">
        <v>1.0000000000000001E-5</v>
      </c>
      <c r="H37" t="s">
        <v>480</v>
      </c>
      <c r="I37">
        <v>4</v>
      </c>
    </row>
    <row r="38" spans="1:9" x14ac:dyDescent="0.25">
      <c r="A38">
        <v>2025</v>
      </c>
      <c r="B38" s="288">
        <v>45748</v>
      </c>
      <c r="C38" t="s">
        <v>14</v>
      </c>
      <c r="D38" t="s">
        <v>1405</v>
      </c>
      <c r="E38" t="s">
        <v>1412</v>
      </c>
      <c r="F38">
        <v>20250408</v>
      </c>
      <c r="G38">
        <v>1.0000000000000001E-5</v>
      </c>
      <c r="H38" t="s">
        <v>480</v>
      </c>
      <c r="I38">
        <v>4</v>
      </c>
    </row>
    <row r="39" spans="1:9" x14ac:dyDescent="0.25">
      <c r="A39">
        <v>2025</v>
      </c>
      <c r="B39" s="288">
        <v>45748</v>
      </c>
      <c r="C39" t="s">
        <v>14</v>
      </c>
      <c r="D39" t="s">
        <v>1406</v>
      </c>
      <c r="E39" t="s">
        <v>1414</v>
      </c>
      <c r="F39">
        <v>20250409</v>
      </c>
      <c r="G39">
        <v>1.0000000000000001E-5</v>
      </c>
      <c r="H39" t="s">
        <v>480</v>
      </c>
      <c r="I39">
        <v>4</v>
      </c>
    </row>
    <row r="40" spans="1:9" x14ac:dyDescent="0.25">
      <c r="A40">
        <v>2025</v>
      </c>
      <c r="B40" s="288">
        <v>45748</v>
      </c>
      <c r="C40" t="s">
        <v>14</v>
      </c>
      <c r="D40" t="s">
        <v>1407</v>
      </c>
      <c r="E40" t="s">
        <v>1413</v>
      </c>
      <c r="F40">
        <v>20250410</v>
      </c>
      <c r="G40">
        <v>1.0000000000000001E-5</v>
      </c>
      <c r="H40" t="s">
        <v>480</v>
      </c>
      <c r="I40">
        <v>4</v>
      </c>
    </row>
    <row r="41" spans="1:9" x14ac:dyDescent="0.25">
      <c r="A41">
        <v>2025</v>
      </c>
      <c r="B41" s="288">
        <v>45778</v>
      </c>
      <c r="C41" t="s">
        <v>13</v>
      </c>
      <c r="D41" t="s">
        <v>1332</v>
      </c>
      <c r="E41" t="s">
        <v>1415</v>
      </c>
      <c r="F41">
        <v>20250501</v>
      </c>
      <c r="G41">
        <v>1.0000000000000001E-5</v>
      </c>
      <c r="H41" t="s">
        <v>437</v>
      </c>
      <c r="I41">
        <v>5</v>
      </c>
    </row>
    <row r="42" spans="1:9" x14ac:dyDescent="0.25">
      <c r="A42">
        <v>2025</v>
      </c>
      <c r="B42" s="288">
        <v>45778</v>
      </c>
      <c r="C42" t="s">
        <v>13</v>
      </c>
      <c r="D42" t="s">
        <v>1331</v>
      </c>
      <c r="E42" t="s">
        <v>659</v>
      </c>
      <c r="F42">
        <v>20250502</v>
      </c>
      <c r="G42">
        <v>1.0000000000000001E-5</v>
      </c>
      <c r="H42" t="s">
        <v>437</v>
      </c>
      <c r="I42">
        <v>5</v>
      </c>
    </row>
    <row r="43" spans="1:9" x14ac:dyDescent="0.25">
      <c r="A43">
        <v>2025</v>
      </c>
      <c r="B43" s="288">
        <v>45778</v>
      </c>
      <c r="C43" t="s">
        <v>14</v>
      </c>
      <c r="D43" t="s">
        <v>1401</v>
      </c>
      <c r="E43" t="s">
        <v>1408</v>
      </c>
      <c r="F43">
        <v>20250504</v>
      </c>
      <c r="G43">
        <v>1.0000000000000001E-5</v>
      </c>
      <c r="H43" t="s">
        <v>437</v>
      </c>
      <c r="I43">
        <v>5</v>
      </c>
    </row>
    <row r="44" spans="1:9" x14ac:dyDescent="0.25">
      <c r="A44">
        <v>2025</v>
      </c>
      <c r="B44" s="288">
        <v>45778</v>
      </c>
      <c r="C44" t="s">
        <v>14</v>
      </c>
      <c r="D44" t="s">
        <v>1402</v>
      </c>
      <c r="E44" t="s">
        <v>1409</v>
      </c>
      <c r="F44">
        <v>20250505</v>
      </c>
      <c r="G44">
        <v>1.0000000000000001E-5</v>
      </c>
      <c r="H44" t="s">
        <v>437</v>
      </c>
      <c r="I44">
        <v>5</v>
      </c>
    </row>
    <row r="45" spans="1:9" x14ac:dyDescent="0.25">
      <c r="A45">
        <v>2025</v>
      </c>
      <c r="B45" s="288">
        <v>45778</v>
      </c>
      <c r="C45" t="s">
        <v>14</v>
      </c>
      <c r="D45" t="s">
        <v>1403</v>
      </c>
      <c r="E45" t="s">
        <v>1410</v>
      </c>
      <c r="F45">
        <v>20250506</v>
      </c>
      <c r="G45">
        <v>1.0000000000000001E-5</v>
      </c>
      <c r="H45" t="s">
        <v>437</v>
      </c>
      <c r="I45">
        <v>5</v>
      </c>
    </row>
    <row r="46" spans="1:9" x14ac:dyDescent="0.25">
      <c r="A46">
        <v>2025</v>
      </c>
      <c r="B46" s="288">
        <v>45778</v>
      </c>
      <c r="C46" t="s">
        <v>14</v>
      </c>
      <c r="D46" t="s">
        <v>1404</v>
      </c>
      <c r="E46" t="s">
        <v>1411</v>
      </c>
      <c r="F46">
        <v>20250507</v>
      </c>
      <c r="G46">
        <v>1.0000000000000001E-5</v>
      </c>
      <c r="H46" t="s">
        <v>437</v>
      </c>
      <c r="I46">
        <v>5</v>
      </c>
    </row>
    <row r="47" spans="1:9" x14ac:dyDescent="0.25">
      <c r="A47">
        <v>2025</v>
      </c>
      <c r="B47" s="288">
        <v>45778</v>
      </c>
      <c r="C47" t="s">
        <v>14</v>
      </c>
      <c r="D47" t="s">
        <v>1405</v>
      </c>
      <c r="E47" t="s">
        <v>1412</v>
      </c>
      <c r="F47">
        <v>20250508</v>
      </c>
      <c r="G47">
        <v>1.0000000000000001E-5</v>
      </c>
      <c r="H47" t="s">
        <v>437</v>
      </c>
      <c r="I47">
        <v>5</v>
      </c>
    </row>
    <row r="48" spans="1:9" x14ac:dyDescent="0.25">
      <c r="A48">
        <v>2025</v>
      </c>
      <c r="B48" s="288">
        <v>45778</v>
      </c>
      <c r="C48" t="s">
        <v>14</v>
      </c>
      <c r="D48" t="s">
        <v>1406</v>
      </c>
      <c r="E48" t="s">
        <v>1414</v>
      </c>
      <c r="F48">
        <v>20250509</v>
      </c>
      <c r="G48">
        <v>1.0000000000000001E-5</v>
      </c>
      <c r="H48" t="s">
        <v>437</v>
      </c>
      <c r="I48">
        <v>5</v>
      </c>
    </row>
    <row r="49" spans="1:9" x14ac:dyDescent="0.25">
      <c r="A49">
        <v>2025</v>
      </c>
      <c r="B49" s="288">
        <v>45778</v>
      </c>
      <c r="C49" t="s">
        <v>14</v>
      </c>
      <c r="D49" t="s">
        <v>1407</v>
      </c>
      <c r="E49" t="s">
        <v>1413</v>
      </c>
      <c r="F49">
        <v>20250510</v>
      </c>
      <c r="G49">
        <v>1.0000000000000001E-5</v>
      </c>
      <c r="H49" t="s">
        <v>437</v>
      </c>
      <c r="I49">
        <v>5</v>
      </c>
    </row>
    <row r="50" spans="1:9" x14ac:dyDescent="0.25">
      <c r="A50">
        <v>2025</v>
      </c>
      <c r="B50" s="288">
        <v>45809</v>
      </c>
      <c r="C50" t="s">
        <v>13</v>
      </c>
      <c r="D50" t="s">
        <v>1332</v>
      </c>
      <c r="E50" t="s">
        <v>1415</v>
      </c>
      <c r="F50">
        <v>20250601</v>
      </c>
      <c r="G50">
        <v>1.0000000000000001E-5</v>
      </c>
      <c r="H50" t="s">
        <v>485</v>
      </c>
      <c r="I50">
        <v>6</v>
      </c>
    </row>
    <row r="51" spans="1:9" x14ac:dyDescent="0.25">
      <c r="A51">
        <v>2025</v>
      </c>
      <c r="B51" s="288">
        <v>45809</v>
      </c>
      <c r="C51" t="s">
        <v>13</v>
      </c>
      <c r="D51" t="s">
        <v>1331</v>
      </c>
      <c r="E51" t="s">
        <v>659</v>
      </c>
      <c r="F51">
        <v>20250602</v>
      </c>
      <c r="G51">
        <v>1.0000000000000001E-5</v>
      </c>
      <c r="H51" t="s">
        <v>485</v>
      </c>
      <c r="I51">
        <v>6</v>
      </c>
    </row>
    <row r="52" spans="1:9" x14ac:dyDescent="0.25">
      <c r="A52">
        <v>2025</v>
      </c>
      <c r="B52" s="288">
        <v>45809</v>
      </c>
      <c r="C52" t="s">
        <v>14</v>
      </c>
      <c r="D52" t="s">
        <v>1401</v>
      </c>
      <c r="E52" t="s">
        <v>1408</v>
      </c>
      <c r="F52">
        <v>20250604</v>
      </c>
      <c r="G52">
        <v>1.0000000000000001E-5</v>
      </c>
      <c r="H52" t="s">
        <v>485</v>
      </c>
      <c r="I52">
        <v>6</v>
      </c>
    </row>
    <row r="53" spans="1:9" x14ac:dyDescent="0.25">
      <c r="A53">
        <v>2025</v>
      </c>
      <c r="B53" s="288">
        <v>45809</v>
      </c>
      <c r="C53" t="s">
        <v>14</v>
      </c>
      <c r="D53" t="s">
        <v>1402</v>
      </c>
      <c r="E53" t="s">
        <v>1409</v>
      </c>
      <c r="F53">
        <v>20250605</v>
      </c>
      <c r="G53">
        <v>1.0000000000000001E-5</v>
      </c>
      <c r="H53" t="s">
        <v>485</v>
      </c>
      <c r="I53">
        <v>6</v>
      </c>
    </row>
    <row r="54" spans="1:9" x14ac:dyDescent="0.25">
      <c r="A54">
        <v>2025</v>
      </c>
      <c r="B54" s="288">
        <v>45809</v>
      </c>
      <c r="C54" t="s">
        <v>14</v>
      </c>
      <c r="D54" t="s">
        <v>1403</v>
      </c>
      <c r="E54" t="s">
        <v>1410</v>
      </c>
      <c r="F54">
        <v>20250606</v>
      </c>
      <c r="G54">
        <v>1.0000000000000001E-5</v>
      </c>
      <c r="H54" t="s">
        <v>485</v>
      </c>
      <c r="I54">
        <v>6</v>
      </c>
    </row>
    <row r="55" spans="1:9" x14ac:dyDescent="0.25">
      <c r="A55">
        <v>2025</v>
      </c>
      <c r="B55" s="288">
        <v>45809</v>
      </c>
      <c r="C55" t="s">
        <v>14</v>
      </c>
      <c r="D55" t="s">
        <v>1404</v>
      </c>
      <c r="E55" t="s">
        <v>1411</v>
      </c>
      <c r="F55">
        <v>20250607</v>
      </c>
      <c r="G55">
        <v>1.0000000000000001E-5</v>
      </c>
      <c r="H55" t="s">
        <v>485</v>
      </c>
      <c r="I55">
        <v>6</v>
      </c>
    </row>
    <row r="56" spans="1:9" x14ac:dyDescent="0.25">
      <c r="A56">
        <v>2025</v>
      </c>
      <c r="B56" s="288">
        <v>45809</v>
      </c>
      <c r="C56" t="s">
        <v>14</v>
      </c>
      <c r="D56" t="s">
        <v>1405</v>
      </c>
      <c r="E56" t="s">
        <v>1412</v>
      </c>
      <c r="F56">
        <v>20250608</v>
      </c>
      <c r="G56">
        <v>1.0000000000000001E-5</v>
      </c>
      <c r="H56" t="s">
        <v>485</v>
      </c>
      <c r="I56">
        <v>6</v>
      </c>
    </row>
    <row r="57" spans="1:9" x14ac:dyDescent="0.25">
      <c r="A57">
        <v>2025</v>
      </c>
      <c r="B57" s="288">
        <v>45809</v>
      </c>
      <c r="C57" t="s">
        <v>14</v>
      </c>
      <c r="D57" t="s">
        <v>1406</v>
      </c>
      <c r="E57" t="s">
        <v>1414</v>
      </c>
      <c r="F57">
        <v>20250609</v>
      </c>
      <c r="G57">
        <v>1.0000000000000001E-5</v>
      </c>
      <c r="H57" t="s">
        <v>485</v>
      </c>
      <c r="I57">
        <v>6</v>
      </c>
    </row>
    <row r="58" spans="1:9" x14ac:dyDescent="0.25">
      <c r="A58">
        <v>2025</v>
      </c>
      <c r="B58" s="288">
        <v>45809</v>
      </c>
      <c r="C58" t="s">
        <v>14</v>
      </c>
      <c r="D58" t="s">
        <v>1407</v>
      </c>
      <c r="E58" t="s">
        <v>1413</v>
      </c>
      <c r="F58">
        <v>20250610</v>
      </c>
      <c r="G58">
        <v>1.0000000000000001E-5</v>
      </c>
      <c r="H58" t="s">
        <v>485</v>
      </c>
      <c r="I58">
        <v>6</v>
      </c>
    </row>
    <row r="59" spans="1:9" x14ac:dyDescent="0.25">
      <c r="A59">
        <v>2025</v>
      </c>
      <c r="B59" s="288">
        <v>45839</v>
      </c>
      <c r="C59" t="s">
        <v>13</v>
      </c>
      <c r="D59" t="s">
        <v>1332</v>
      </c>
      <c r="E59" t="s">
        <v>1415</v>
      </c>
      <c r="F59">
        <v>20250701</v>
      </c>
      <c r="G59">
        <v>1.0000000000000001E-5</v>
      </c>
      <c r="H59" t="s">
        <v>488</v>
      </c>
      <c r="I59">
        <v>7</v>
      </c>
    </row>
    <row r="60" spans="1:9" x14ac:dyDescent="0.25">
      <c r="A60">
        <v>2025</v>
      </c>
      <c r="B60" s="288">
        <v>45839</v>
      </c>
      <c r="C60" t="s">
        <v>13</v>
      </c>
      <c r="D60" t="s">
        <v>1331</v>
      </c>
      <c r="E60" t="s">
        <v>659</v>
      </c>
      <c r="F60">
        <v>20250702</v>
      </c>
      <c r="G60">
        <v>1.0000000000000001E-5</v>
      </c>
      <c r="H60" t="s">
        <v>488</v>
      </c>
      <c r="I60">
        <v>7</v>
      </c>
    </row>
    <row r="61" spans="1:9" x14ac:dyDescent="0.25">
      <c r="A61">
        <v>2025</v>
      </c>
      <c r="B61" s="288">
        <v>45839</v>
      </c>
      <c r="C61" t="s">
        <v>14</v>
      </c>
      <c r="D61" t="s">
        <v>1401</v>
      </c>
      <c r="E61" t="s">
        <v>1408</v>
      </c>
      <c r="F61">
        <v>20250704</v>
      </c>
      <c r="G61">
        <v>1.0000000000000001E-5</v>
      </c>
      <c r="H61" t="s">
        <v>488</v>
      </c>
      <c r="I61">
        <v>7</v>
      </c>
    </row>
    <row r="62" spans="1:9" x14ac:dyDescent="0.25">
      <c r="A62">
        <v>2025</v>
      </c>
      <c r="B62" s="288">
        <v>45839</v>
      </c>
      <c r="C62" t="s">
        <v>14</v>
      </c>
      <c r="D62" t="s">
        <v>1402</v>
      </c>
      <c r="E62" t="s">
        <v>1409</v>
      </c>
      <c r="F62">
        <v>20250705</v>
      </c>
      <c r="G62">
        <v>1.0000000000000001E-5</v>
      </c>
      <c r="H62" t="s">
        <v>488</v>
      </c>
      <c r="I62">
        <v>7</v>
      </c>
    </row>
    <row r="63" spans="1:9" x14ac:dyDescent="0.25">
      <c r="A63">
        <v>2025</v>
      </c>
      <c r="B63" s="288">
        <v>45839</v>
      </c>
      <c r="C63" t="s">
        <v>14</v>
      </c>
      <c r="D63" t="s">
        <v>1403</v>
      </c>
      <c r="E63" t="s">
        <v>1410</v>
      </c>
      <c r="F63">
        <v>20250706</v>
      </c>
      <c r="G63">
        <v>1.0000000000000001E-5</v>
      </c>
      <c r="H63" t="s">
        <v>488</v>
      </c>
      <c r="I63">
        <v>7</v>
      </c>
    </row>
    <row r="64" spans="1:9" x14ac:dyDescent="0.25">
      <c r="A64">
        <v>2025</v>
      </c>
      <c r="B64" s="288">
        <v>45839</v>
      </c>
      <c r="C64" t="s">
        <v>14</v>
      </c>
      <c r="D64" t="s">
        <v>1404</v>
      </c>
      <c r="E64" t="s">
        <v>1411</v>
      </c>
      <c r="F64">
        <v>20250707</v>
      </c>
      <c r="G64">
        <v>1.0000000000000001E-5</v>
      </c>
      <c r="H64" t="s">
        <v>488</v>
      </c>
      <c r="I64">
        <v>7</v>
      </c>
    </row>
    <row r="65" spans="1:9" x14ac:dyDescent="0.25">
      <c r="A65">
        <v>2025</v>
      </c>
      <c r="B65" s="288">
        <v>45839</v>
      </c>
      <c r="C65" t="s">
        <v>14</v>
      </c>
      <c r="D65" t="s">
        <v>1405</v>
      </c>
      <c r="E65" t="s">
        <v>1412</v>
      </c>
      <c r="F65">
        <v>20250708</v>
      </c>
      <c r="G65">
        <v>1.0000000000000001E-5</v>
      </c>
      <c r="H65" t="s">
        <v>488</v>
      </c>
      <c r="I65">
        <v>7</v>
      </c>
    </row>
    <row r="66" spans="1:9" x14ac:dyDescent="0.25">
      <c r="A66">
        <v>2025</v>
      </c>
      <c r="B66" s="288">
        <v>45839</v>
      </c>
      <c r="C66" t="s">
        <v>14</v>
      </c>
      <c r="D66" t="s">
        <v>1406</v>
      </c>
      <c r="E66" t="s">
        <v>1414</v>
      </c>
      <c r="F66">
        <v>20250709</v>
      </c>
      <c r="G66">
        <v>1.0000000000000001E-5</v>
      </c>
      <c r="H66" t="s">
        <v>488</v>
      </c>
      <c r="I66">
        <v>7</v>
      </c>
    </row>
    <row r="67" spans="1:9" x14ac:dyDescent="0.25">
      <c r="A67">
        <v>2025</v>
      </c>
      <c r="B67" s="288">
        <v>45839</v>
      </c>
      <c r="C67" t="s">
        <v>14</v>
      </c>
      <c r="D67" t="s">
        <v>1407</v>
      </c>
      <c r="E67" t="s">
        <v>1413</v>
      </c>
      <c r="F67">
        <v>20250710</v>
      </c>
      <c r="G67">
        <v>1.0000000000000001E-5</v>
      </c>
      <c r="H67" t="s">
        <v>488</v>
      </c>
      <c r="I67">
        <v>7</v>
      </c>
    </row>
    <row r="68" spans="1:9" x14ac:dyDescent="0.25">
      <c r="A68">
        <v>2025</v>
      </c>
      <c r="B68" s="288">
        <v>45870</v>
      </c>
      <c r="C68" t="s">
        <v>13</v>
      </c>
      <c r="D68" t="s">
        <v>1332</v>
      </c>
      <c r="E68" t="s">
        <v>1415</v>
      </c>
      <c r="F68">
        <v>20250801</v>
      </c>
      <c r="G68">
        <v>1.0000000000000001E-5</v>
      </c>
      <c r="H68" t="s">
        <v>491</v>
      </c>
      <c r="I68">
        <v>8</v>
      </c>
    </row>
    <row r="69" spans="1:9" x14ac:dyDescent="0.25">
      <c r="A69">
        <v>2025</v>
      </c>
      <c r="B69" s="288">
        <v>45870</v>
      </c>
      <c r="C69" t="s">
        <v>13</v>
      </c>
      <c r="D69" t="s">
        <v>1331</v>
      </c>
      <c r="E69" t="s">
        <v>659</v>
      </c>
      <c r="F69">
        <v>20250802</v>
      </c>
      <c r="G69">
        <v>1.0000000000000001E-5</v>
      </c>
      <c r="H69" t="s">
        <v>491</v>
      </c>
      <c r="I69">
        <v>8</v>
      </c>
    </row>
    <row r="70" spans="1:9" x14ac:dyDescent="0.25">
      <c r="A70">
        <v>2025</v>
      </c>
      <c r="B70" s="288">
        <v>45870</v>
      </c>
      <c r="C70" t="s">
        <v>14</v>
      </c>
      <c r="D70" t="s">
        <v>1401</v>
      </c>
      <c r="E70" t="s">
        <v>1408</v>
      </c>
      <c r="F70">
        <v>20250804</v>
      </c>
      <c r="G70">
        <v>1.0000000000000001E-5</v>
      </c>
      <c r="H70" t="s">
        <v>491</v>
      </c>
      <c r="I70">
        <v>8</v>
      </c>
    </row>
    <row r="71" spans="1:9" x14ac:dyDescent="0.25">
      <c r="A71">
        <v>2025</v>
      </c>
      <c r="B71" s="288">
        <v>45870</v>
      </c>
      <c r="C71" t="s">
        <v>14</v>
      </c>
      <c r="D71" t="s">
        <v>1402</v>
      </c>
      <c r="E71" t="s">
        <v>1409</v>
      </c>
      <c r="F71">
        <v>20250805</v>
      </c>
      <c r="G71">
        <v>1.0000000000000001E-5</v>
      </c>
      <c r="H71" t="s">
        <v>491</v>
      </c>
      <c r="I71">
        <v>8</v>
      </c>
    </row>
    <row r="72" spans="1:9" x14ac:dyDescent="0.25">
      <c r="A72">
        <v>2025</v>
      </c>
      <c r="B72" s="288">
        <v>45870</v>
      </c>
      <c r="C72" t="s">
        <v>14</v>
      </c>
      <c r="D72" t="s">
        <v>1403</v>
      </c>
      <c r="E72" t="s">
        <v>1410</v>
      </c>
      <c r="F72">
        <v>20250806</v>
      </c>
      <c r="G72">
        <v>1.0000000000000001E-5</v>
      </c>
      <c r="H72" t="s">
        <v>491</v>
      </c>
      <c r="I72">
        <v>8</v>
      </c>
    </row>
    <row r="73" spans="1:9" x14ac:dyDescent="0.25">
      <c r="A73">
        <v>2025</v>
      </c>
      <c r="B73" s="288">
        <v>45870</v>
      </c>
      <c r="C73" t="s">
        <v>14</v>
      </c>
      <c r="D73" t="s">
        <v>1404</v>
      </c>
      <c r="E73" t="s">
        <v>1411</v>
      </c>
      <c r="F73">
        <v>20250807</v>
      </c>
      <c r="G73">
        <v>1.0000000000000001E-5</v>
      </c>
      <c r="H73" t="s">
        <v>491</v>
      </c>
      <c r="I73">
        <v>8</v>
      </c>
    </row>
    <row r="74" spans="1:9" x14ac:dyDescent="0.25">
      <c r="A74">
        <v>2025</v>
      </c>
      <c r="B74" s="288">
        <v>45870</v>
      </c>
      <c r="C74" t="s">
        <v>14</v>
      </c>
      <c r="D74" t="s">
        <v>1405</v>
      </c>
      <c r="E74" t="s">
        <v>1412</v>
      </c>
      <c r="F74">
        <v>20250808</v>
      </c>
      <c r="G74">
        <v>1.0000000000000001E-5</v>
      </c>
      <c r="H74" t="s">
        <v>491</v>
      </c>
      <c r="I74">
        <v>8</v>
      </c>
    </row>
    <row r="75" spans="1:9" x14ac:dyDescent="0.25">
      <c r="A75">
        <v>2025</v>
      </c>
      <c r="B75" s="288">
        <v>45870</v>
      </c>
      <c r="C75" t="s">
        <v>14</v>
      </c>
      <c r="D75" t="s">
        <v>1406</v>
      </c>
      <c r="E75" t="s">
        <v>1414</v>
      </c>
      <c r="F75">
        <v>20250809</v>
      </c>
      <c r="G75">
        <v>1.0000000000000001E-5</v>
      </c>
      <c r="H75" t="s">
        <v>491</v>
      </c>
      <c r="I75">
        <v>8</v>
      </c>
    </row>
    <row r="76" spans="1:9" x14ac:dyDescent="0.25">
      <c r="A76">
        <v>2025</v>
      </c>
      <c r="B76" s="288">
        <v>45870</v>
      </c>
      <c r="C76" t="s">
        <v>14</v>
      </c>
      <c r="D76" t="s">
        <v>1407</v>
      </c>
      <c r="E76" t="s">
        <v>1413</v>
      </c>
      <c r="F76">
        <v>20250810</v>
      </c>
      <c r="G76">
        <v>1.0000000000000001E-5</v>
      </c>
      <c r="H76" t="s">
        <v>491</v>
      </c>
      <c r="I76">
        <v>8</v>
      </c>
    </row>
    <row r="77" spans="1:9" x14ac:dyDescent="0.25">
      <c r="A77">
        <v>2025</v>
      </c>
      <c r="B77" s="288">
        <v>45901</v>
      </c>
      <c r="C77" t="s">
        <v>13</v>
      </c>
      <c r="D77" t="s">
        <v>1332</v>
      </c>
      <c r="E77" t="s">
        <v>1415</v>
      </c>
      <c r="F77">
        <v>20250901</v>
      </c>
      <c r="G77">
        <v>1.0000000000000001E-5</v>
      </c>
      <c r="H77" t="s">
        <v>494</v>
      </c>
      <c r="I77">
        <v>9</v>
      </c>
    </row>
    <row r="78" spans="1:9" x14ac:dyDescent="0.25">
      <c r="A78">
        <v>2025</v>
      </c>
      <c r="B78" s="288">
        <v>45901</v>
      </c>
      <c r="C78" t="s">
        <v>13</v>
      </c>
      <c r="D78" t="s">
        <v>1331</v>
      </c>
      <c r="E78" t="s">
        <v>659</v>
      </c>
      <c r="F78">
        <v>20250902</v>
      </c>
      <c r="G78">
        <v>1.0000000000000001E-5</v>
      </c>
      <c r="H78" t="s">
        <v>494</v>
      </c>
      <c r="I78">
        <v>9</v>
      </c>
    </row>
    <row r="79" spans="1:9" x14ac:dyDescent="0.25">
      <c r="A79">
        <v>2025</v>
      </c>
      <c r="B79" s="288">
        <v>45901</v>
      </c>
      <c r="C79" t="s">
        <v>13</v>
      </c>
      <c r="D79" t="s">
        <v>1333</v>
      </c>
      <c r="E79" t="s">
        <v>1416</v>
      </c>
      <c r="F79">
        <v>20250903</v>
      </c>
      <c r="G79">
        <v>1.0000000000000001E-5</v>
      </c>
      <c r="H79" t="s">
        <v>494</v>
      </c>
      <c r="I79">
        <v>9</v>
      </c>
    </row>
    <row r="80" spans="1:9" x14ac:dyDescent="0.25">
      <c r="A80">
        <v>2025</v>
      </c>
      <c r="B80" s="288">
        <v>45901</v>
      </c>
      <c r="C80" t="s">
        <v>14</v>
      </c>
      <c r="D80" t="s">
        <v>1401</v>
      </c>
      <c r="E80" t="s">
        <v>1408</v>
      </c>
      <c r="F80">
        <v>20250904</v>
      </c>
      <c r="G80">
        <v>1.0000000000000001E-5</v>
      </c>
      <c r="H80" t="s">
        <v>494</v>
      </c>
      <c r="I80">
        <v>9</v>
      </c>
    </row>
    <row r="81" spans="1:9" x14ac:dyDescent="0.25">
      <c r="A81">
        <v>2025</v>
      </c>
      <c r="B81" s="288">
        <v>45901</v>
      </c>
      <c r="C81" t="s">
        <v>14</v>
      </c>
      <c r="D81" t="s">
        <v>1402</v>
      </c>
      <c r="E81" t="s">
        <v>1409</v>
      </c>
      <c r="F81">
        <v>20250905</v>
      </c>
      <c r="G81">
        <v>1.0000000000000001E-5</v>
      </c>
      <c r="H81" t="s">
        <v>494</v>
      </c>
      <c r="I81">
        <v>9</v>
      </c>
    </row>
    <row r="82" spans="1:9" x14ac:dyDescent="0.25">
      <c r="A82">
        <v>2025</v>
      </c>
      <c r="B82" s="288">
        <v>45901</v>
      </c>
      <c r="C82" t="s">
        <v>14</v>
      </c>
      <c r="D82" t="s">
        <v>1403</v>
      </c>
      <c r="E82" t="s">
        <v>1410</v>
      </c>
      <c r="F82">
        <v>20250906</v>
      </c>
      <c r="G82">
        <v>1.0000000000000001E-5</v>
      </c>
      <c r="H82" t="s">
        <v>494</v>
      </c>
      <c r="I82">
        <v>9</v>
      </c>
    </row>
    <row r="83" spans="1:9" x14ac:dyDescent="0.25">
      <c r="A83">
        <v>2025</v>
      </c>
      <c r="B83" s="288">
        <v>45901</v>
      </c>
      <c r="C83" t="s">
        <v>14</v>
      </c>
      <c r="D83" t="s">
        <v>1404</v>
      </c>
      <c r="E83" t="s">
        <v>1411</v>
      </c>
      <c r="F83">
        <v>20250907</v>
      </c>
      <c r="G83">
        <v>1.0000000000000001E-5</v>
      </c>
      <c r="H83" t="s">
        <v>494</v>
      </c>
      <c r="I83">
        <v>9</v>
      </c>
    </row>
    <row r="84" spans="1:9" x14ac:dyDescent="0.25">
      <c r="A84">
        <v>2025</v>
      </c>
      <c r="B84" s="288">
        <v>45901</v>
      </c>
      <c r="C84" t="s">
        <v>14</v>
      </c>
      <c r="D84" t="s">
        <v>1405</v>
      </c>
      <c r="E84" t="s">
        <v>1412</v>
      </c>
      <c r="F84">
        <v>20250908</v>
      </c>
      <c r="G84">
        <v>1.0000000000000001E-5</v>
      </c>
      <c r="H84" t="s">
        <v>494</v>
      </c>
      <c r="I84">
        <v>9</v>
      </c>
    </row>
    <row r="85" spans="1:9" x14ac:dyDescent="0.25">
      <c r="A85">
        <v>2025</v>
      </c>
      <c r="B85" s="288">
        <v>45901</v>
      </c>
      <c r="C85" t="s">
        <v>14</v>
      </c>
      <c r="D85" t="s">
        <v>1406</v>
      </c>
      <c r="E85" t="s">
        <v>1414</v>
      </c>
      <c r="F85">
        <v>20250909</v>
      </c>
      <c r="G85">
        <v>1.0000000000000001E-5</v>
      </c>
      <c r="H85" t="s">
        <v>494</v>
      </c>
      <c r="I85">
        <v>9</v>
      </c>
    </row>
    <row r="86" spans="1:9" x14ac:dyDescent="0.25">
      <c r="A86">
        <v>2025</v>
      </c>
      <c r="B86" s="288">
        <v>45901</v>
      </c>
      <c r="C86" t="s">
        <v>14</v>
      </c>
      <c r="D86" t="s">
        <v>1407</v>
      </c>
      <c r="E86" t="s">
        <v>1413</v>
      </c>
      <c r="F86">
        <v>20250910</v>
      </c>
      <c r="G86">
        <v>1.0000000000000001E-5</v>
      </c>
      <c r="H86" t="s">
        <v>494</v>
      </c>
      <c r="I86">
        <v>9</v>
      </c>
    </row>
    <row r="87" spans="1:9" x14ac:dyDescent="0.25">
      <c r="A87">
        <v>2025</v>
      </c>
      <c r="B87" s="288">
        <v>45931</v>
      </c>
      <c r="C87" t="s">
        <v>13</v>
      </c>
      <c r="D87" t="s">
        <v>1332</v>
      </c>
      <c r="E87" t="s">
        <v>1415</v>
      </c>
      <c r="F87">
        <v>20251001</v>
      </c>
      <c r="G87">
        <v>1.0000000000000001E-5</v>
      </c>
      <c r="H87" t="s">
        <v>497</v>
      </c>
      <c r="I87">
        <v>10</v>
      </c>
    </row>
    <row r="88" spans="1:9" x14ac:dyDescent="0.25">
      <c r="A88">
        <v>2025</v>
      </c>
      <c r="B88" s="288">
        <v>45931</v>
      </c>
      <c r="C88" t="s">
        <v>13</v>
      </c>
      <c r="D88" t="s">
        <v>1331</v>
      </c>
      <c r="E88" t="s">
        <v>659</v>
      </c>
      <c r="F88">
        <v>20251002</v>
      </c>
      <c r="G88">
        <v>1.0000000000000001E-5</v>
      </c>
      <c r="H88" t="s">
        <v>497</v>
      </c>
      <c r="I88">
        <v>10</v>
      </c>
    </row>
    <row r="89" spans="1:9" x14ac:dyDescent="0.25">
      <c r="A89">
        <v>2025</v>
      </c>
      <c r="B89" s="288">
        <v>45931</v>
      </c>
      <c r="C89" t="s">
        <v>14</v>
      </c>
      <c r="D89" t="s">
        <v>1401</v>
      </c>
      <c r="E89" t="s">
        <v>1408</v>
      </c>
      <c r="F89">
        <v>20251004</v>
      </c>
      <c r="G89">
        <v>1.0000000000000001E-5</v>
      </c>
      <c r="H89" t="s">
        <v>497</v>
      </c>
      <c r="I89">
        <v>10</v>
      </c>
    </row>
    <row r="90" spans="1:9" x14ac:dyDescent="0.25">
      <c r="A90">
        <v>2025</v>
      </c>
      <c r="B90" s="288">
        <v>45931</v>
      </c>
      <c r="C90" t="s">
        <v>14</v>
      </c>
      <c r="D90" t="s">
        <v>1402</v>
      </c>
      <c r="E90" t="s">
        <v>1409</v>
      </c>
      <c r="F90">
        <v>20251005</v>
      </c>
      <c r="G90">
        <v>1.0000000000000001E-5</v>
      </c>
      <c r="H90" t="s">
        <v>497</v>
      </c>
      <c r="I90">
        <v>10</v>
      </c>
    </row>
    <row r="91" spans="1:9" x14ac:dyDescent="0.25">
      <c r="A91">
        <v>2025</v>
      </c>
      <c r="B91" s="288">
        <v>45931</v>
      </c>
      <c r="C91" t="s">
        <v>14</v>
      </c>
      <c r="D91" t="s">
        <v>1403</v>
      </c>
      <c r="E91" t="s">
        <v>1410</v>
      </c>
      <c r="F91">
        <v>20251006</v>
      </c>
      <c r="G91">
        <v>1.0000000000000001E-5</v>
      </c>
      <c r="H91" t="s">
        <v>497</v>
      </c>
      <c r="I91">
        <v>10</v>
      </c>
    </row>
    <row r="92" spans="1:9" x14ac:dyDescent="0.25">
      <c r="A92">
        <v>2025</v>
      </c>
      <c r="B92" s="288">
        <v>45931</v>
      </c>
      <c r="C92" t="s">
        <v>14</v>
      </c>
      <c r="D92" t="s">
        <v>1404</v>
      </c>
      <c r="E92" t="s">
        <v>1411</v>
      </c>
      <c r="F92">
        <v>20251007</v>
      </c>
      <c r="G92">
        <v>1.0000000000000001E-5</v>
      </c>
      <c r="H92" t="s">
        <v>497</v>
      </c>
      <c r="I92">
        <v>10</v>
      </c>
    </row>
    <row r="93" spans="1:9" x14ac:dyDescent="0.25">
      <c r="A93">
        <v>2025</v>
      </c>
      <c r="B93" s="288">
        <v>45931</v>
      </c>
      <c r="C93" t="s">
        <v>14</v>
      </c>
      <c r="D93" t="s">
        <v>1405</v>
      </c>
      <c r="E93" t="s">
        <v>1412</v>
      </c>
      <c r="F93">
        <v>20251008</v>
      </c>
      <c r="G93">
        <v>1.0000000000000001E-5</v>
      </c>
      <c r="H93" t="s">
        <v>497</v>
      </c>
      <c r="I93">
        <v>10</v>
      </c>
    </row>
    <row r="94" spans="1:9" x14ac:dyDescent="0.25">
      <c r="A94">
        <v>2025</v>
      </c>
      <c r="B94" s="288">
        <v>45931</v>
      </c>
      <c r="C94" t="s">
        <v>14</v>
      </c>
      <c r="D94" t="s">
        <v>1406</v>
      </c>
      <c r="E94" t="s">
        <v>1414</v>
      </c>
      <c r="F94">
        <v>20251009</v>
      </c>
      <c r="G94">
        <v>1.0000000000000001E-5</v>
      </c>
      <c r="H94" t="s">
        <v>497</v>
      </c>
      <c r="I94">
        <v>10</v>
      </c>
    </row>
    <row r="95" spans="1:9" x14ac:dyDescent="0.25">
      <c r="A95">
        <v>2025</v>
      </c>
      <c r="B95" s="288">
        <v>45931</v>
      </c>
      <c r="C95" t="s">
        <v>14</v>
      </c>
      <c r="D95" t="s">
        <v>1407</v>
      </c>
      <c r="E95" t="s">
        <v>1413</v>
      </c>
      <c r="F95">
        <v>20251010</v>
      </c>
      <c r="G95">
        <v>1.0000000000000001E-5</v>
      </c>
      <c r="H95" t="s">
        <v>497</v>
      </c>
      <c r="I95">
        <v>10</v>
      </c>
    </row>
    <row r="96" spans="1:9" x14ac:dyDescent="0.25">
      <c r="A96">
        <v>2025</v>
      </c>
      <c r="B96" s="288">
        <v>45962</v>
      </c>
      <c r="C96" t="s">
        <v>13</v>
      </c>
      <c r="D96" t="s">
        <v>1332</v>
      </c>
      <c r="E96" t="s">
        <v>1415</v>
      </c>
      <c r="F96">
        <v>20251101</v>
      </c>
      <c r="G96">
        <v>1.0000000000000001E-5</v>
      </c>
      <c r="H96" t="s">
        <v>499</v>
      </c>
      <c r="I96">
        <v>11</v>
      </c>
    </row>
    <row r="97" spans="1:9" x14ac:dyDescent="0.25">
      <c r="A97">
        <v>2025</v>
      </c>
      <c r="B97" s="288">
        <v>45962</v>
      </c>
      <c r="C97" t="s">
        <v>13</v>
      </c>
      <c r="D97" t="s">
        <v>1331</v>
      </c>
      <c r="E97" t="s">
        <v>659</v>
      </c>
      <c r="F97">
        <v>20251102</v>
      </c>
      <c r="G97">
        <v>1.0000000000000001E-5</v>
      </c>
      <c r="H97" t="s">
        <v>499</v>
      </c>
      <c r="I97">
        <v>11</v>
      </c>
    </row>
    <row r="98" spans="1:9" x14ac:dyDescent="0.25">
      <c r="A98">
        <v>2025</v>
      </c>
      <c r="B98" s="288">
        <v>45962</v>
      </c>
      <c r="C98" t="s">
        <v>14</v>
      </c>
      <c r="D98" t="s">
        <v>1401</v>
      </c>
      <c r="E98" t="s">
        <v>1408</v>
      </c>
      <c r="F98">
        <v>20251104</v>
      </c>
      <c r="G98">
        <v>1.0000000000000001E-5</v>
      </c>
      <c r="H98" t="s">
        <v>499</v>
      </c>
      <c r="I98">
        <v>11</v>
      </c>
    </row>
    <row r="99" spans="1:9" x14ac:dyDescent="0.25">
      <c r="A99">
        <v>2025</v>
      </c>
      <c r="B99" s="288">
        <v>45962</v>
      </c>
      <c r="C99" t="s">
        <v>14</v>
      </c>
      <c r="D99" t="s">
        <v>1402</v>
      </c>
      <c r="E99" t="s">
        <v>1409</v>
      </c>
      <c r="F99">
        <v>20251105</v>
      </c>
      <c r="G99">
        <v>1.0000000000000001E-5</v>
      </c>
      <c r="H99" t="s">
        <v>499</v>
      </c>
      <c r="I99">
        <v>11</v>
      </c>
    </row>
    <row r="100" spans="1:9" x14ac:dyDescent="0.25">
      <c r="A100">
        <v>2025</v>
      </c>
      <c r="B100" s="288">
        <v>45962</v>
      </c>
      <c r="C100" t="s">
        <v>14</v>
      </c>
      <c r="D100" t="s">
        <v>1403</v>
      </c>
      <c r="E100" t="s">
        <v>1410</v>
      </c>
      <c r="F100">
        <v>20251106</v>
      </c>
      <c r="G100">
        <v>1.0000000000000001E-5</v>
      </c>
      <c r="H100" t="s">
        <v>499</v>
      </c>
      <c r="I100">
        <v>11</v>
      </c>
    </row>
    <row r="101" spans="1:9" x14ac:dyDescent="0.25">
      <c r="A101">
        <v>2025</v>
      </c>
      <c r="B101" s="288">
        <v>45962</v>
      </c>
      <c r="C101" t="s">
        <v>14</v>
      </c>
      <c r="D101" t="s">
        <v>1404</v>
      </c>
      <c r="E101" t="s">
        <v>1411</v>
      </c>
      <c r="F101">
        <v>20251107</v>
      </c>
      <c r="G101">
        <v>1.0000000000000001E-5</v>
      </c>
      <c r="H101" t="s">
        <v>499</v>
      </c>
      <c r="I101">
        <v>11</v>
      </c>
    </row>
    <row r="102" spans="1:9" x14ac:dyDescent="0.25">
      <c r="A102">
        <v>2025</v>
      </c>
      <c r="B102" s="288">
        <v>45962</v>
      </c>
      <c r="C102" t="s">
        <v>14</v>
      </c>
      <c r="D102" t="s">
        <v>1405</v>
      </c>
      <c r="E102" t="s">
        <v>1412</v>
      </c>
      <c r="F102">
        <v>20251108</v>
      </c>
      <c r="G102">
        <v>1.0000000000000001E-5</v>
      </c>
      <c r="H102" t="s">
        <v>499</v>
      </c>
      <c r="I102">
        <v>11</v>
      </c>
    </row>
    <row r="103" spans="1:9" x14ac:dyDescent="0.25">
      <c r="A103">
        <v>2025</v>
      </c>
      <c r="B103" s="288">
        <v>45962</v>
      </c>
      <c r="C103" t="s">
        <v>14</v>
      </c>
      <c r="D103" t="s">
        <v>1406</v>
      </c>
      <c r="E103" t="s">
        <v>1414</v>
      </c>
      <c r="F103">
        <v>20251109</v>
      </c>
      <c r="G103">
        <v>1.0000000000000001E-5</v>
      </c>
      <c r="H103" t="s">
        <v>499</v>
      </c>
      <c r="I103">
        <v>11</v>
      </c>
    </row>
    <row r="104" spans="1:9" x14ac:dyDescent="0.25">
      <c r="A104">
        <v>2025</v>
      </c>
      <c r="B104" s="288">
        <v>45962</v>
      </c>
      <c r="C104" t="s">
        <v>14</v>
      </c>
      <c r="D104" t="s">
        <v>1407</v>
      </c>
      <c r="E104" t="s">
        <v>1413</v>
      </c>
      <c r="F104">
        <v>20251110</v>
      </c>
      <c r="G104">
        <v>1.0000000000000001E-5</v>
      </c>
      <c r="H104" t="s">
        <v>499</v>
      </c>
      <c r="I104">
        <v>11</v>
      </c>
    </row>
    <row r="105" spans="1:9" x14ac:dyDescent="0.25">
      <c r="A105">
        <v>2025</v>
      </c>
      <c r="B105" s="288">
        <v>45992</v>
      </c>
      <c r="C105" t="s">
        <v>13</v>
      </c>
      <c r="D105" t="s">
        <v>1332</v>
      </c>
      <c r="E105" t="s">
        <v>1415</v>
      </c>
      <c r="F105">
        <v>20251201</v>
      </c>
      <c r="G105">
        <v>1.0000000000000001E-5</v>
      </c>
      <c r="H105" t="s">
        <v>501</v>
      </c>
      <c r="I105">
        <v>12</v>
      </c>
    </row>
    <row r="106" spans="1:9" x14ac:dyDescent="0.25">
      <c r="A106">
        <v>2025</v>
      </c>
      <c r="B106" s="288">
        <v>45992</v>
      </c>
      <c r="C106" t="s">
        <v>13</v>
      </c>
      <c r="D106" t="s">
        <v>1331</v>
      </c>
      <c r="E106" t="s">
        <v>659</v>
      </c>
      <c r="F106">
        <v>20251202</v>
      </c>
      <c r="G106">
        <v>1.0000000000000001E-5</v>
      </c>
      <c r="H106" t="s">
        <v>501</v>
      </c>
      <c r="I106">
        <v>12</v>
      </c>
    </row>
    <row r="107" spans="1:9" x14ac:dyDescent="0.25">
      <c r="A107">
        <v>2025</v>
      </c>
      <c r="B107" s="288">
        <v>45992</v>
      </c>
      <c r="C107" t="s">
        <v>14</v>
      </c>
      <c r="D107" t="s">
        <v>1401</v>
      </c>
      <c r="E107" t="s">
        <v>1408</v>
      </c>
      <c r="F107">
        <v>20251204</v>
      </c>
      <c r="G107">
        <v>1.0000000000000001E-5</v>
      </c>
      <c r="H107" t="s">
        <v>501</v>
      </c>
      <c r="I107">
        <v>12</v>
      </c>
    </row>
    <row r="108" spans="1:9" x14ac:dyDescent="0.25">
      <c r="A108">
        <v>2025</v>
      </c>
      <c r="B108" s="288">
        <v>45992</v>
      </c>
      <c r="C108" t="s">
        <v>14</v>
      </c>
      <c r="D108" t="s">
        <v>1402</v>
      </c>
      <c r="E108" t="s">
        <v>1409</v>
      </c>
      <c r="F108">
        <v>20251205</v>
      </c>
      <c r="G108">
        <v>1.0000000000000001E-5</v>
      </c>
      <c r="H108" t="s">
        <v>501</v>
      </c>
      <c r="I108">
        <v>12</v>
      </c>
    </row>
    <row r="109" spans="1:9" x14ac:dyDescent="0.25">
      <c r="A109">
        <v>2025</v>
      </c>
      <c r="B109" s="288">
        <v>45992</v>
      </c>
      <c r="C109" t="s">
        <v>14</v>
      </c>
      <c r="D109" t="s">
        <v>1403</v>
      </c>
      <c r="E109" t="s">
        <v>1410</v>
      </c>
      <c r="F109">
        <v>20251206</v>
      </c>
      <c r="G109">
        <v>1.0000000000000001E-5</v>
      </c>
      <c r="H109" t="s">
        <v>501</v>
      </c>
      <c r="I109">
        <v>12</v>
      </c>
    </row>
    <row r="110" spans="1:9" x14ac:dyDescent="0.25">
      <c r="A110">
        <v>2025</v>
      </c>
      <c r="B110" s="288">
        <v>45992</v>
      </c>
      <c r="C110" t="s">
        <v>14</v>
      </c>
      <c r="D110" t="s">
        <v>1404</v>
      </c>
      <c r="E110" t="s">
        <v>1411</v>
      </c>
      <c r="F110">
        <v>20251207</v>
      </c>
      <c r="G110">
        <v>1.0000000000000001E-5</v>
      </c>
      <c r="H110" t="s">
        <v>501</v>
      </c>
      <c r="I110">
        <v>12</v>
      </c>
    </row>
    <row r="111" spans="1:9" x14ac:dyDescent="0.25">
      <c r="A111">
        <v>2025</v>
      </c>
      <c r="B111" s="288">
        <v>45992</v>
      </c>
      <c r="C111" t="s">
        <v>14</v>
      </c>
      <c r="D111" t="s">
        <v>1405</v>
      </c>
      <c r="E111" t="s">
        <v>1412</v>
      </c>
      <c r="F111">
        <v>20251208</v>
      </c>
      <c r="G111">
        <v>1.0000000000000001E-5</v>
      </c>
      <c r="H111" t="s">
        <v>501</v>
      </c>
      <c r="I111">
        <v>12</v>
      </c>
    </row>
    <row r="112" spans="1:9" x14ac:dyDescent="0.25">
      <c r="A112">
        <v>2025</v>
      </c>
      <c r="B112" s="288">
        <v>45992</v>
      </c>
      <c r="C112" t="s">
        <v>14</v>
      </c>
      <c r="D112" t="s">
        <v>1406</v>
      </c>
      <c r="E112" t="s">
        <v>1414</v>
      </c>
      <c r="F112">
        <v>20251209</v>
      </c>
      <c r="G112">
        <v>1.0000000000000001E-5</v>
      </c>
      <c r="H112" t="s">
        <v>501</v>
      </c>
      <c r="I112">
        <v>12</v>
      </c>
    </row>
    <row r="113" spans="1:9" x14ac:dyDescent="0.25">
      <c r="A113">
        <v>2025</v>
      </c>
      <c r="B113" s="288">
        <v>45992</v>
      </c>
      <c r="C113" t="s">
        <v>14</v>
      </c>
      <c r="D113" t="s">
        <v>1407</v>
      </c>
      <c r="E113" t="s">
        <v>1413</v>
      </c>
      <c r="F113">
        <v>20251210</v>
      </c>
      <c r="G113">
        <v>1.0000000000000001E-5</v>
      </c>
      <c r="H113" t="s">
        <v>501</v>
      </c>
      <c r="I113">
        <v>12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C327A-18E8-48B4-9820-1CA4B1E62918}">
  <sheetPr codeName="Sheet4">
    <tabColor theme="4"/>
  </sheetPr>
  <dimension ref="A1:H775"/>
  <sheetViews>
    <sheetView showGridLines="0" workbookViewId="0">
      <selection activeCell="J18" sqref="J18"/>
    </sheetView>
  </sheetViews>
  <sheetFormatPr defaultColWidth="10.3984375" defaultRowHeight="11.5" x14ac:dyDescent="0.25"/>
  <cols>
    <col min="5" max="5" width="17" customWidth="1"/>
    <col min="15" max="17" width="10.59765625" customWidth="1"/>
  </cols>
  <sheetData>
    <row r="1" spans="1:8" x14ac:dyDescent="0.25">
      <c r="A1" s="23" t="s">
        <v>8</v>
      </c>
      <c r="B1" s="24" t="s">
        <v>9</v>
      </c>
      <c r="C1" s="24" t="s">
        <v>10</v>
      </c>
      <c r="D1" s="24" t="s">
        <v>11</v>
      </c>
      <c r="E1" s="24" t="s">
        <v>12</v>
      </c>
      <c r="F1" s="24" t="s">
        <v>73</v>
      </c>
      <c r="G1" s="24" t="s">
        <v>15</v>
      </c>
      <c r="H1" s="67" t="s">
        <v>1363</v>
      </c>
    </row>
    <row r="2" spans="1:8" x14ac:dyDescent="0.25">
      <c r="A2" s="25">
        <v>2025</v>
      </c>
      <c r="B2" s="322">
        <v>45658</v>
      </c>
      <c r="C2" s="5" t="s">
        <v>13</v>
      </c>
      <c r="D2" s="5" t="s">
        <v>1332</v>
      </c>
      <c r="E2" s="5" t="s">
        <v>1415</v>
      </c>
      <c r="F2" s="5">
        <v>20250101</v>
      </c>
      <c r="G2" s="282">
        <v>1.0000000000000001E-5</v>
      </c>
      <c r="H2" s="287" t="s">
        <v>471</v>
      </c>
    </row>
    <row r="3" spans="1:8" x14ac:dyDescent="0.25">
      <c r="A3" s="25">
        <v>2025</v>
      </c>
      <c r="B3" s="280">
        <v>45658</v>
      </c>
      <c r="C3" s="281" t="s">
        <v>13</v>
      </c>
      <c r="D3" s="281" t="s">
        <v>1331</v>
      </c>
      <c r="E3" s="281" t="s">
        <v>659</v>
      </c>
      <c r="F3" s="5">
        <v>20250102</v>
      </c>
      <c r="G3" s="282">
        <v>1.0000000000000001E-5</v>
      </c>
      <c r="H3" s="287" t="s">
        <v>471</v>
      </c>
    </row>
    <row r="4" spans="1:8" x14ac:dyDescent="0.25">
      <c r="A4" s="25">
        <v>2025</v>
      </c>
      <c r="B4" s="280">
        <v>45658</v>
      </c>
      <c r="C4" s="281" t="s">
        <v>13</v>
      </c>
      <c r="D4" s="281" t="s">
        <v>1333</v>
      </c>
      <c r="E4" s="281" t="s">
        <v>1416</v>
      </c>
      <c r="F4" s="5">
        <v>20250103</v>
      </c>
      <c r="G4" s="282">
        <v>1.0000000000000001E-5</v>
      </c>
      <c r="H4" s="287" t="s">
        <v>471</v>
      </c>
    </row>
    <row r="5" spans="1:8" x14ac:dyDescent="0.25">
      <c r="A5" s="25">
        <v>2025</v>
      </c>
      <c r="B5" s="280">
        <v>45658</v>
      </c>
      <c r="C5" s="281" t="s">
        <v>14</v>
      </c>
      <c r="D5" s="281" t="s">
        <v>1401</v>
      </c>
      <c r="E5" s="281" t="s">
        <v>1408</v>
      </c>
      <c r="F5" s="5">
        <v>20250104</v>
      </c>
      <c r="G5" s="282">
        <v>1.0000000000000001E-5</v>
      </c>
      <c r="H5" s="287" t="s">
        <v>471</v>
      </c>
    </row>
    <row r="6" spans="1:8" x14ac:dyDescent="0.25">
      <c r="A6" s="25">
        <v>2025</v>
      </c>
      <c r="B6" s="280">
        <v>45658</v>
      </c>
      <c r="C6" s="281" t="s">
        <v>14</v>
      </c>
      <c r="D6" s="281" t="s">
        <v>1402</v>
      </c>
      <c r="E6" s="281" t="s">
        <v>1409</v>
      </c>
      <c r="F6" s="5">
        <v>20250105</v>
      </c>
      <c r="G6" s="282">
        <v>1.0000000000000001E-5</v>
      </c>
      <c r="H6" s="287" t="s">
        <v>471</v>
      </c>
    </row>
    <row r="7" spans="1:8" x14ac:dyDescent="0.25">
      <c r="A7" s="25">
        <v>2025</v>
      </c>
      <c r="B7" s="280">
        <v>45658</v>
      </c>
      <c r="C7" s="281" t="s">
        <v>14</v>
      </c>
      <c r="D7" s="281" t="s">
        <v>1403</v>
      </c>
      <c r="E7" s="281" t="s">
        <v>1410</v>
      </c>
      <c r="F7" s="5">
        <v>20250106</v>
      </c>
      <c r="G7" s="282">
        <v>1.0000000000000001E-5</v>
      </c>
      <c r="H7" s="287" t="s">
        <v>471</v>
      </c>
    </row>
    <row r="8" spans="1:8" x14ac:dyDescent="0.25">
      <c r="A8" s="25">
        <v>2025</v>
      </c>
      <c r="B8" s="280">
        <v>45658</v>
      </c>
      <c r="C8" s="281" t="s">
        <v>14</v>
      </c>
      <c r="D8" s="281" t="s">
        <v>1404</v>
      </c>
      <c r="E8" s="281" t="s">
        <v>1411</v>
      </c>
      <c r="F8" s="5">
        <v>20250107</v>
      </c>
      <c r="G8" s="282">
        <v>1.0000000000000001E-5</v>
      </c>
      <c r="H8" s="287" t="s">
        <v>471</v>
      </c>
    </row>
    <row r="9" spans="1:8" x14ac:dyDescent="0.25">
      <c r="A9" s="25">
        <v>2025</v>
      </c>
      <c r="B9" s="280">
        <v>45658</v>
      </c>
      <c r="C9" s="281" t="s">
        <v>14</v>
      </c>
      <c r="D9" s="281" t="s">
        <v>1405</v>
      </c>
      <c r="E9" s="281" t="s">
        <v>1412</v>
      </c>
      <c r="F9" s="5">
        <v>20250108</v>
      </c>
      <c r="G9" s="282">
        <v>1.0000000000000001E-5</v>
      </c>
      <c r="H9" s="287" t="s">
        <v>471</v>
      </c>
    </row>
    <row r="10" spans="1:8" x14ac:dyDescent="0.25">
      <c r="A10" s="25">
        <v>2025</v>
      </c>
      <c r="B10" s="280">
        <v>45658</v>
      </c>
      <c r="C10" s="281" t="s">
        <v>14</v>
      </c>
      <c r="D10" s="281" t="s">
        <v>1406</v>
      </c>
      <c r="E10" s="281" t="s">
        <v>1414</v>
      </c>
      <c r="F10" s="5">
        <v>20250109</v>
      </c>
      <c r="G10" s="282">
        <v>1.0000000000000001E-5</v>
      </c>
      <c r="H10" s="287" t="s">
        <v>471</v>
      </c>
    </row>
    <row r="11" spans="1:8" x14ac:dyDescent="0.25">
      <c r="A11" s="25">
        <v>2025</v>
      </c>
      <c r="B11" s="280">
        <v>45658</v>
      </c>
      <c r="C11" s="281" t="s">
        <v>14</v>
      </c>
      <c r="D11" s="281" t="s">
        <v>1407</v>
      </c>
      <c r="E11" s="281" t="s">
        <v>1413</v>
      </c>
      <c r="F11" s="5">
        <v>20250110</v>
      </c>
      <c r="G11" s="282">
        <v>1.0000000000000001E-5</v>
      </c>
      <c r="H11" s="287" t="s">
        <v>471</v>
      </c>
    </row>
    <row r="12" spans="1:8" x14ac:dyDescent="0.25">
      <c r="A12" s="25">
        <v>2025</v>
      </c>
      <c r="B12" s="280">
        <v>45689</v>
      </c>
      <c r="C12" s="281" t="s">
        <v>13</v>
      </c>
      <c r="D12" s="281" t="s">
        <v>1332</v>
      </c>
      <c r="E12" s="281" t="s">
        <v>1415</v>
      </c>
      <c r="F12" s="281">
        <v>20250201</v>
      </c>
      <c r="G12" s="282">
        <v>1.0000000000000001E-5</v>
      </c>
      <c r="H12" s="287" t="s">
        <v>474</v>
      </c>
    </row>
    <row r="13" spans="1:8" x14ac:dyDescent="0.25">
      <c r="A13" s="25">
        <v>2025</v>
      </c>
      <c r="B13" s="280">
        <v>45689</v>
      </c>
      <c r="C13" s="281" t="s">
        <v>13</v>
      </c>
      <c r="D13" s="281" t="s">
        <v>1331</v>
      </c>
      <c r="E13" s="281" t="s">
        <v>659</v>
      </c>
      <c r="F13" s="5">
        <v>20250202</v>
      </c>
      <c r="G13" s="282">
        <v>1.0000000000000001E-5</v>
      </c>
      <c r="H13" s="287" t="s">
        <v>474</v>
      </c>
    </row>
    <row r="14" spans="1:8" x14ac:dyDescent="0.25">
      <c r="A14" s="25">
        <v>2025</v>
      </c>
      <c r="B14" s="280">
        <v>45689</v>
      </c>
      <c r="C14" s="281" t="s">
        <v>13</v>
      </c>
      <c r="D14" s="281" t="s">
        <v>1333</v>
      </c>
      <c r="E14" s="281" t="s">
        <v>1416</v>
      </c>
      <c r="F14" s="5">
        <v>20250203</v>
      </c>
      <c r="G14" s="282">
        <v>1.0000000000000001E-5</v>
      </c>
      <c r="H14" s="287" t="s">
        <v>474</v>
      </c>
    </row>
    <row r="15" spans="1:8" x14ac:dyDescent="0.25">
      <c r="A15" s="25">
        <v>2025</v>
      </c>
      <c r="B15" s="280">
        <v>45689</v>
      </c>
      <c r="C15" s="281" t="s">
        <v>14</v>
      </c>
      <c r="D15" s="281" t="s">
        <v>1401</v>
      </c>
      <c r="E15" s="281" t="s">
        <v>1408</v>
      </c>
      <c r="F15" s="5">
        <v>20250204</v>
      </c>
      <c r="G15" s="282">
        <v>1.0000000000000001E-5</v>
      </c>
      <c r="H15" s="287" t="s">
        <v>474</v>
      </c>
    </row>
    <row r="16" spans="1:8" x14ac:dyDescent="0.25">
      <c r="A16" s="25">
        <v>2025</v>
      </c>
      <c r="B16" s="280">
        <v>45689</v>
      </c>
      <c r="C16" s="281" t="s">
        <v>14</v>
      </c>
      <c r="D16" s="281" t="s">
        <v>1402</v>
      </c>
      <c r="E16" s="281" t="s">
        <v>1409</v>
      </c>
      <c r="F16" s="5">
        <v>20250205</v>
      </c>
      <c r="G16" s="282">
        <v>1.0000000000000001E-5</v>
      </c>
      <c r="H16" s="287" t="s">
        <v>474</v>
      </c>
    </row>
    <row r="17" spans="1:8" x14ac:dyDescent="0.25">
      <c r="A17" s="25">
        <v>2025</v>
      </c>
      <c r="B17" s="280">
        <v>45689</v>
      </c>
      <c r="C17" s="281" t="s">
        <v>14</v>
      </c>
      <c r="D17" s="281" t="s">
        <v>1403</v>
      </c>
      <c r="E17" s="281" t="s">
        <v>1410</v>
      </c>
      <c r="F17" s="5">
        <v>20250206</v>
      </c>
      <c r="G17" s="282">
        <v>1.0000000000000001E-5</v>
      </c>
      <c r="H17" s="287" t="s">
        <v>474</v>
      </c>
    </row>
    <row r="18" spans="1:8" x14ac:dyDescent="0.25">
      <c r="A18" s="25">
        <v>2025</v>
      </c>
      <c r="B18" s="280">
        <v>45689</v>
      </c>
      <c r="C18" s="281" t="s">
        <v>14</v>
      </c>
      <c r="D18" s="281" t="s">
        <v>1404</v>
      </c>
      <c r="E18" s="281" t="s">
        <v>1411</v>
      </c>
      <c r="F18" s="5">
        <v>20250207</v>
      </c>
      <c r="G18" s="282">
        <v>1.0000000000000001E-5</v>
      </c>
      <c r="H18" s="287" t="s">
        <v>474</v>
      </c>
    </row>
    <row r="19" spans="1:8" x14ac:dyDescent="0.25">
      <c r="A19" s="25">
        <v>2025</v>
      </c>
      <c r="B19" s="280">
        <v>45689</v>
      </c>
      <c r="C19" s="281" t="s">
        <v>14</v>
      </c>
      <c r="D19" s="281" t="s">
        <v>1405</v>
      </c>
      <c r="E19" s="281" t="s">
        <v>1412</v>
      </c>
      <c r="F19" s="5">
        <v>20250208</v>
      </c>
      <c r="G19" s="282">
        <v>1.0000000000000001E-5</v>
      </c>
      <c r="H19" s="287" t="s">
        <v>474</v>
      </c>
    </row>
    <row r="20" spans="1:8" x14ac:dyDescent="0.25">
      <c r="A20" s="25">
        <v>2025</v>
      </c>
      <c r="B20" s="280">
        <v>45689</v>
      </c>
      <c r="C20" s="281" t="s">
        <v>14</v>
      </c>
      <c r="D20" s="281" t="s">
        <v>1406</v>
      </c>
      <c r="E20" s="281" t="s">
        <v>1414</v>
      </c>
      <c r="F20" s="5">
        <v>20250209</v>
      </c>
      <c r="G20" s="282">
        <v>1.0000000000000001E-5</v>
      </c>
      <c r="H20" s="287" t="s">
        <v>474</v>
      </c>
    </row>
    <row r="21" spans="1:8" x14ac:dyDescent="0.25">
      <c r="A21" s="286">
        <v>2025</v>
      </c>
      <c r="B21" s="280">
        <v>45689</v>
      </c>
      <c r="C21" s="281" t="s">
        <v>14</v>
      </c>
      <c r="D21" s="25" t="s">
        <v>1407</v>
      </c>
      <c r="E21" s="25" t="s">
        <v>1413</v>
      </c>
      <c r="F21" s="25">
        <v>20250210</v>
      </c>
      <c r="G21" s="282">
        <v>1.0000000000000001E-5</v>
      </c>
      <c r="H21" s="287" t="s">
        <v>474</v>
      </c>
    </row>
    <row r="22" spans="1:8" x14ac:dyDescent="0.25">
      <c r="A22" s="286">
        <v>2025</v>
      </c>
      <c r="B22" s="280">
        <v>45717</v>
      </c>
      <c r="C22" s="281" t="s">
        <v>13</v>
      </c>
      <c r="D22" s="25" t="s">
        <v>1332</v>
      </c>
      <c r="E22" s="25" t="s">
        <v>1415</v>
      </c>
      <c r="F22" s="25">
        <v>20250301</v>
      </c>
      <c r="G22" s="282">
        <v>1.0000000000000001E-5</v>
      </c>
      <c r="H22" s="25" t="s">
        <v>477</v>
      </c>
    </row>
    <row r="23" spans="1:8" x14ac:dyDescent="0.25">
      <c r="A23" s="286">
        <v>2025</v>
      </c>
      <c r="B23" s="280">
        <v>45717</v>
      </c>
      <c r="C23" s="281" t="s">
        <v>13</v>
      </c>
      <c r="D23" s="25" t="s">
        <v>1331</v>
      </c>
      <c r="E23" s="25" t="s">
        <v>659</v>
      </c>
      <c r="F23" s="25">
        <v>20250302</v>
      </c>
      <c r="G23" s="282">
        <v>1.0000000000000001E-5</v>
      </c>
      <c r="H23" s="287" t="s">
        <v>477</v>
      </c>
    </row>
    <row r="24" spans="1:8" x14ac:dyDescent="0.25">
      <c r="A24" s="286">
        <v>2025</v>
      </c>
      <c r="B24" s="280">
        <v>45717</v>
      </c>
      <c r="C24" s="281" t="s">
        <v>14</v>
      </c>
      <c r="D24" s="25" t="s">
        <v>1401</v>
      </c>
      <c r="E24" s="25" t="s">
        <v>1408</v>
      </c>
      <c r="F24" s="25">
        <v>20250304</v>
      </c>
      <c r="G24" s="282">
        <v>1.0000000000000001E-5</v>
      </c>
      <c r="H24" s="287" t="s">
        <v>477</v>
      </c>
    </row>
    <row r="25" spans="1:8" x14ac:dyDescent="0.25">
      <c r="A25" s="286">
        <v>2025</v>
      </c>
      <c r="B25" s="280">
        <v>45717</v>
      </c>
      <c r="C25" s="281" t="s">
        <v>14</v>
      </c>
      <c r="D25" s="25" t="s">
        <v>1402</v>
      </c>
      <c r="E25" s="25" t="s">
        <v>1409</v>
      </c>
      <c r="F25" s="25">
        <v>20250305</v>
      </c>
      <c r="G25" s="282">
        <v>1.0000000000000001E-5</v>
      </c>
      <c r="H25" s="287" t="s">
        <v>477</v>
      </c>
    </row>
    <row r="26" spans="1:8" x14ac:dyDescent="0.25">
      <c r="A26" s="286">
        <v>2025</v>
      </c>
      <c r="B26" s="280">
        <v>45717</v>
      </c>
      <c r="C26" s="281" t="s">
        <v>14</v>
      </c>
      <c r="D26" s="25" t="s">
        <v>1403</v>
      </c>
      <c r="E26" s="25" t="s">
        <v>1410</v>
      </c>
      <c r="F26" s="25">
        <v>20250306</v>
      </c>
      <c r="G26" s="282">
        <v>1.0000000000000001E-5</v>
      </c>
      <c r="H26" s="287" t="s">
        <v>477</v>
      </c>
    </row>
    <row r="27" spans="1:8" x14ac:dyDescent="0.25">
      <c r="A27" s="286">
        <v>2025</v>
      </c>
      <c r="B27" s="280">
        <v>45717</v>
      </c>
      <c r="C27" s="281" t="s">
        <v>14</v>
      </c>
      <c r="D27" s="25" t="s">
        <v>1404</v>
      </c>
      <c r="E27" s="25" t="s">
        <v>1411</v>
      </c>
      <c r="F27" s="25">
        <v>20250307</v>
      </c>
      <c r="G27" s="282">
        <v>1.0000000000000001E-5</v>
      </c>
      <c r="H27" s="287" t="s">
        <v>477</v>
      </c>
    </row>
    <row r="28" spans="1:8" x14ac:dyDescent="0.25">
      <c r="A28" s="286">
        <v>2025</v>
      </c>
      <c r="B28" s="280">
        <v>45717</v>
      </c>
      <c r="C28" s="281" t="s">
        <v>14</v>
      </c>
      <c r="D28" s="25" t="s">
        <v>1405</v>
      </c>
      <c r="E28" s="25" t="s">
        <v>1412</v>
      </c>
      <c r="F28" s="25">
        <v>20250308</v>
      </c>
      <c r="G28" s="282">
        <v>1.0000000000000001E-5</v>
      </c>
      <c r="H28" s="287" t="s">
        <v>477</v>
      </c>
    </row>
    <row r="29" spans="1:8" x14ac:dyDescent="0.25">
      <c r="A29" s="286">
        <v>2025</v>
      </c>
      <c r="B29" s="280">
        <v>45717</v>
      </c>
      <c r="C29" s="281" t="s">
        <v>14</v>
      </c>
      <c r="D29" s="25" t="s">
        <v>1406</v>
      </c>
      <c r="E29" s="25" t="s">
        <v>1414</v>
      </c>
      <c r="F29" s="25">
        <v>20250309</v>
      </c>
      <c r="G29" s="282">
        <v>1.0000000000000001E-5</v>
      </c>
      <c r="H29" s="287" t="s">
        <v>477</v>
      </c>
    </row>
    <row r="30" spans="1:8" x14ac:dyDescent="0.25">
      <c r="A30" s="286">
        <v>2025</v>
      </c>
      <c r="B30" s="280">
        <v>45717</v>
      </c>
      <c r="C30" s="281" t="s">
        <v>14</v>
      </c>
      <c r="D30" s="25" t="s">
        <v>1407</v>
      </c>
      <c r="E30" s="25" t="s">
        <v>1413</v>
      </c>
      <c r="F30" s="25">
        <v>20250310</v>
      </c>
      <c r="G30" s="282">
        <v>1.0000000000000001E-5</v>
      </c>
      <c r="H30" s="287" t="s">
        <v>477</v>
      </c>
    </row>
    <row r="31" spans="1:8" x14ac:dyDescent="0.25">
      <c r="A31" s="286">
        <v>2025</v>
      </c>
      <c r="B31" s="280">
        <v>45717</v>
      </c>
      <c r="C31" s="281" t="s">
        <v>13</v>
      </c>
      <c r="D31" s="25" t="s">
        <v>1333</v>
      </c>
      <c r="E31" s="25" t="s">
        <v>1416</v>
      </c>
      <c r="F31" s="25">
        <v>20250303</v>
      </c>
      <c r="G31" s="282">
        <v>1.0000000000000001E-5</v>
      </c>
      <c r="H31" s="287" t="s">
        <v>477</v>
      </c>
    </row>
    <row r="32" spans="1:8" x14ac:dyDescent="0.25">
      <c r="A32" s="286">
        <v>2025</v>
      </c>
      <c r="B32" s="280">
        <v>45748</v>
      </c>
      <c r="C32" s="281" t="s">
        <v>13</v>
      </c>
      <c r="D32" s="25" t="s">
        <v>1332</v>
      </c>
      <c r="E32" s="25" t="s">
        <v>1415</v>
      </c>
      <c r="F32" s="25">
        <v>20250401</v>
      </c>
      <c r="G32" s="282">
        <v>1.0000000000000001E-5</v>
      </c>
      <c r="H32" s="287" t="s">
        <v>480</v>
      </c>
    </row>
    <row r="33" spans="1:8" x14ac:dyDescent="0.25">
      <c r="A33" s="286">
        <v>2025</v>
      </c>
      <c r="B33" s="280">
        <v>45748</v>
      </c>
      <c r="C33" s="281" t="s">
        <v>13</v>
      </c>
      <c r="D33" s="25" t="s">
        <v>1331</v>
      </c>
      <c r="E33" s="25" t="s">
        <v>659</v>
      </c>
      <c r="F33" s="25">
        <v>20250402</v>
      </c>
      <c r="G33" s="282">
        <v>1.0000000000000001E-5</v>
      </c>
      <c r="H33" s="287" t="s">
        <v>480</v>
      </c>
    </row>
    <row r="34" spans="1:8" x14ac:dyDescent="0.25">
      <c r="A34" s="286">
        <v>2025</v>
      </c>
      <c r="B34" s="280">
        <v>45748</v>
      </c>
      <c r="C34" s="281" t="s">
        <v>14</v>
      </c>
      <c r="D34" s="25" t="s">
        <v>1401</v>
      </c>
      <c r="E34" s="25" t="s">
        <v>1408</v>
      </c>
      <c r="F34" s="25">
        <v>20250404</v>
      </c>
      <c r="G34" s="282">
        <v>1.0000000000000001E-5</v>
      </c>
      <c r="H34" s="287" t="s">
        <v>480</v>
      </c>
    </row>
    <row r="35" spans="1:8" x14ac:dyDescent="0.25">
      <c r="A35" s="286">
        <v>2025</v>
      </c>
      <c r="B35" s="280">
        <v>45748</v>
      </c>
      <c r="C35" s="281" t="s">
        <v>14</v>
      </c>
      <c r="D35" s="25" t="s">
        <v>1402</v>
      </c>
      <c r="E35" s="25" t="s">
        <v>1409</v>
      </c>
      <c r="F35" s="25">
        <v>20250405</v>
      </c>
      <c r="G35" s="282">
        <v>1.0000000000000001E-5</v>
      </c>
      <c r="H35" s="287" t="s">
        <v>480</v>
      </c>
    </row>
    <row r="36" spans="1:8" x14ac:dyDescent="0.25">
      <c r="A36" s="286">
        <v>2025</v>
      </c>
      <c r="B36" s="280">
        <v>45748</v>
      </c>
      <c r="C36" s="281" t="s">
        <v>14</v>
      </c>
      <c r="D36" s="25" t="s">
        <v>1403</v>
      </c>
      <c r="E36" s="25" t="s">
        <v>1410</v>
      </c>
      <c r="F36" s="25">
        <v>20250406</v>
      </c>
      <c r="G36" s="282">
        <v>1.0000000000000001E-5</v>
      </c>
      <c r="H36" s="287" t="s">
        <v>480</v>
      </c>
    </row>
    <row r="37" spans="1:8" x14ac:dyDescent="0.25">
      <c r="A37" s="286">
        <v>2025</v>
      </c>
      <c r="B37" s="280">
        <v>45748</v>
      </c>
      <c r="C37" s="281" t="s">
        <v>14</v>
      </c>
      <c r="D37" s="25" t="s">
        <v>1404</v>
      </c>
      <c r="E37" s="25" t="s">
        <v>1411</v>
      </c>
      <c r="F37" s="25">
        <v>20250407</v>
      </c>
      <c r="G37" s="282">
        <v>1.0000000000000001E-5</v>
      </c>
      <c r="H37" s="287" t="s">
        <v>480</v>
      </c>
    </row>
    <row r="38" spans="1:8" x14ac:dyDescent="0.25">
      <c r="A38" s="286">
        <v>2025</v>
      </c>
      <c r="B38" s="280">
        <v>45748</v>
      </c>
      <c r="C38" s="281" t="s">
        <v>14</v>
      </c>
      <c r="D38" s="25" t="s">
        <v>1405</v>
      </c>
      <c r="E38" s="25" t="s">
        <v>1412</v>
      </c>
      <c r="F38" s="25">
        <v>20250408</v>
      </c>
      <c r="G38" s="282">
        <v>1.0000000000000001E-5</v>
      </c>
      <c r="H38" s="287" t="s">
        <v>480</v>
      </c>
    </row>
    <row r="39" spans="1:8" x14ac:dyDescent="0.25">
      <c r="A39" s="286">
        <v>2025</v>
      </c>
      <c r="B39" s="280">
        <v>45748</v>
      </c>
      <c r="C39" s="281" t="s">
        <v>14</v>
      </c>
      <c r="D39" s="25" t="s">
        <v>1406</v>
      </c>
      <c r="E39" s="25" t="s">
        <v>1414</v>
      </c>
      <c r="F39" s="25">
        <v>20250409</v>
      </c>
      <c r="G39" s="282">
        <v>1.0000000000000001E-5</v>
      </c>
      <c r="H39" s="287" t="s">
        <v>480</v>
      </c>
    </row>
    <row r="40" spans="1:8" x14ac:dyDescent="0.25">
      <c r="A40" s="286">
        <v>2025</v>
      </c>
      <c r="B40" s="280">
        <v>45748</v>
      </c>
      <c r="C40" s="281" t="s">
        <v>14</v>
      </c>
      <c r="D40" s="25" t="s">
        <v>1407</v>
      </c>
      <c r="E40" s="25" t="s">
        <v>1413</v>
      </c>
      <c r="F40" s="25">
        <v>20250410</v>
      </c>
      <c r="G40" s="282">
        <v>1.0000000000000001E-5</v>
      </c>
      <c r="H40" s="287" t="s">
        <v>480</v>
      </c>
    </row>
    <row r="41" spans="1:8" x14ac:dyDescent="0.25">
      <c r="A41" s="286">
        <v>2025</v>
      </c>
      <c r="B41" s="280">
        <v>45778</v>
      </c>
      <c r="C41" s="281" t="s">
        <v>13</v>
      </c>
      <c r="D41" s="25" t="s">
        <v>1332</v>
      </c>
      <c r="E41" s="25" t="s">
        <v>1415</v>
      </c>
      <c r="F41" s="25">
        <v>20250501</v>
      </c>
      <c r="G41" s="282">
        <v>1.0000000000000001E-5</v>
      </c>
      <c r="H41" s="287" t="s">
        <v>437</v>
      </c>
    </row>
    <row r="42" spans="1:8" x14ac:dyDescent="0.25">
      <c r="A42" s="286">
        <v>2025</v>
      </c>
      <c r="B42" s="280">
        <v>45778</v>
      </c>
      <c r="C42" s="281" t="s">
        <v>13</v>
      </c>
      <c r="D42" s="25" t="s">
        <v>1331</v>
      </c>
      <c r="E42" s="25" t="s">
        <v>659</v>
      </c>
      <c r="F42" s="25">
        <v>20250502</v>
      </c>
      <c r="G42" s="282">
        <v>1.0000000000000001E-5</v>
      </c>
      <c r="H42" s="287" t="s">
        <v>437</v>
      </c>
    </row>
    <row r="43" spans="1:8" x14ac:dyDescent="0.25">
      <c r="A43" s="286">
        <v>2025</v>
      </c>
      <c r="B43" s="280">
        <v>45778</v>
      </c>
      <c r="C43" s="281" t="s">
        <v>14</v>
      </c>
      <c r="D43" s="25" t="s">
        <v>1401</v>
      </c>
      <c r="E43" s="25" t="s">
        <v>1408</v>
      </c>
      <c r="F43" s="25">
        <v>20250504</v>
      </c>
      <c r="G43" s="282">
        <v>1.0000000000000001E-5</v>
      </c>
      <c r="H43" s="287" t="s">
        <v>437</v>
      </c>
    </row>
    <row r="44" spans="1:8" x14ac:dyDescent="0.25">
      <c r="A44" s="286">
        <v>2025</v>
      </c>
      <c r="B44" s="280">
        <v>45778</v>
      </c>
      <c r="C44" s="281" t="s">
        <v>14</v>
      </c>
      <c r="D44" s="25" t="s">
        <v>1402</v>
      </c>
      <c r="E44" s="25" t="s">
        <v>1409</v>
      </c>
      <c r="F44" s="25">
        <v>20250505</v>
      </c>
      <c r="G44" s="282">
        <v>1.0000000000000001E-5</v>
      </c>
      <c r="H44" s="287" t="s">
        <v>437</v>
      </c>
    </row>
    <row r="45" spans="1:8" x14ac:dyDescent="0.25">
      <c r="A45" s="286">
        <v>2025</v>
      </c>
      <c r="B45" s="280">
        <v>45778</v>
      </c>
      <c r="C45" s="281" t="s">
        <v>14</v>
      </c>
      <c r="D45" s="25" t="s">
        <v>1403</v>
      </c>
      <c r="E45" s="25" t="s">
        <v>1410</v>
      </c>
      <c r="F45" s="25">
        <v>20250506</v>
      </c>
      <c r="G45" s="282">
        <v>1.0000000000000001E-5</v>
      </c>
      <c r="H45" s="287" t="s">
        <v>437</v>
      </c>
    </row>
    <row r="46" spans="1:8" x14ac:dyDescent="0.25">
      <c r="A46" s="286">
        <v>2025</v>
      </c>
      <c r="B46" s="280">
        <v>45778</v>
      </c>
      <c r="C46" s="281" t="s">
        <v>14</v>
      </c>
      <c r="D46" s="25" t="s">
        <v>1404</v>
      </c>
      <c r="E46" s="25" t="s">
        <v>1411</v>
      </c>
      <c r="F46" s="25">
        <v>20250507</v>
      </c>
      <c r="G46" s="282">
        <v>1.0000000000000001E-5</v>
      </c>
      <c r="H46" s="287" t="s">
        <v>437</v>
      </c>
    </row>
    <row r="47" spans="1:8" x14ac:dyDescent="0.25">
      <c r="A47" s="286">
        <v>2025</v>
      </c>
      <c r="B47" s="280">
        <v>45778</v>
      </c>
      <c r="C47" s="281" t="s">
        <v>14</v>
      </c>
      <c r="D47" s="25" t="s">
        <v>1405</v>
      </c>
      <c r="E47" s="25" t="s">
        <v>1412</v>
      </c>
      <c r="F47" s="25">
        <v>20250508</v>
      </c>
      <c r="G47" s="282">
        <v>1.0000000000000001E-5</v>
      </c>
      <c r="H47" s="287" t="s">
        <v>437</v>
      </c>
    </row>
    <row r="48" spans="1:8" x14ac:dyDescent="0.25">
      <c r="A48" s="286">
        <v>2025</v>
      </c>
      <c r="B48" s="280">
        <v>45778</v>
      </c>
      <c r="C48" s="281" t="s">
        <v>14</v>
      </c>
      <c r="D48" s="25" t="s">
        <v>1406</v>
      </c>
      <c r="E48" s="25" t="s">
        <v>1414</v>
      </c>
      <c r="F48" s="25">
        <v>20250509</v>
      </c>
      <c r="G48" s="282">
        <v>1.0000000000000001E-5</v>
      </c>
      <c r="H48" s="287" t="s">
        <v>437</v>
      </c>
    </row>
    <row r="49" spans="1:8" x14ac:dyDescent="0.25">
      <c r="A49" s="286">
        <v>2025</v>
      </c>
      <c r="B49" s="280">
        <v>45778</v>
      </c>
      <c r="C49" s="281" t="s">
        <v>14</v>
      </c>
      <c r="D49" s="25" t="s">
        <v>1407</v>
      </c>
      <c r="E49" s="25" t="s">
        <v>1413</v>
      </c>
      <c r="F49" s="25">
        <v>20250510</v>
      </c>
      <c r="G49" s="282">
        <v>1.0000000000000001E-5</v>
      </c>
      <c r="H49" s="287" t="s">
        <v>437</v>
      </c>
    </row>
    <row r="50" spans="1:8" x14ac:dyDescent="0.25">
      <c r="A50" s="286">
        <v>2025</v>
      </c>
      <c r="B50" s="280">
        <v>45809</v>
      </c>
      <c r="C50" s="281" t="s">
        <v>13</v>
      </c>
      <c r="D50" s="25" t="s">
        <v>1332</v>
      </c>
      <c r="E50" s="25" t="s">
        <v>1415</v>
      </c>
      <c r="F50" s="25">
        <v>20250601</v>
      </c>
      <c r="G50" s="282">
        <v>1.0000000000000001E-5</v>
      </c>
      <c r="H50" s="287" t="s">
        <v>485</v>
      </c>
    </row>
    <row r="51" spans="1:8" x14ac:dyDescent="0.25">
      <c r="A51" s="286">
        <v>2025</v>
      </c>
      <c r="B51" s="280">
        <v>45809</v>
      </c>
      <c r="C51" s="281" t="s">
        <v>13</v>
      </c>
      <c r="D51" s="25" t="s">
        <v>1331</v>
      </c>
      <c r="E51" s="25" t="s">
        <v>659</v>
      </c>
      <c r="F51" s="25">
        <v>20250602</v>
      </c>
      <c r="G51" s="282">
        <v>1.0000000000000001E-5</v>
      </c>
      <c r="H51" s="287" t="s">
        <v>485</v>
      </c>
    </row>
    <row r="52" spans="1:8" x14ac:dyDescent="0.25">
      <c r="A52" s="286">
        <v>2025</v>
      </c>
      <c r="B52" s="280">
        <v>45809</v>
      </c>
      <c r="C52" s="281" t="s">
        <v>14</v>
      </c>
      <c r="D52" s="25" t="s">
        <v>1401</v>
      </c>
      <c r="E52" s="25" t="s">
        <v>1408</v>
      </c>
      <c r="F52" s="25">
        <v>20250604</v>
      </c>
      <c r="G52" s="282">
        <v>1.0000000000000001E-5</v>
      </c>
      <c r="H52" s="287" t="s">
        <v>485</v>
      </c>
    </row>
    <row r="53" spans="1:8" x14ac:dyDescent="0.25">
      <c r="A53" s="286">
        <v>2025</v>
      </c>
      <c r="B53" s="280">
        <v>45809</v>
      </c>
      <c r="C53" s="281" t="s">
        <v>14</v>
      </c>
      <c r="D53" s="25" t="s">
        <v>1402</v>
      </c>
      <c r="E53" s="25" t="s">
        <v>1409</v>
      </c>
      <c r="F53" s="25">
        <v>20250605</v>
      </c>
      <c r="G53" s="282">
        <v>1.0000000000000001E-5</v>
      </c>
      <c r="H53" s="287" t="s">
        <v>485</v>
      </c>
    </row>
    <row r="54" spans="1:8" x14ac:dyDescent="0.25">
      <c r="A54" s="286">
        <v>2025</v>
      </c>
      <c r="B54" s="280">
        <v>45809</v>
      </c>
      <c r="C54" s="281" t="s">
        <v>14</v>
      </c>
      <c r="D54" s="25" t="s">
        <v>1403</v>
      </c>
      <c r="E54" s="25" t="s">
        <v>1410</v>
      </c>
      <c r="F54" s="25">
        <v>20250606</v>
      </c>
      <c r="G54" s="282">
        <v>1.0000000000000001E-5</v>
      </c>
      <c r="H54" s="287" t="s">
        <v>485</v>
      </c>
    </row>
    <row r="55" spans="1:8" x14ac:dyDescent="0.25">
      <c r="A55" s="286">
        <v>2025</v>
      </c>
      <c r="B55" s="280">
        <v>45809</v>
      </c>
      <c r="C55" s="281" t="s">
        <v>14</v>
      </c>
      <c r="D55" s="25" t="s">
        <v>1404</v>
      </c>
      <c r="E55" s="25" t="s">
        <v>1411</v>
      </c>
      <c r="F55" s="25">
        <v>20250607</v>
      </c>
      <c r="G55" s="282">
        <v>1.0000000000000001E-5</v>
      </c>
      <c r="H55" s="287" t="s">
        <v>485</v>
      </c>
    </row>
    <row r="56" spans="1:8" x14ac:dyDescent="0.25">
      <c r="A56" s="286">
        <v>2025</v>
      </c>
      <c r="B56" s="280">
        <v>45809</v>
      </c>
      <c r="C56" s="281" t="s">
        <v>14</v>
      </c>
      <c r="D56" s="25" t="s">
        <v>1405</v>
      </c>
      <c r="E56" s="25" t="s">
        <v>1412</v>
      </c>
      <c r="F56" s="25">
        <v>20250608</v>
      </c>
      <c r="G56" s="282">
        <v>1.0000000000000001E-5</v>
      </c>
      <c r="H56" s="287" t="s">
        <v>485</v>
      </c>
    </row>
    <row r="57" spans="1:8" x14ac:dyDescent="0.25">
      <c r="A57" s="286">
        <v>2025</v>
      </c>
      <c r="B57" s="280">
        <v>45809</v>
      </c>
      <c r="C57" s="281" t="s">
        <v>14</v>
      </c>
      <c r="D57" s="25" t="s">
        <v>1406</v>
      </c>
      <c r="E57" s="25" t="s">
        <v>1414</v>
      </c>
      <c r="F57" s="25">
        <v>20250609</v>
      </c>
      <c r="G57" s="282">
        <v>1.0000000000000001E-5</v>
      </c>
      <c r="H57" s="287" t="s">
        <v>485</v>
      </c>
    </row>
    <row r="58" spans="1:8" x14ac:dyDescent="0.25">
      <c r="A58" s="286">
        <v>2025</v>
      </c>
      <c r="B58" s="280">
        <v>45809</v>
      </c>
      <c r="C58" s="281" t="s">
        <v>14</v>
      </c>
      <c r="D58" s="25" t="s">
        <v>1407</v>
      </c>
      <c r="E58" s="25" t="s">
        <v>1413</v>
      </c>
      <c r="F58" s="25">
        <v>20250610</v>
      </c>
      <c r="G58" s="282">
        <v>1.0000000000000001E-5</v>
      </c>
      <c r="H58" s="287" t="s">
        <v>485</v>
      </c>
    </row>
    <row r="59" spans="1:8" x14ac:dyDescent="0.25">
      <c r="A59" s="286">
        <v>2025</v>
      </c>
      <c r="B59" s="280">
        <v>45839</v>
      </c>
      <c r="C59" s="281" t="s">
        <v>13</v>
      </c>
      <c r="D59" s="25" t="s">
        <v>1332</v>
      </c>
      <c r="E59" s="25" t="s">
        <v>1415</v>
      </c>
      <c r="F59" s="25">
        <v>20250701</v>
      </c>
      <c r="G59" s="282">
        <v>1.0000000000000001E-5</v>
      </c>
      <c r="H59" s="287" t="s">
        <v>488</v>
      </c>
    </row>
    <row r="60" spans="1:8" x14ac:dyDescent="0.25">
      <c r="A60" s="286">
        <v>2025</v>
      </c>
      <c r="B60" s="280">
        <v>45839</v>
      </c>
      <c r="C60" s="281" t="s">
        <v>13</v>
      </c>
      <c r="D60" s="25" t="s">
        <v>1331</v>
      </c>
      <c r="E60" s="25" t="s">
        <v>659</v>
      </c>
      <c r="F60" s="25">
        <v>20250702</v>
      </c>
      <c r="G60" s="282">
        <v>1.0000000000000001E-5</v>
      </c>
      <c r="H60" s="287" t="s">
        <v>488</v>
      </c>
    </row>
    <row r="61" spans="1:8" x14ac:dyDescent="0.25">
      <c r="A61" s="286">
        <v>2025</v>
      </c>
      <c r="B61" s="280">
        <v>45839</v>
      </c>
      <c r="C61" s="281" t="s">
        <v>14</v>
      </c>
      <c r="D61" s="25" t="s">
        <v>1401</v>
      </c>
      <c r="E61" s="25" t="s">
        <v>1408</v>
      </c>
      <c r="F61" s="25">
        <v>20250704</v>
      </c>
      <c r="G61" s="282">
        <v>1.0000000000000001E-5</v>
      </c>
      <c r="H61" s="287" t="s">
        <v>488</v>
      </c>
    </row>
    <row r="62" spans="1:8" x14ac:dyDescent="0.25">
      <c r="A62" s="286">
        <v>2025</v>
      </c>
      <c r="B62" s="280">
        <v>45839</v>
      </c>
      <c r="C62" s="281" t="s">
        <v>14</v>
      </c>
      <c r="D62" s="25" t="s">
        <v>1402</v>
      </c>
      <c r="E62" s="25" t="s">
        <v>1409</v>
      </c>
      <c r="F62" s="25">
        <v>20250705</v>
      </c>
      <c r="G62" s="282">
        <v>1.0000000000000001E-5</v>
      </c>
      <c r="H62" s="287" t="s">
        <v>488</v>
      </c>
    </row>
    <row r="63" spans="1:8" x14ac:dyDescent="0.25">
      <c r="A63" s="286">
        <v>2025</v>
      </c>
      <c r="B63" s="280">
        <v>45839</v>
      </c>
      <c r="C63" s="281" t="s">
        <v>14</v>
      </c>
      <c r="D63" s="25" t="s">
        <v>1403</v>
      </c>
      <c r="E63" s="25" t="s">
        <v>1410</v>
      </c>
      <c r="F63" s="25">
        <v>20250706</v>
      </c>
      <c r="G63" s="282">
        <v>1.0000000000000001E-5</v>
      </c>
      <c r="H63" s="287" t="s">
        <v>488</v>
      </c>
    </row>
    <row r="64" spans="1:8" x14ac:dyDescent="0.25">
      <c r="A64" s="286">
        <v>2025</v>
      </c>
      <c r="B64" s="280">
        <v>45839</v>
      </c>
      <c r="C64" s="281" t="s">
        <v>14</v>
      </c>
      <c r="D64" s="25" t="s">
        <v>1404</v>
      </c>
      <c r="E64" s="25" t="s">
        <v>1411</v>
      </c>
      <c r="F64" s="25">
        <v>20250707</v>
      </c>
      <c r="G64" s="282">
        <v>1.0000000000000001E-5</v>
      </c>
      <c r="H64" s="287" t="s">
        <v>488</v>
      </c>
    </row>
    <row r="65" spans="1:8" x14ac:dyDescent="0.25">
      <c r="A65" s="286">
        <v>2025</v>
      </c>
      <c r="B65" s="280">
        <v>45839</v>
      </c>
      <c r="C65" s="281" t="s">
        <v>14</v>
      </c>
      <c r="D65" s="25" t="s">
        <v>1405</v>
      </c>
      <c r="E65" s="25" t="s">
        <v>1412</v>
      </c>
      <c r="F65" s="25">
        <v>20250708</v>
      </c>
      <c r="G65" s="282">
        <v>1.0000000000000001E-5</v>
      </c>
      <c r="H65" s="287" t="s">
        <v>488</v>
      </c>
    </row>
    <row r="66" spans="1:8" x14ac:dyDescent="0.25">
      <c r="A66" s="286">
        <v>2025</v>
      </c>
      <c r="B66" s="280">
        <v>45839</v>
      </c>
      <c r="C66" s="281" t="s">
        <v>14</v>
      </c>
      <c r="D66" s="25" t="s">
        <v>1406</v>
      </c>
      <c r="E66" s="25" t="s">
        <v>1414</v>
      </c>
      <c r="F66" s="25">
        <v>20250709</v>
      </c>
      <c r="G66" s="282">
        <v>1.0000000000000001E-5</v>
      </c>
      <c r="H66" s="287" t="s">
        <v>488</v>
      </c>
    </row>
    <row r="67" spans="1:8" x14ac:dyDescent="0.25">
      <c r="A67" s="286">
        <v>2025</v>
      </c>
      <c r="B67" s="280">
        <v>45839</v>
      </c>
      <c r="C67" s="281" t="s">
        <v>14</v>
      </c>
      <c r="D67" s="25" t="s">
        <v>1407</v>
      </c>
      <c r="E67" s="25" t="s">
        <v>1413</v>
      </c>
      <c r="F67" s="25">
        <v>20250710</v>
      </c>
      <c r="G67" s="282">
        <v>1.0000000000000001E-5</v>
      </c>
      <c r="H67" s="287" t="s">
        <v>488</v>
      </c>
    </row>
    <row r="68" spans="1:8" x14ac:dyDescent="0.25">
      <c r="A68" s="286">
        <v>2025</v>
      </c>
      <c r="B68" s="280">
        <v>45870</v>
      </c>
      <c r="C68" s="281" t="s">
        <v>13</v>
      </c>
      <c r="D68" s="25" t="s">
        <v>1332</v>
      </c>
      <c r="E68" s="25" t="s">
        <v>1415</v>
      </c>
      <c r="F68" s="25">
        <v>20250801</v>
      </c>
      <c r="G68" s="282">
        <v>1.0000000000000001E-5</v>
      </c>
      <c r="H68" s="287" t="s">
        <v>491</v>
      </c>
    </row>
    <row r="69" spans="1:8" x14ac:dyDescent="0.25">
      <c r="A69" s="286">
        <v>2025</v>
      </c>
      <c r="B69" s="280">
        <v>45870</v>
      </c>
      <c r="C69" s="281" t="s">
        <v>13</v>
      </c>
      <c r="D69" s="25" t="s">
        <v>1331</v>
      </c>
      <c r="E69" s="25" t="s">
        <v>659</v>
      </c>
      <c r="F69" s="25">
        <v>20250802</v>
      </c>
      <c r="G69" s="282">
        <v>1.0000000000000001E-5</v>
      </c>
      <c r="H69" s="287" t="s">
        <v>491</v>
      </c>
    </row>
    <row r="70" spans="1:8" x14ac:dyDescent="0.25">
      <c r="A70" s="286">
        <v>2025</v>
      </c>
      <c r="B70" s="280">
        <v>45870</v>
      </c>
      <c r="C70" s="281" t="s">
        <v>14</v>
      </c>
      <c r="D70" s="25" t="s">
        <v>1401</v>
      </c>
      <c r="E70" s="25" t="s">
        <v>1408</v>
      </c>
      <c r="F70" s="25">
        <v>20250804</v>
      </c>
      <c r="G70" s="282">
        <v>1.0000000000000001E-5</v>
      </c>
      <c r="H70" s="287" t="s">
        <v>491</v>
      </c>
    </row>
    <row r="71" spans="1:8" x14ac:dyDescent="0.25">
      <c r="A71" s="286">
        <v>2025</v>
      </c>
      <c r="B71" s="280">
        <v>45870</v>
      </c>
      <c r="C71" s="281" t="s">
        <v>14</v>
      </c>
      <c r="D71" s="25" t="s">
        <v>1402</v>
      </c>
      <c r="E71" s="25" t="s">
        <v>1409</v>
      </c>
      <c r="F71" s="25">
        <v>20250805</v>
      </c>
      <c r="G71" s="282">
        <v>1.0000000000000001E-5</v>
      </c>
      <c r="H71" s="287" t="s">
        <v>491</v>
      </c>
    </row>
    <row r="72" spans="1:8" x14ac:dyDescent="0.25">
      <c r="A72" s="286">
        <v>2025</v>
      </c>
      <c r="B72" s="280">
        <v>45870</v>
      </c>
      <c r="C72" s="281" t="s">
        <v>14</v>
      </c>
      <c r="D72" s="25" t="s">
        <v>1403</v>
      </c>
      <c r="E72" s="25" t="s">
        <v>1410</v>
      </c>
      <c r="F72" s="25">
        <v>20250806</v>
      </c>
      <c r="G72" s="282">
        <v>1.0000000000000001E-5</v>
      </c>
      <c r="H72" s="287" t="s">
        <v>491</v>
      </c>
    </row>
    <row r="73" spans="1:8" x14ac:dyDescent="0.25">
      <c r="A73" s="286">
        <v>2025</v>
      </c>
      <c r="B73" s="280">
        <v>45870</v>
      </c>
      <c r="C73" s="281" t="s">
        <v>14</v>
      </c>
      <c r="D73" s="25" t="s">
        <v>1404</v>
      </c>
      <c r="E73" s="25" t="s">
        <v>1411</v>
      </c>
      <c r="F73" s="25">
        <v>20250807</v>
      </c>
      <c r="G73" s="282">
        <v>1.0000000000000001E-5</v>
      </c>
      <c r="H73" s="287" t="s">
        <v>491</v>
      </c>
    </row>
    <row r="74" spans="1:8" x14ac:dyDescent="0.25">
      <c r="A74" s="286">
        <v>2025</v>
      </c>
      <c r="B74" s="280">
        <v>45870</v>
      </c>
      <c r="C74" s="281" t="s">
        <v>14</v>
      </c>
      <c r="D74" s="25" t="s">
        <v>1405</v>
      </c>
      <c r="E74" s="25" t="s">
        <v>1412</v>
      </c>
      <c r="F74" s="25">
        <v>20250808</v>
      </c>
      <c r="G74" s="282">
        <v>1.0000000000000001E-5</v>
      </c>
      <c r="H74" s="287" t="s">
        <v>491</v>
      </c>
    </row>
    <row r="75" spans="1:8" x14ac:dyDescent="0.25">
      <c r="A75" s="286">
        <v>2025</v>
      </c>
      <c r="B75" s="280">
        <v>45870</v>
      </c>
      <c r="C75" s="281" t="s">
        <v>14</v>
      </c>
      <c r="D75" s="25" t="s">
        <v>1406</v>
      </c>
      <c r="E75" s="25" t="s">
        <v>1414</v>
      </c>
      <c r="F75" s="25">
        <v>20250809</v>
      </c>
      <c r="G75" s="282">
        <v>1.0000000000000001E-5</v>
      </c>
      <c r="H75" s="287" t="s">
        <v>491</v>
      </c>
    </row>
    <row r="76" spans="1:8" x14ac:dyDescent="0.25">
      <c r="A76" s="286">
        <v>2025</v>
      </c>
      <c r="B76" s="280">
        <v>45870</v>
      </c>
      <c r="C76" s="281" t="s">
        <v>14</v>
      </c>
      <c r="D76" s="25" t="s">
        <v>1407</v>
      </c>
      <c r="E76" s="25" t="s">
        <v>1413</v>
      </c>
      <c r="F76" s="25">
        <v>20250810</v>
      </c>
      <c r="G76" s="282">
        <v>1.0000000000000001E-5</v>
      </c>
      <c r="H76" s="287" t="s">
        <v>491</v>
      </c>
    </row>
    <row r="77" spans="1:8" x14ac:dyDescent="0.25">
      <c r="A77" s="286">
        <v>2025</v>
      </c>
      <c r="B77" s="280">
        <v>45901</v>
      </c>
      <c r="C77" s="281" t="s">
        <v>13</v>
      </c>
      <c r="D77" s="25" t="s">
        <v>1332</v>
      </c>
      <c r="E77" s="25" t="s">
        <v>1415</v>
      </c>
      <c r="F77" s="25">
        <v>20250901</v>
      </c>
      <c r="G77" s="282">
        <v>1.0000000000000001E-5</v>
      </c>
      <c r="H77" s="287" t="s">
        <v>494</v>
      </c>
    </row>
    <row r="78" spans="1:8" x14ac:dyDescent="0.25">
      <c r="A78" s="286">
        <v>2025</v>
      </c>
      <c r="B78" s="280">
        <v>45901</v>
      </c>
      <c r="C78" s="281" t="s">
        <v>13</v>
      </c>
      <c r="D78" s="25" t="s">
        <v>1331</v>
      </c>
      <c r="E78" s="25" t="s">
        <v>659</v>
      </c>
      <c r="F78" s="25">
        <v>20250902</v>
      </c>
      <c r="G78" s="282">
        <v>1.0000000000000001E-5</v>
      </c>
      <c r="H78" s="287" t="s">
        <v>494</v>
      </c>
    </row>
    <row r="79" spans="1:8" x14ac:dyDescent="0.25">
      <c r="A79" s="286">
        <v>2025</v>
      </c>
      <c r="B79" s="280">
        <v>45901</v>
      </c>
      <c r="C79" s="281" t="s">
        <v>14</v>
      </c>
      <c r="D79" s="25" t="s">
        <v>1401</v>
      </c>
      <c r="E79" s="25" t="s">
        <v>1408</v>
      </c>
      <c r="F79" s="25">
        <v>20250904</v>
      </c>
      <c r="G79" s="282">
        <v>1.0000000000000001E-5</v>
      </c>
      <c r="H79" s="287" t="s">
        <v>494</v>
      </c>
    </row>
    <row r="80" spans="1:8" x14ac:dyDescent="0.25">
      <c r="A80" s="286">
        <v>2025</v>
      </c>
      <c r="B80" s="280">
        <v>45901</v>
      </c>
      <c r="C80" s="281" t="s">
        <v>14</v>
      </c>
      <c r="D80" s="25" t="s">
        <v>1402</v>
      </c>
      <c r="E80" s="25" t="s">
        <v>1409</v>
      </c>
      <c r="F80" s="25">
        <v>20250905</v>
      </c>
      <c r="G80" s="282">
        <v>1.0000000000000001E-5</v>
      </c>
      <c r="H80" s="287" t="s">
        <v>494</v>
      </c>
    </row>
    <row r="81" spans="1:8" x14ac:dyDescent="0.25">
      <c r="A81" s="286">
        <v>2025</v>
      </c>
      <c r="B81" s="280">
        <v>45901</v>
      </c>
      <c r="C81" s="281" t="s">
        <v>14</v>
      </c>
      <c r="D81" s="25" t="s">
        <v>1403</v>
      </c>
      <c r="E81" s="25" t="s">
        <v>1410</v>
      </c>
      <c r="F81" s="25">
        <v>20250906</v>
      </c>
      <c r="G81" s="282">
        <v>1.0000000000000001E-5</v>
      </c>
      <c r="H81" s="287" t="s">
        <v>494</v>
      </c>
    </row>
    <row r="82" spans="1:8" x14ac:dyDescent="0.25">
      <c r="A82" s="286">
        <v>2025</v>
      </c>
      <c r="B82" s="280">
        <v>45901</v>
      </c>
      <c r="C82" s="281" t="s">
        <v>14</v>
      </c>
      <c r="D82" s="25" t="s">
        <v>1404</v>
      </c>
      <c r="E82" s="25" t="s">
        <v>1411</v>
      </c>
      <c r="F82" s="25">
        <v>20250907</v>
      </c>
      <c r="G82" s="282">
        <v>1.0000000000000001E-5</v>
      </c>
      <c r="H82" s="287" t="s">
        <v>494</v>
      </c>
    </row>
    <row r="83" spans="1:8" x14ac:dyDescent="0.25">
      <c r="A83" s="286">
        <v>2025</v>
      </c>
      <c r="B83" s="280">
        <v>45901</v>
      </c>
      <c r="C83" s="281" t="s">
        <v>14</v>
      </c>
      <c r="D83" s="25" t="s">
        <v>1405</v>
      </c>
      <c r="E83" s="25" t="s">
        <v>1412</v>
      </c>
      <c r="F83" s="25">
        <v>20250908</v>
      </c>
      <c r="G83" s="282">
        <v>1.0000000000000001E-5</v>
      </c>
      <c r="H83" s="287" t="s">
        <v>494</v>
      </c>
    </row>
    <row r="84" spans="1:8" x14ac:dyDescent="0.25">
      <c r="A84" s="286">
        <v>2025</v>
      </c>
      <c r="B84" s="280">
        <v>45901</v>
      </c>
      <c r="C84" s="281" t="s">
        <v>14</v>
      </c>
      <c r="D84" s="25" t="s">
        <v>1406</v>
      </c>
      <c r="E84" s="25" t="s">
        <v>1414</v>
      </c>
      <c r="F84" s="25">
        <v>20250909</v>
      </c>
      <c r="G84" s="282">
        <v>1.0000000000000001E-5</v>
      </c>
      <c r="H84" s="287" t="s">
        <v>494</v>
      </c>
    </row>
    <row r="85" spans="1:8" x14ac:dyDescent="0.25">
      <c r="A85" s="286">
        <v>2025</v>
      </c>
      <c r="B85" s="280">
        <v>45901</v>
      </c>
      <c r="C85" s="281" t="s">
        <v>14</v>
      </c>
      <c r="D85" s="25" t="s">
        <v>1407</v>
      </c>
      <c r="E85" s="25" t="s">
        <v>1413</v>
      </c>
      <c r="F85" s="25">
        <v>20250910</v>
      </c>
      <c r="G85" s="282">
        <v>1.0000000000000001E-5</v>
      </c>
      <c r="H85" s="287" t="s">
        <v>494</v>
      </c>
    </row>
    <row r="86" spans="1:8" x14ac:dyDescent="0.25">
      <c r="A86" s="286">
        <v>2025</v>
      </c>
      <c r="B86" s="280">
        <v>45901</v>
      </c>
      <c r="C86" s="281" t="s">
        <v>13</v>
      </c>
      <c r="D86" s="25" t="s">
        <v>1333</v>
      </c>
      <c r="E86" s="25" t="s">
        <v>1416</v>
      </c>
      <c r="F86" s="25">
        <v>20250903</v>
      </c>
      <c r="G86" s="282">
        <v>1.0000000000000001E-5</v>
      </c>
      <c r="H86" s="287" t="s">
        <v>494</v>
      </c>
    </row>
    <row r="87" spans="1:8" x14ac:dyDescent="0.25">
      <c r="A87" s="286">
        <v>2025</v>
      </c>
      <c r="B87" s="280">
        <v>45931</v>
      </c>
      <c r="C87" s="281" t="s">
        <v>13</v>
      </c>
      <c r="D87" s="25" t="s">
        <v>1332</v>
      </c>
      <c r="E87" s="25" t="s">
        <v>1415</v>
      </c>
      <c r="F87" s="25">
        <v>20251001</v>
      </c>
      <c r="G87" s="282">
        <v>1.0000000000000001E-5</v>
      </c>
      <c r="H87" s="287" t="s">
        <v>497</v>
      </c>
    </row>
    <row r="88" spans="1:8" x14ac:dyDescent="0.25">
      <c r="A88" s="286">
        <v>2025</v>
      </c>
      <c r="B88" s="280">
        <v>45931</v>
      </c>
      <c r="C88" s="281" t="s">
        <v>13</v>
      </c>
      <c r="D88" s="25" t="s">
        <v>1331</v>
      </c>
      <c r="E88" s="25" t="s">
        <v>659</v>
      </c>
      <c r="F88" s="25">
        <v>20251002</v>
      </c>
      <c r="G88" s="282">
        <v>1.0000000000000001E-5</v>
      </c>
      <c r="H88" s="287" t="s">
        <v>497</v>
      </c>
    </row>
    <row r="89" spans="1:8" x14ac:dyDescent="0.25">
      <c r="A89" s="286">
        <v>2025</v>
      </c>
      <c r="B89" s="280">
        <v>45931</v>
      </c>
      <c r="C89" s="281" t="s">
        <v>14</v>
      </c>
      <c r="D89" s="25" t="s">
        <v>1401</v>
      </c>
      <c r="E89" s="25" t="s">
        <v>1408</v>
      </c>
      <c r="F89" s="25">
        <v>20251004</v>
      </c>
      <c r="G89" s="282">
        <v>1.0000000000000001E-5</v>
      </c>
      <c r="H89" s="287" t="s">
        <v>497</v>
      </c>
    </row>
    <row r="90" spans="1:8" x14ac:dyDescent="0.25">
      <c r="A90" s="286">
        <v>2025</v>
      </c>
      <c r="B90" s="280">
        <v>45931</v>
      </c>
      <c r="C90" s="281" t="s">
        <v>14</v>
      </c>
      <c r="D90" s="25" t="s">
        <v>1402</v>
      </c>
      <c r="E90" s="25" t="s">
        <v>1409</v>
      </c>
      <c r="F90" s="25">
        <v>20251005</v>
      </c>
      <c r="G90" s="282">
        <v>1.0000000000000001E-5</v>
      </c>
      <c r="H90" s="287" t="s">
        <v>497</v>
      </c>
    </row>
    <row r="91" spans="1:8" x14ac:dyDescent="0.25">
      <c r="A91" s="286">
        <v>2025</v>
      </c>
      <c r="B91" s="280">
        <v>45931</v>
      </c>
      <c r="C91" s="281" t="s">
        <v>14</v>
      </c>
      <c r="D91" s="25" t="s">
        <v>1403</v>
      </c>
      <c r="E91" s="25" t="s">
        <v>1410</v>
      </c>
      <c r="F91" s="25">
        <v>20251006</v>
      </c>
      <c r="G91" s="282">
        <v>1.0000000000000001E-5</v>
      </c>
      <c r="H91" s="287" t="s">
        <v>497</v>
      </c>
    </row>
    <row r="92" spans="1:8" x14ac:dyDescent="0.25">
      <c r="A92" s="286">
        <v>2025</v>
      </c>
      <c r="B92" s="280">
        <v>45931</v>
      </c>
      <c r="C92" s="281" t="s">
        <v>14</v>
      </c>
      <c r="D92" s="25" t="s">
        <v>1404</v>
      </c>
      <c r="E92" s="25" t="s">
        <v>1411</v>
      </c>
      <c r="F92" s="25">
        <v>20251007</v>
      </c>
      <c r="G92" s="282">
        <v>1.0000000000000001E-5</v>
      </c>
      <c r="H92" s="287" t="s">
        <v>497</v>
      </c>
    </row>
    <row r="93" spans="1:8" x14ac:dyDescent="0.25">
      <c r="A93" s="286">
        <v>2025</v>
      </c>
      <c r="B93" s="280">
        <v>45931</v>
      </c>
      <c r="C93" s="281" t="s">
        <v>14</v>
      </c>
      <c r="D93" s="25" t="s">
        <v>1405</v>
      </c>
      <c r="E93" s="25" t="s">
        <v>1412</v>
      </c>
      <c r="F93" s="25">
        <v>20251008</v>
      </c>
      <c r="G93" s="282">
        <v>1.0000000000000001E-5</v>
      </c>
      <c r="H93" s="287" t="s">
        <v>497</v>
      </c>
    </row>
    <row r="94" spans="1:8" x14ac:dyDescent="0.25">
      <c r="A94" s="286">
        <v>2025</v>
      </c>
      <c r="B94" s="280">
        <v>45931</v>
      </c>
      <c r="C94" s="281" t="s">
        <v>14</v>
      </c>
      <c r="D94" s="25" t="s">
        <v>1406</v>
      </c>
      <c r="E94" s="25" t="s">
        <v>1414</v>
      </c>
      <c r="F94" s="25">
        <v>20251009</v>
      </c>
      <c r="G94" s="282">
        <v>1.0000000000000001E-5</v>
      </c>
      <c r="H94" s="287" t="s">
        <v>497</v>
      </c>
    </row>
    <row r="95" spans="1:8" x14ac:dyDescent="0.25">
      <c r="A95" s="286">
        <v>2025</v>
      </c>
      <c r="B95" s="280">
        <v>45931</v>
      </c>
      <c r="C95" s="281" t="s">
        <v>14</v>
      </c>
      <c r="D95" s="25" t="s">
        <v>1407</v>
      </c>
      <c r="E95" s="25" t="s">
        <v>1413</v>
      </c>
      <c r="F95" s="25">
        <v>20251010</v>
      </c>
      <c r="G95" s="282">
        <v>1.0000000000000001E-5</v>
      </c>
      <c r="H95" s="287" t="s">
        <v>497</v>
      </c>
    </row>
    <row r="96" spans="1:8" x14ac:dyDescent="0.25">
      <c r="A96" s="286">
        <v>2025</v>
      </c>
      <c r="B96" s="280">
        <v>45962</v>
      </c>
      <c r="C96" s="281" t="s">
        <v>13</v>
      </c>
      <c r="D96" s="25" t="s">
        <v>1332</v>
      </c>
      <c r="E96" s="25" t="s">
        <v>1415</v>
      </c>
      <c r="F96" s="25">
        <v>20251101</v>
      </c>
      <c r="G96" s="282">
        <v>1.0000000000000001E-5</v>
      </c>
      <c r="H96" s="287" t="s">
        <v>499</v>
      </c>
    </row>
    <row r="97" spans="1:8" x14ac:dyDescent="0.25">
      <c r="A97" s="286">
        <v>2025</v>
      </c>
      <c r="B97" s="280">
        <v>45962</v>
      </c>
      <c r="C97" s="281" t="s">
        <v>13</v>
      </c>
      <c r="D97" s="25" t="s">
        <v>1331</v>
      </c>
      <c r="E97" s="25" t="s">
        <v>659</v>
      </c>
      <c r="F97" s="25">
        <v>20251102</v>
      </c>
      <c r="G97" s="282">
        <v>1.0000000000000001E-5</v>
      </c>
      <c r="H97" s="287" t="s">
        <v>499</v>
      </c>
    </row>
    <row r="98" spans="1:8" x14ac:dyDescent="0.25">
      <c r="A98" s="286">
        <v>2025</v>
      </c>
      <c r="B98" s="280">
        <v>45962</v>
      </c>
      <c r="C98" s="281" t="s">
        <v>14</v>
      </c>
      <c r="D98" s="25" t="s">
        <v>1401</v>
      </c>
      <c r="E98" s="25" t="s">
        <v>1408</v>
      </c>
      <c r="F98" s="25">
        <v>20251104</v>
      </c>
      <c r="G98" s="282">
        <v>1.0000000000000001E-5</v>
      </c>
      <c r="H98" s="287" t="s">
        <v>499</v>
      </c>
    </row>
    <row r="99" spans="1:8" x14ac:dyDescent="0.25">
      <c r="A99" s="286">
        <v>2025</v>
      </c>
      <c r="B99" s="280">
        <v>45962</v>
      </c>
      <c r="C99" s="281" t="s">
        <v>14</v>
      </c>
      <c r="D99" s="25" t="s">
        <v>1402</v>
      </c>
      <c r="E99" s="25" t="s">
        <v>1409</v>
      </c>
      <c r="F99" s="25">
        <v>20251105</v>
      </c>
      <c r="G99" s="282">
        <v>1.0000000000000001E-5</v>
      </c>
      <c r="H99" s="287" t="s">
        <v>499</v>
      </c>
    </row>
    <row r="100" spans="1:8" x14ac:dyDescent="0.25">
      <c r="A100" s="286">
        <v>2025</v>
      </c>
      <c r="B100" s="280">
        <v>45962</v>
      </c>
      <c r="C100" s="281" t="s">
        <v>14</v>
      </c>
      <c r="D100" s="25" t="s">
        <v>1403</v>
      </c>
      <c r="E100" s="25" t="s">
        <v>1410</v>
      </c>
      <c r="F100" s="25">
        <v>20251106</v>
      </c>
      <c r="G100" s="282">
        <v>1.0000000000000001E-5</v>
      </c>
      <c r="H100" s="287" t="s">
        <v>499</v>
      </c>
    </row>
    <row r="101" spans="1:8" x14ac:dyDescent="0.25">
      <c r="A101" s="286">
        <v>2025</v>
      </c>
      <c r="B101" s="280">
        <v>45962</v>
      </c>
      <c r="C101" s="281" t="s">
        <v>14</v>
      </c>
      <c r="D101" s="25" t="s">
        <v>1404</v>
      </c>
      <c r="E101" s="25" t="s">
        <v>1411</v>
      </c>
      <c r="F101" s="25">
        <v>20251107</v>
      </c>
      <c r="G101" s="282">
        <v>1.0000000000000001E-5</v>
      </c>
      <c r="H101" s="287" t="s">
        <v>499</v>
      </c>
    </row>
    <row r="102" spans="1:8" x14ac:dyDescent="0.25">
      <c r="A102" s="286">
        <v>2025</v>
      </c>
      <c r="B102" s="280">
        <v>45962</v>
      </c>
      <c r="C102" s="281" t="s">
        <v>14</v>
      </c>
      <c r="D102" s="25" t="s">
        <v>1405</v>
      </c>
      <c r="E102" s="25" t="s">
        <v>1412</v>
      </c>
      <c r="F102" s="25">
        <v>20251108</v>
      </c>
      <c r="G102" s="282">
        <v>1.0000000000000001E-5</v>
      </c>
      <c r="H102" s="287" t="s">
        <v>499</v>
      </c>
    </row>
    <row r="103" spans="1:8" x14ac:dyDescent="0.25">
      <c r="A103" s="286">
        <v>2025</v>
      </c>
      <c r="B103" s="280">
        <v>45962</v>
      </c>
      <c r="C103" s="281" t="s">
        <v>14</v>
      </c>
      <c r="D103" s="25" t="s">
        <v>1406</v>
      </c>
      <c r="E103" s="25" t="s">
        <v>1414</v>
      </c>
      <c r="F103" s="25">
        <v>20251109</v>
      </c>
      <c r="G103" s="282">
        <v>1.0000000000000001E-5</v>
      </c>
      <c r="H103" s="287" t="s">
        <v>499</v>
      </c>
    </row>
    <row r="104" spans="1:8" x14ac:dyDescent="0.25">
      <c r="A104" s="286">
        <v>2025</v>
      </c>
      <c r="B104" s="280">
        <v>45962</v>
      </c>
      <c r="C104" s="281" t="s">
        <v>14</v>
      </c>
      <c r="D104" s="25" t="s">
        <v>1407</v>
      </c>
      <c r="E104" s="25" t="s">
        <v>1413</v>
      </c>
      <c r="F104" s="25">
        <v>20251110</v>
      </c>
      <c r="G104" s="282">
        <v>1.0000000000000001E-5</v>
      </c>
      <c r="H104" s="287" t="s">
        <v>499</v>
      </c>
    </row>
    <row r="105" spans="1:8" x14ac:dyDescent="0.25">
      <c r="A105" s="286">
        <v>2025</v>
      </c>
      <c r="B105" s="280">
        <v>45992</v>
      </c>
      <c r="C105" s="281" t="s">
        <v>13</v>
      </c>
      <c r="D105" s="25" t="s">
        <v>1332</v>
      </c>
      <c r="E105" s="25" t="s">
        <v>1415</v>
      </c>
      <c r="F105" s="25">
        <v>20251201</v>
      </c>
      <c r="G105" s="282">
        <v>1.0000000000000001E-5</v>
      </c>
      <c r="H105" s="287" t="s">
        <v>501</v>
      </c>
    </row>
    <row r="106" spans="1:8" x14ac:dyDescent="0.25">
      <c r="A106" s="286">
        <v>2025</v>
      </c>
      <c r="B106" s="280">
        <v>45992</v>
      </c>
      <c r="C106" s="281" t="s">
        <v>13</v>
      </c>
      <c r="D106" s="25" t="s">
        <v>1331</v>
      </c>
      <c r="E106" s="25" t="s">
        <v>659</v>
      </c>
      <c r="F106" s="25">
        <v>20251202</v>
      </c>
      <c r="G106" s="282">
        <v>1.0000000000000001E-5</v>
      </c>
      <c r="H106" s="287" t="s">
        <v>501</v>
      </c>
    </row>
    <row r="107" spans="1:8" x14ac:dyDescent="0.25">
      <c r="A107" s="286">
        <v>2025</v>
      </c>
      <c r="B107" s="280">
        <v>45992</v>
      </c>
      <c r="C107" s="281" t="s">
        <v>14</v>
      </c>
      <c r="D107" s="25" t="s">
        <v>1401</v>
      </c>
      <c r="E107" s="25" t="s">
        <v>1408</v>
      </c>
      <c r="F107" s="25">
        <v>20251204</v>
      </c>
      <c r="G107" s="282">
        <v>1.0000000000000001E-5</v>
      </c>
      <c r="H107" s="287" t="s">
        <v>501</v>
      </c>
    </row>
    <row r="108" spans="1:8" x14ac:dyDescent="0.25">
      <c r="A108" s="286">
        <v>2025</v>
      </c>
      <c r="B108" s="280">
        <v>45992</v>
      </c>
      <c r="C108" s="281" t="s">
        <v>14</v>
      </c>
      <c r="D108" s="25" t="s">
        <v>1402</v>
      </c>
      <c r="E108" s="25" t="s">
        <v>1409</v>
      </c>
      <c r="F108" s="25">
        <v>20251205</v>
      </c>
      <c r="G108" s="282">
        <v>1.0000000000000001E-5</v>
      </c>
      <c r="H108" s="287" t="s">
        <v>501</v>
      </c>
    </row>
    <row r="109" spans="1:8" x14ac:dyDescent="0.25">
      <c r="A109" s="286">
        <v>2025</v>
      </c>
      <c r="B109" s="280">
        <v>45992</v>
      </c>
      <c r="C109" s="281" t="s">
        <v>14</v>
      </c>
      <c r="D109" s="25" t="s">
        <v>1403</v>
      </c>
      <c r="E109" s="25" t="s">
        <v>1410</v>
      </c>
      <c r="F109" s="25">
        <v>20251206</v>
      </c>
      <c r="G109" s="282">
        <v>1.0000000000000001E-5</v>
      </c>
      <c r="H109" s="287" t="s">
        <v>501</v>
      </c>
    </row>
    <row r="110" spans="1:8" x14ac:dyDescent="0.25">
      <c r="A110" s="286">
        <v>2025</v>
      </c>
      <c r="B110" s="280">
        <v>45992</v>
      </c>
      <c r="C110" s="281" t="s">
        <v>14</v>
      </c>
      <c r="D110" s="25" t="s">
        <v>1404</v>
      </c>
      <c r="E110" s="25" t="s">
        <v>1411</v>
      </c>
      <c r="F110" s="25">
        <v>20251207</v>
      </c>
      <c r="G110" s="282">
        <v>1.0000000000000001E-5</v>
      </c>
      <c r="H110" s="287" t="s">
        <v>501</v>
      </c>
    </row>
    <row r="111" spans="1:8" x14ac:dyDescent="0.25">
      <c r="A111" s="286">
        <v>2025</v>
      </c>
      <c r="B111" s="280">
        <v>45992</v>
      </c>
      <c r="C111" s="281" t="s">
        <v>14</v>
      </c>
      <c r="D111" s="25" t="s">
        <v>1405</v>
      </c>
      <c r="E111" s="25" t="s">
        <v>1412</v>
      </c>
      <c r="F111" s="25">
        <v>20251208</v>
      </c>
      <c r="G111" s="282">
        <v>1.0000000000000001E-5</v>
      </c>
      <c r="H111" s="287" t="s">
        <v>501</v>
      </c>
    </row>
    <row r="112" spans="1:8" x14ac:dyDescent="0.25">
      <c r="A112" s="286">
        <v>2025</v>
      </c>
      <c r="B112" s="280">
        <v>45992</v>
      </c>
      <c r="C112" s="281" t="s">
        <v>14</v>
      </c>
      <c r="D112" s="25" t="s">
        <v>1406</v>
      </c>
      <c r="E112" s="25" t="s">
        <v>1414</v>
      </c>
      <c r="F112" s="25">
        <v>20251209</v>
      </c>
      <c r="G112" s="282">
        <v>1.0000000000000001E-5</v>
      </c>
      <c r="H112" s="287" t="s">
        <v>501</v>
      </c>
    </row>
    <row r="113" spans="1:8" x14ac:dyDescent="0.25">
      <c r="A113" s="286">
        <v>2025</v>
      </c>
      <c r="B113" s="280">
        <v>45992</v>
      </c>
      <c r="C113" s="281" t="s">
        <v>14</v>
      </c>
      <c r="D113" s="25" t="s">
        <v>1407</v>
      </c>
      <c r="E113" s="25" t="s">
        <v>1413</v>
      </c>
      <c r="F113" s="25">
        <v>20251210</v>
      </c>
      <c r="G113" s="282">
        <v>1.0000000000000001E-5</v>
      </c>
      <c r="H113" s="287" t="s">
        <v>501</v>
      </c>
    </row>
    <row r="114" spans="1:8" x14ac:dyDescent="0.25">
      <c r="A114" s="286"/>
      <c r="B114" s="280"/>
      <c r="C114" s="281"/>
      <c r="D114" s="287"/>
      <c r="E114" s="287"/>
      <c r="F114" s="287"/>
      <c r="G114" s="287"/>
      <c r="H114" s="287"/>
    </row>
    <row r="115" spans="1:8" x14ac:dyDescent="0.25">
      <c r="A115" s="5"/>
      <c r="B115" s="283"/>
      <c r="C115" s="5"/>
      <c r="D115" s="5"/>
      <c r="E115" s="5"/>
      <c r="F115" s="5"/>
      <c r="G115" s="282"/>
    </row>
    <row r="116" spans="1:8" x14ac:dyDescent="0.25">
      <c r="A116" s="5"/>
      <c r="B116" s="283"/>
      <c r="C116" s="5"/>
      <c r="D116" s="5"/>
      <c r="E116" s="5"/>
      <c r="F116" s="5"/>
      <c r="G116" s="282"/>
    </row>
    <row r="117" spans="1:8" x14ac:dyDescent="0.25">
      <c r="A117" s="5"/>
      <c r="B117" s="283"/>
      <c r="C117" s="5"/>
      <c r="D117" s="5"/>
      <c r="E117" s="5"/>
      <c r="F117" s="5"/>
      <c r="G117" s="282"/>
    </row>
    <row r="118" spans="1:8" x14ac:dyDescent="0.25">
      <c r="A118" s="5"/>
      <c r="B118" s="283"/>
      <c r="C118" s="5"/>
      <c r="D118" s="5"/>
      <c r="E118" s="5"/>
      <c r="F118" s="5"/>
      <c r="G118" s="282"/>
    </row>
    <row r="119" spans="1:8" x14ac:dyDescent="0.25">
      <c r="A119" s="5"/>
      <c r="B119" s="283"/>
      <c r="C119" s="5"/>
      <c r="D119" s="5"/>
      <c r="E119" s="5"/>
      <c r="F119" s="5"/>
      <c r="G119" s="282"/>
    </row>
    <row r="120" spans="1:8" x14ac:dyDescent="0.25">
      <c r="A120" s="5"/>
      <c r="B120" s="283"/>
      <c r="C120" s="5"/>
      <c r="D120" s="5"/>
      <c r="E120" s="5"/>
      <c r="F120" s="5"/>
      <c r="G120" s="282"/>
    </row>
    <row r="121" spans="1:8" x14ac:dyDescent="0.25">
      <c r="A121" s="5"/>
      <c r="B121" s="283"/>
      <c r="C121" s="5"/>
      <c r="D121" s="5"/>
      <c r="E121" s="5"/>
      <c r="F121" s="5"/>
      <c r="G121" s="282"/>
    </row>
    <row r="122" spans="1:8" x14ac:dyDescent="0.25">
      <c r="A122" s="5"/>
      <c r="B122" s="283"/>
      <c r="C122" s="5"/>
      <c r="D122" s="5"/>
      <c r="E122" s="5"/>
      <c r="F122" s="5"/>
      <c r="G122" s="282"/>
    </row>
    <row r="123" spans="1:8" x14ac:dyDescent="0.25">
      <c r="A123" s="5"/>
      <c r="B123" s="283"/>
      <c r="C123" s="5"/>
      <c r="D123" s="5"/>
      <c r="E123" s="5"/>
      <c r="F123" s="5"/>
      <c r="G123" s="282"/>
    </row>
    <row r="124" spans="1:8" x14ac:dyDescent="0.25">
      <c r="A124" s="5"/>
      <c r="B124" s="283"/>
      <c r="C124" s="5"/>
      <c r="D124" s="5"/>
      <c r="E124" s="5"/>
      <c r="F124" s="5"/>
      <c r="G124" s="282"/>
    </row>
    <row r="125" spans="1:8" x14ac:dyDescent="0.25">
      <c r="A125" s="5"/>
      <c r="B125" s="283"/>
      <c r="C125" s="5"/>
      <c r="D125" s="5"/>
      <c r="E125" s="5"/>
      <c r="F125" s="5"/>
      <c r="G125" s="282"/>
    </row>
    <row r="126" spans="1:8" x14ac:dyDescent="0.25">
      <c r="A126" s="5"/>
      <c r="B126" s="283"/>
      <c r="C126" s="5"/>
      <c r="D126" s="5"/>
      <c r="E126" s="5"/>
      <c r="F126" s="5"/>
      <c r="G126" s="282"/>
    </row>
    <row r="127" spans="1:8" x14ac:dyDescent="0.25">
      <c r="A127" s="5"/>
      <c r="B127" s="283"/>
      <c r="C127" s="5"/>
      <c r="D127" s="5"/>
      <c r="E127" s="5"/>
      <c r="F127" s="5"/>
      <c r="G127" s="282"/>
    </row>
    <row r="128" spans="1:8" x14ac:dyDescent="0.25">
      <c r="A128" s="5"/>
      <c r="B128" s="283"/>
      <c r="C128" s="5"/>
      <c r="D128" s="5"/>
      <c r="E128" s="5"/>
      <c r="F128" s="5"/>
      <c r="G128" s="282"/>
    </row>
    <row r="129" spans="1:7" x14ac:dyDescent="0.25">
      <c r="A129" s="5"/>
      <c r="B129" s="283"/>
      <c r="C129" s="5"/>
      <c r="D129" s="5"/>
      <c r="E129" s="5"/>
      <c r="F129" s="5"/>
      <c r="G129" s="282"/>
    </row>
    <row r="130" spans="1:7" x14ac:dyDescent="0.25">
      <c r="A130" s="5"/>
      <c r="B130" s="283"/>
      <c r="C130" s="5"/>
      <c r="D130" s="5"/>
      <c r="E130" s="5"/>
      <c r="F130" s="5"/>
      <c r="G130" s="282"/>
    </row>
    <row r="131" spans="1:7" x14ac:dyDescent="0.25">
      <c r="A131" s="5"/>
      <c r="B131" s="283"/>
      <c r="C131" s="5"/>
      <c r="D131" s="5"/>
      <c r="E131" s="5"/>
      <c r="F131" s="5"/>
      <c r="G131" s="282"/>
    </row>
    <row r="132" spans="1:7" x14ac:dyDescent="0.25">
      <c r="A132" s="5"/>
      <c r="B132" s="283"/>
      <c r="C132" s="5"/>
      <c r="D132" s="5"/>
      <c r="E132" s="5"/>
      <c r="F132" s="5"/>
      <c r="G132" s="282"/>
    </row>
    <row r="133" spans="1:7" x14ac:dyDescent="0.25">
      <c r="A133" s="5"/>
      <c r="B133" s="283"/>
      <c r="C133" s="5"/>
      <c r="D133" s="5"/>
      <c r="E133" s="5"/>
      <c r="F133" s="5"/>
      <c r="G133" s="282"/>
    </row>
    <row r="134" spans="1:7" x14ac:dyDescent="0.25">
      <c r="A134" s="5"/>
      <c r="B134" s="283"/>
      <c r="C134" s="5"/>
      <c r="D134" s="5"/>
      <c r="E134" s="5"/>
      <c r="F134" s="5"/>
      <c r="G134" s="282"/>
    </row>
    <row r="135" spans="1:7" x14ac:dyDescent="0.25">
      <c r="A135" s="5"/>
      <c r="B135" s="283"/>
      <c r="C135" s="5"/>
      <c r="D135" s="5"/>
      <c r="E135" s="5"/>
      <c r="F135" s="5"/>
      <c r="G135" s="282"/>
    </row>
    <row r="136" spans="1:7" x14ac:dyDescent="0.25">
      <c r="A136" s="5"/>
      <c r="B136" s="283"/>
      <c r="C136" s="5"/>
      <c r="D136" s="5"/>
      <c r="E136" s="5"/>
      <c r="F136" s="5"/>
      <c r="G136" s="282"/>
    </row>
    <row r="137" spans="1:7" x14ac:dyDescent="0.25">
      <c r="A137" s="5"/>
      <c r="B137" s="283"/>
      <c r="C137" s="5"/>
      <c r="D137" s="5"/>
      <c r="E137" s="5"/>
      <c r="F137" s="5"/>
      <c r="G137" s="282"/>
    </row>
    <row r="138" spans="1:7" x14ac:dyDescent="0.25">
      <c r="A138" s="5"/>
      <c r="B138" s="283"/>
      <c r="C138" s="5"/>
      <c r="D138" s="5"/>
      <c r="E138" s="5"/>
      <c r="F138" s="5"/>
      <c r="G138" s="282"/>
    </row>
    <row r="139" spans="1:7" x14ac:dyDescent="0.25">
      <c r="A139" s="5"/>
      <c r="B139" s="283"/>
      <c r="C139" s="5"/>
      <c r="D139" s="5"/>
      <c r="E139" s="5"/>
      <c r="F139" s="5"/>
      <c r="G139" s="282"/>
    </row>
    <row r="140" spans="1:7" x14ac:dyDescent="0.25">
      <c r="A140" s="5"/>
      <c r="B140" s="283"/>
      <c r="C140" s="5"/>
      <c r="D140" s="5"/>
      <c r="E140" s="5"/>
      <c r="F140" s="5"/>
      <c r="G140" s="282"/>
    </row>
    <row r="141" spans="1:7" x14ac:dyDescent="0.25">
      <c r="A141" s="5"/>
      <c r="B141" s="283"/>
      <c r="C141" s="5"/>
      <c r="D141" s="5"/>
      <c r="E141" s="5"/>
      <c r="F141" s="5"/>
      <c r="G141" s="282"/>
    </row>
    <row r="142" spans="1:7" x14ac:dyDescent="0.25">
      <c r="A142" s="5"/>
      <c r="B142" s="283"/>
      <c r="C142" s="5"/>
      <c r="D142" s="5"/>
      <c r="E142" s="5"/>
      <c r="F142" s="5"/>
      <c r="G142" s="282"/>
    </row>
    <row r="143" spans="1:7" x14ac:dyDescent="0.25">
      <c r="A143" s="5"/>
      <c r="B143" s="283"/>
      <c r="C143" s="5"/>
      <c r="D143" s="5"/>
      <c r="E143" s="5"/>
      <c r="F143" s="5"/>
      <c r="G143" s="282"/>
    </row>
    <row r="144" spans="1:7" x14ac:dyDescent="0.25">
      <c r="A144" s="5"/>
      <c r="B144" s="283"/>
      <c r="C144" s="5"/>
      <c r="D144" s="5"/>
      <c r="E144" s="5"/>
      <c r="F144" s="5"/>
      <c r="G144" s="282"/>
    </row>
    <row r="145" spans="1:7" x14ac:dyDescent="0.25">
      <c r="A145" s="5"/>
      <c r="B145" s="283"/>
      <c r="C145" s="5"/>
      <c r="D145" s="5"/>
      <c r="E145" s="5"/>
      <c r="F145" s="5"/>
      <c r="G145" s="282"/>
    </row>
    <row r="146" spans="1:7" x14ac:dyDescent="0.25">
      <c r="A146" s="5"/>
      <c r="B146" s="283"/>
      <c r="C146" s="5"/>
      <c r="D146" s="5"/>
      <c r="E146" s="5"/>
      <c r="F146" s="5"/>
      <c r="G146" s="282"/>
    </row>
    <row r="147" spans="1:7" x14ac:dyDescent="0.25">
      <c r="A147" s="5"/>
      <c r="B147" s="283"/>
      <c r="C147" s="5"/>
      <c r="D147" s="5"/>
      <c r="E147" s="5"/>
      <c r="F147" s="5"/>
      <c r="G147" s="282"/>
    </row>
    <row r="148" spans="1:7" x14ac:dyDescent="0.25">
      <c r="A148" s="5"/>
      <c r="B148" s="283"/>
      <c r="C148" s="5"/>
      <c r="D148" s="5"/>
      <c r="E148" s="5"/>
      <c r="F148" s="5"/>
      <c r="G148" s="282"/>
    </row>
    <row r="149" spans="1:7" x14ac:dyDescent="0.25">
      <c r="A149" s="5"/>
      <c r="B149" s="283"/>
      <c r="C149" s="5"/>
      <c r="D149" s="5"/>
      <c r="E149" s="5"/>
      <c r="F149" s="5"/>
      <c r="G149" s="282"/>
    </row>
    <row r="150" spans="1:7" x14ac:dyDescent="0.25">
      <c r="A150" s="5"/>
      <c r="B150" s="283"/>
      <c r="C150" s="5"/>
      <c r="D150" s="5"/>
      <c r="E150" s="5"/>
      <c r="F150" s="5"/>
      <c r="G150" s="282"/>
    </row>
    <row r="151" spans="1:7" x14ac:dyDescent="0.25">
      <c r="A151" s="5"/>
      <c r="B151" s="283"/>
      <c r="C151" s="5"/>
      <c r="D151" s="5"/>
      <c r="E151" s="5"/>
      <c r="F151" s="5"/>
      <c r="G151" s="282"/>
    </row>
    <row r="152" spans="1:7" x14ac:dyDescent="0.25">
      <c r="A152" s="5"/>
      <c r="B152" s="283"/>
      <c r="C152" s="5"/>
      <c r="D152" s="5"/>
      <c r="E152" s="5"/>
      <c r="F152" s="5"/>
      <c r="G152" s="282"/>
    </row>
    <row r="153" spans="1:7" x14ac:dyDescent="0.25">
      <c r="A153" s="5"/>
      <c r="B153" s="283"/>
      <c r="C153" s="5"/>
      <c r="D153" s="5"/>
      <c r="E153" s="5"/>
      <c r="F153" s="5"/>
      <c r="G153" s="282"/>
    </row>
    <row r="154" spans="1:7" x14ac:dyDescent="0.25">
      <c r="A154" s="5"/>
      <c r="B154" s="283"/>
      <c r="C154" s="5"/>
      <c r="D154" s="5"/>
      <c r="E154" s="5"/>
      <c r="F154" s="5"/>
      <c r="G154" s="282"/>
    </row>
    <row r="155" spans="1:7" x14ac:dyDescent="0.25">
      <c r="A155" s="5"/>
      <c r="B155" s="283"/>
      <c r="C155" s="5"/>
      <c r="D155" s="5"/>
      <c r="E155" s="5"/>
      <c r="F155" s="5"/>
      <c r="G155" s="282"/>
    </row>
    <row r="156" spans="1:7" x14ac:dyDescent="0.25">
      <c r="A156" s="5"/>
      <c r="B156" s="283"/>
      <c r="C156" s="5"/>
      <c r="D156" s="5"/>
      <c r="E156" s="5"/>
      <c r="F156" s="5"/>
      <c r="G156" s="282"/>
    </row>
    <row r="157" spans="1:7" x14ac:dyDescent="0.25">
      <c r="A157" s="5"/>
      <c r="B157" s="283"/>
      <c r="C157" s="5"/>
      <c r="D157" s="5"/>
      <c r="E157" s="5"/>
      <c r="F157" s="5"/>
      <c r="G157" s="282"/>
    </row>
    <row r="158" spans="1:7" x14ac:dyDescent="0.25">
      <c r="A158" s="5"/>
      <c r="B158" s="283"/>
      <c r="C158" s="5"/>
      <c r="D158" s="5"/>
      <c r="E158" s="5"/>
      <c r="F158" s="5"/>
      <c r="G158" s="282"/>
    </row>
    <row r="159" spans="1:7" x14ac:dyDescent="0.25">
      <c r="A159" s="5"/>
      <c r="B159" s="283"/>
      <c r="C159" s="5"/>
      <c r="D159" s="5"/>
      <c r="E159" s="5"/>
      <c r="F159" s="5"/>
      <c r="G159" s="282"/>
    </row>
    <row r="160" spans="1:7" x14ac:dyDescent="0.25">
      <c r="A160" s="5"/>
      <c r="B160" s="283"/>
      <c r="C160" s="5"/>
      <c r="D160" s="5"/>
      <c r="E160" s="5"/>
      <c r="F160" s="5"/>
      <c r="G160" s="282"/>
    </row>
    <row r="161" spans="1:7" x14ac:dyDescent="0.25">
      <c r="A161" s="5"/>
      <c r="B161" s="283"/>
      <c r="C161" s="5"/>
      <c r="D161" s="5"/>
      <c r="E161" s="5"/>
      <c r="F161" s="5"/>
      <c r="G161" s="282"/>
    </row>
    <row r="162" spans="1:7" x14ac:dyDescent="0.25">
      <c r="A162" s="5"/>
      <c r="B162" s="283"/>
      <c r="C162" s="5"/>
      <c r="D162" s="5"/>
      <c r="E162" s="5"/>
      <c r="F162" s="5"/>
      <c r="G162" s="282"/>
    </row>
    <row r="163" spans="1:7" x14ac:dyDescent="0.25">
      <c r="A163" s="5"/>
      <c r="B163" s="283"/>
      <c r="C163" s="5"/>
      <c r="D163" s="5"/>
      <c r="E163" s="5"/>
      <c r="F163" s="5"/>
      <c r="G163" s="282"/>
    </row>
    <row r="164" spans="1:7" x14ac:dyDescent="0.25">
      <c r="A164" s="5"/>
      <c r="B164" s="283"/>
      <c r="C164" s="5"/>
      <c r="D164" s="5"/>
      <c r="E164" s="5"/>
      <c r="F164" s="5"/>
      <c r="G164" s="282"/>
    </row>
    <row r="165" spans="1:7" x14ac:dyDescent="0.25">
      <c r="A165" s="5"/>
      <c r="B165" s="283"/>
      <c r="C165" s="5"/>
      <c r="D165" s="5"/>
      <c r="E165" s="5"/>
      <c r="F165" s="5"/>
      <c r="G165" s="282"/>
    </row>
    <row r="166" spans="1:7" x14ac:dyDescent="0.25">
      <c r="A166" s="5"/>
      <c r="B166" s="283"/>
      <c r="C166" s="5"/>
      <c r="D166" s="5"/>
      <c r="E166" s="5"/>
      <c r="F166" s="5"/>
      <c r="G166" s="282"/>
    </row>
    <row r="167" spans="1:7" x14ac:dyDescent="0.25">
      <c r="A167" s="5"/>
      <c r="B167" s="283"/>
      <c r="C167" s="5"/>
      <c r="D167" s="5"/>
      <c r="E167" s="5"/>
      <c r="F167" s="5"/>
      <c r="G167" s="282"/>
    </row>
    <row r="168" spans="1:7" x14ac:dyDescent="0.25">
      <c r="A168" s="5"/>
      <c r="B168" s="283"/>
      <c r="C168" s="5"/>
      <c r="D168" s="5"/>
      <c r="E168" s="5"/>
      <c r="F168" s="5"/>
      <c r="G168" s="282"/>
    </row>
    <row r="169" spans="1:7" x14ac:dyDescent="0.25">
      <c r="A169" s="5"/>
      <c r="B169" s="283"/>
      <c r="C169" s="5"/>
      <c r="D169" s="5"/>
      <c r="E169" s="5"/>
      <c r="F169" s="5"/>
      <c r="G169" s="282"/>
    </row>
    <row r="170" spans="1:7" x14ac:dyDescent="0.25">
      <c r="A170" s="5"/>
      <c r="B170" s="283"/>
      <c r="C170" s="5"/>
      <c r="D170" s="5"/>
      <c r="E170" s="5"/>
      <c r="F170" s="5"/>
      <c r="G170" s="282"/>
    </row>
    <row r="171" spans="1:7" x14ac:dyDescent="0.25">
      <c r="A171" s="5"/>
      <c r="B171" s="283"/>
      <c r="C171" s="5"/>
      <c r="D171" s="5"/>
      <c r="E171" s="5"/>
      <c r="F171" s="5"/>
      <c r="G171" s="282"/>
    </row>
    <row r="172" spans="1:7" x14ac:dyDescent="0.25">
      <c r="A172" s="5"/>
      <c r="B172" s="283"/>
      <c r="C172" s="5"/>
      <c r="D172" s="5"/>
      <c r="E172" s="5"/>
      <c r="F172" s="5"/>
      <c r="G172" s="282"/>
    </row>
    <row r="173" spans="1:7" x14ac:dyDescent="0.25">
      <c r="A173" s="5"/>
      <c r="B173" s="283"/>
      <c r="C173" s="5"/>
      <c r="D173" s="5"/>
      <c r="E173" s="5"/>
      <c r="F173" s="5"/>
      <c r="G173" s="282"/>
    </row>
    <row r="174" spans="1:7" x14ac:dyDescent="0.25">
      <c r="A174" s="5"/>
      <c r="B174" s="283"/>
      <c r="C174" s="5"/>
      <c r="D174" s="5"/>
      <c r="E174" s="5"/>
      <c r="F174" s="5"/>
      <c r="G174" s="282"/>
    </row>
    <row r="175" spans="1:7" x14ac:dyDescent="0.25">
      <c r="A175" s="5"/>
      <c r="B175" s="283"/>
      <c r="C175" s="5"/>
      <c r="D175" s="5"/>
      <c r="E175" s="5"/>
      <c r="F175" s="5"/>
      <c r="G175" s="282"/>
    </row>
    <row r="176" spans="1:7" x14ac:dyDescent="0.25">
      <c r="A176" s="5"/>
      <c r="B176" s="283"/>
      <c r="C176" s="5"/>
      <c r="D176" s="5"/>
      <c r="E176" s="5"/>
      <c r="F176" s="5"/>
      <c r="G176" s="282"/>
    </row>
    <row r="177" spans="1:7" x14ac:dyDescent="0.25">
      <c r="A177" s="5"/>
      <c r="B177" s="283"/>
      <c r="C177" s="5"/>
      <c r="D177" s="5"/>
      <c r="E177" s="5"/>
      <c r="F177" s="5"/>
      <c r="G177" s="282"/>
    </row>
    <row r="178" spans="1:7" x14ac:dyDescent="0.25">
      <c r="A178" s="5"/>
      <c r="B178" s="283"/>
      <c r="C178" s="5"/>
      <c r="D178" s="5"/>
      <c r="E178" s="5"/>
      <c r="F178" s="5"/>
      <c r="G178" s="282"/>
    </row>
    <row r="179" spans="1:7" x14ac:dyDescent="0.25">
      <c r="A179" s="5"/>
      <c r="B179" s="283"/>
      <c r="C179" s="5"/>
      <c r="D179" s="5"/>
      <c r="E179" s="5"/>
      <c r="F179" s="5"/>
      <c r="G179" s="282"/>
    </row>
    <row r="180" spans="1:7" x14ac:dyDescent="0.25">
      <c r="A180" s="5"/>
      <c r="B180" s="283"/>
      <c r="C180" s="5"/>
      <c r="D180" s="5"/>
      <c r="E180" s="5"/>
      <c r="F180" s="5"/>
      <c r="G180" s="282"/>
    </row>
    <row r="181" spans="1:7" x14ac:dyDescent="0.25">
      <c r="A181" s="5"/>
      <c r="B181" s="283"/>
      <c r="C181" s="5"/>
      <c r="D181" s="5"/>
      <c r="E181" s="5"/>
      <c r="F181" s="5"/>
      <c r="G181" s="282"/>
    </row>
    <row r="182" spans="1:7" x14ac:dyDescent="0.25">
      <c r="A182" s="5"/>
      <c r="B182" s="283"/>
      <c r="C182" s="5"/>
      <c r="D182" s="5"/>
      <c r="E182" s="5"/>
      <c r="F182" s="5"/>
      <c r="G182" s="282"/>
    </row>
    <row r="183" spans="1:7" x14ac:dyDescent="0.25">
      <c r="A183" s="5"/>
      <c r="B183" s="283"/>
      <c r="C183" s="5"/>
      <c r="D183" s="5"/>
      <c r="E183" s="5"/>
      <c r="F183" s="5"/>
      <c r="G183" s="282"/>
    </row>
    <row r="184" spans="1:7" x14ac:dyDescent="0.25">
      <c r="A184" s="5"/>
      <c r="B184" s="283"/>
      <c r="C184" s="5"/>
      <c r="D184" s="5"/>
      <c r="E184" s="5"/>
      <c r="F184" s="5"/>
      <c r="G184" s="282"/>
    </row>
    <row r="185" spans="1:7" x14ac:dyDescent="0.25">
      <c r="A185" s="5"/>
      <c r="B185" s="283"/>
      <c r="C185" s="5"/>
      <c r="D185" s="5"/>
      <c r="E185" s="5"/>
      <c r="F185" s="5"/>
      <c r="G185" s="282"/>
    </row>
    <row r="186" spans="1:7" x14ac:dyDescent="0.25">
      <c r="A186" s="5"/>
      <c r="B186" s="283"/>
      <c r="C186" s="5"/>
      <c r="D186" s="5"/>
      <c r="E186" s="5"/>
      <c r="F186" s="5"/>
      <c r="G186" s="282"/>
    </row>
    <row r="187" spans="1:7" x14ac:dyDescent="0.25">
      <c r="A187" s="5"/>
      <c r="B187" s="283"/>
      <c r="C187" s="5"/>
      <c r="D187" s="5"/>
      <c r="E187" s="5"/>
      <c r="F187" s="5"/>
      <c r="G187" s="282"/>
    </row>
    <row r="188" spans="1:7" x14ac:dyDescent="0.25">
      <c r="A188" s="5"/>
      <c r="B188" s="283"/>
      <c r="C188" s="5"/>
      <c r="D188" s="5"/>
      <c r="E188" s="5"/>
      <c r="F188" s="5"/>
      <c r="G188" s="282"/>
    </row>
    <row r="189" spans="1:7" x14ac:dyDescent="0.25">
      <c r="A189" s="5"/>
      <c r="B189" s="283"/>
      <c r="C189" s="5"/>
      <c r="D189" s="5"/>
      <c r="E189" s="5"/>
      <c r="F189" s="5"/>
      <c r="G189" s="282"/>
    </row>
    <row r="190" spans="1:7" x14ac:dyDescent="0.25">
      <c r="A190" s="5"/>
      <c r="B190" s="283"/>
      <c r="C190" s="5"/>
      <c r="D190" s="5"/>
      <c r="E190" s="5"/>
      <c r="F190" s="5"/>
      <c r="G190" s="282"/>
    </row>
    <row r="191" spans="1:7" x14ac:dyDescent="0.25">
      <c r="A191" s="5"/>
      <c r="B191" s="283"/>
      <c r="C191" s="5"/>
      <c r="D191" s="5"/>
      <c r="E191" s="5"/>
      <c r="F191" s="5"/>
      <c r="G191" s="282"/>
    </row>
    <row r="192" spans="1:7" x14ac:dyDescent="0.25">
      <c r="A192" s="5"/>
      <c r="B192" s="283"/>
      <c r="C192" s="5"/>
      <c r="D192" s="5"/>
      <c r="E192" s="5"/>
      <c r="F192" s="5"/>
      <c r="G192" s="282"/>
    </row>
    <row r="193" spans="1:7" x14ac:dyDescent="0.25">
      <c r="A193" s="5"/>
      <c r="B193" s="283"/>
      <c r="C193" s="5"/>
      <c r="D193" s="5"/>
      <c r="E193" s="5"/>
      <c r="F193" s="5"/>
      <c r="G193" s="282"/>
    </row>
    <row r="194" spans="1:7" x14ac:dyDescent="0.25">
      <c r="A194" s="5"/>
      <c r="B194" s="283"/>
      <c r="C194" s="5"/>
      <c r="D194" s="5"/>
      <c r="E194" s="5"/>
      <c r="F194" s="5"/>
      <c r="G194" s="282"/>
    </row>
    <row r="195" spans="1:7" x14ac:dyDescent="0.25">
      <c r="A195" s="5"/>
      <c r="B195" s="283"/>
      <c r="C195" s="5"/>
      <c r="D195" s="5"/>
      <c r="E195" s="5"/>
      <c r="F195" s="5"/>
      <c r="G195" s="282"/>
    </row>
    <row r="196" spans="1:7" x14ac:dyDescent="0.25">
      <c r="A196" s="5"/>
      <c r="B196" s="283"/>
      <c r="C196" s="5"/>
      <c r="D196" s="5"/>
      <c r="E196" s="5"/>
      <c r="F196" s="5"/>
      <c r="G196" s="282"/>
    </row>
    <row r="197" spans="1:7" x14ac:dyDescent="0.25">
      <c r="A197" s="5"/>
      <c r="B197" s="283"/>
      <c r="C197" s="5"/>
      <c r="D197" s="5"/>
      <c r="E197" s="5"/>
      <c r="F197" s="5"/>
      <c r="G197" s="282"/>
    </row>
    <row r="198" spans="1:7" x14ac:dyDescent="0.25">
      <c r="A198" s="5"/>
      <c r="B198" s="283"/>
      <c r="C198" s="5"/>
      <c r="D198" s="5"/>
      <c r="E198" s="5"/>
      <c r="F198" s="5"/>
      <c r="G198" s="282"/>
    </row>
    <row r="199" spans="1:7" x14ac:dyDescent="0.25">
      <c r="A199" s="5"/>
      <c r="B199" s="283"/>
      <c r="C199" s="5"/>
      <c r="D199" s="5"/>
      <c r="E199" s="5"/>
      <c r="F199" s="5"/>
      <c r="G199" s="282"/>
    </row>
    <row r="200" spans="1:7" x14ac:dyDescent="0.25">
      <c r="A200" s="5"/>
      <c r="B200" s="283"/>
      <c r="C200" s="5"/>
      <c r="D200" s="5"/>
      <c r="E200" s="5"/>
      <c r="F200" s="5"/>
      <c r="G200" s="282"/>
    </row>
    <row r="201" spans="1:7" x14ac:dyDescent="0.25">
      <c r="A201" s="5"/>
      <c r="B201" s="283"/>
      <c r="C201" s="5"/>
      <c r="D201" s="5"/>
      <c r="E201" s="5"/>
      <c r="F201" s="5"/>
      <c r="G201" s="282"/>
    </row>
    <row r="202" spans="1:7" x14ac:dyDescent="0.25">
      <c r="A202" s="5"/>
      <c r="B202" s="283"/>
      <c r="C202" s="5"/>
      <c r="D202" s="5"/>
      <c r="E202" s="5"/>
      <c r="F202" s="5"/>
      <c r="G202" s="282"/>
    </row>
    <row r="203" spans="1:7" x14ac:dyDescent="0.25">
      <c r="A203" s="5"/>
      <c r="B203" s="283"/>
      <c r="C203" s="5"/>
      <c r="D203" s="5"/>
      <c r="E203" s="5"/>
      <c r="F203" s="5"/>
      <c r="G203" s="282"/>
    </row>
    <row r="204" spans="1:7" x14ac:dyDescent="0.25">
      <c r="A204" s="5"/>
      <c r="B204" s="283"/>
      <c r="C204" s="5"/>
      <c r="D204" s="5"/>
      <c r="E204" s="5"/>
      <c r="F204" s="5"/>
      <c r="G204" s="282"/>
    </row>
    <row r="205" spans="1:7" x14ac:dyDescent="0.25">
      <c r="A205" s="5"/>
      <c r="B205" s="283"/>
      <c r="C205" s="5"/>
      <c r="D205" s="5"/>
      <c r="E205" s="5"/>
      <c r="F205" s="5"/>
      <c r="G205" s="282"/>
    </row>
    <row r="206" spans="1:7" x14ac:dyDescent="0.25">
      <c r="A206" s="5"/>
      <c r="B206" s="283"/>
      <c r="C206" s="5"/>
      <c r="D206" s="5"/>
      <c r="E206" s="5"/>
      <c r="F206" s="5"/>
      <c r="G206" s="282"/>
    </row>
    <row r="207" spans="1:7" x14ac:dyDescent="0.25">
      <c r="A207" s="5"/>
      <c r="B207" s="283"/>
      <c r="C207" s="5"/>
      <c r="D207" s="5"/>
      <c r="E207" s="5"/>
      <c r="F207" s="5"/>
      <c r="G207" s="282"/>
    </row>
    <row r="208" spans="1:7" x14ac:dyDescent="0.25">
      <c r="A208" s="5"/>
      <c r="B208" s="283"/>
      <c r="C208" s="5"/>
      <c r="D208" s="5"/>
      <c r="E208" s="5"/>
      <c r="F208" s="5"/>
      <c r="G208" s="282"/>
    </row>
    <row r="209" spans="1:7" x14ac:dyDescent="0.25">
      <c r="A209" s="5"/>
      <c r="B209" s="283"/>
      <c r="C209" s="5"/>
      <c r="D209" s="5"/>
      <c r="E209" s="5"/>
      <c r="F209" s="5"/>
      <c r="G209" s="282"/>
    </row>
    <row r="210" spans="1:7" x14ac:dyDescent="0.25">
      <c r="A210" s="5"/>
      <c r="B210" s="283"/>
      <c r="C210" s="5"/>
      <c r="D210" s="5"/>
      <c r="E210" s="5"/>
      <c r="F210" s="5"/>
      <c r="G210" s="282"/>
    </row>
    <row r="211" spans="1:7" x14ac:dyDescent="0.25">
      <c r="A211" s="5"/>
      <c r="B211" s="283"/>
      <c r="C211" s="5"/>
      <c r="D211" s="5"/>
      <c r="E211" s="5"/>
      <c r="F211" s="5"/>
      <c r="G211" s="282"/>
    </row>
    <row r="212" spans="1:7" x14ac:dyDescent="0.25">
      <c r="A212" s="5"/>
      <c r="B212" s="283"/>
      <c r="C212" s="5"/>
      <c r="D212" s="5"/>
      <c r="E212" s="5"/>
      <c r="F212" s="5"/>
      <c r="G212" s="282"/>
    </row>
    <row r="213" spans="1:7" x14ac:dyDescent="0.25">
      <c r="A213" s="5"/>
      <c r="B213" s="283"/>
      <c r="C213" s="5"/>
      <c r="D213" s="5"/>
      <c r="E213" s="5"/>
      <c r="F213" s="5"/>
      <c r="G213" s="282"/>
    </row>
    <row r="214" spans="1:7" x14ac:dyDescent="0.25">
      <c r="A214" s="5"/>
      <c r="B214" s="283"/>
      <c r="C214" s="5"/>
      <c r="D214" s="5"/>
      <c r="E214" s="5"/>
      <c r="F214" s="5"/>
      <c r="G214" s="282"/>
    </row>
    <row r="215" spans="1:7" x14ac:dyDescent="0.25">
      <c r="A215" s="5"/>
      <c r="B215" s="283"/>
      <c r="C215" s="5"/>
      <c r="D215" s="5"/>
      <c r="E215" s="5"/>
      <c r="F215" s="5"/>
      <c r="G215" s="282"/>
    </row>
    <row r="216" spans="1:7" x14ac:dyDescent="0.25">
      <c r="A216" s="5"/>
      <c r="B216" s="283"/>
      <c r="C216" s="5"/>
      <c r="D216" s="5"/>
      <c r="E216" s="5"/>
      <c r="F216" s="5"/>
      <c r="G216" s="282"/>
    </row>
    <row r="217" spans="1:7" x14ac:dyDescent="0.25">
      <c r="A217" s="5"/>
      <c r="B217" s="283"/>
      <c r="C217" s="5"/>
      <c r="D217" s="5"/>
      <c r="E217" s="5"/>
      <c r="F217" s="5"/>
      <c r="G217" s="282"/>
    </row>
    <row r="218" spans="1:7" x14ac:dyDescent="0.25">
      <c r="A218" s="5"/>
      <c r="B218" s="283"/>
      <c r="C218" s="5"/>
      <c r="D218" s="5"/>
      <c r="E218" s="5"/>
      <c r="F218" s="5"/>
      <c r="G218" s="282"/>
    </row>
    <row r="219" spans="1:7" x14ac:dyDescent="0.25">
      <c r="A219" s="5"/>
      <c r="B219" s="283"/>
      <c r="C219" s="5"/>
      <c r="D219" s="5"/>
      <c r="E219" s="5"/>
      <c r="F219" s="5"/>
      <c r="G219" s="282"/>
    </row>
    <row r="220" spans="1:7" x14ac:dyDescent="0.25">
      <c r="A220" s="5"/>
      <c r="B220" s="283"/>
      <c r="C220" s="5"/>
      <c r="D220" s="5"/>
      <c r="E220" s="5"/>
      <c r="F220" s="5"/>
      <c r="G220" s="282"/>
    </row>
    <row r="221" spans="1:7" x14ac:dyDescent="0.25">
      <c r="A221" s="5"/>
      <c r="B221" s="283"/>
      <c r="C221" s="5"/>
      <c r="D221" s="5"/>
      <c r="E221" s="5"/>
      <c r="F221" s="5"/>
      <c r="G221" s="282"/>
    </row>
    <row r="222" spans="1:7" x14ac:dyDescent="0.25">
      <c r="A222" s="5"/>
      <c r="B222" s="283"/>
      <c r="C222" s="5"/>
      <c r="D222" s="5"/>
      <c r="E222" s="5"/>
      <c r="F222" s="5"/>
      <c r="G222" s="282"/>
    </row>
    <row r="223" spans="1:7" x14ac:dyDescent="0.25">
      <c r="A223" s="5"/>
      <c r="B223" s="283"/>
      <c r="C223" s="5"/>
      <c r="D223" s="5"/>
      <c r="E223" s="5"/>
      <c r="F223" s="5"/>
      <c r="G223" s="282"/>
    </row>
    <row r="224" spans="1:7" x14ac:dyDescent="0.25">
      <c r="A224" s="5"/>
      <c r="B224" s="283"/>
      <c r="C224" s="5"/>
      <c r="D224" s="5"/>
      <c r="E224" s="5"/>
      <c r="F224" s="5"/>
      <c r="G224" s="282"/>
    </row>
    <row r="225" spans="1:7" x14ac:dyDescent="0.25">
      <c r="A225" s="5"/>
      <c r="B225" s="283"/>
      <c r="C225" s="5"/>
      <c r="D225" s="5"/>
      <c r="E225" s="5"/>
      <c r="F225" s="5"/>
      <c r="G225" s="282"/>
    </row>
    <row r="226" spans="1:7" x14ac:dyDescent="0.25">
      <c r="A226" s="5"/>
      <c r="B226" s="283"/>
      <c r="C226" s="5"/>
      <c r="D226" s="5"/>
      <c r="E226" s="5"/>
      <c r="F226" s="5"/>
      <c r="G226" s="282"/>
    </row>
    <row r="227" spans="1:7" x14ac:dyDescent="0.25">
      <c r="A227" s="5"/>
      <c r="B227" s="283"/>
      <c r="C227" s="5"/>
      <c r="D227" s="5"/>
      <c r="E227" s="5"/>
      <c r="F227" s="5"/>
      <c r="G227" s="282"/>
    </row>
    <row r="228" spans="1:7" x14ac:dyDescent="0.25">
      <c r="A228" s="5"/>
      <c r="B228" s="283"/>
      <c r="C228" s="5"/>
      <c r="D228" s="5"/>
      <c r="E228" s="5"/>
      <c r="F228" s="5"/>
      <c r="G228" s="282"/>
    </row>
    <row r="229" spans="1:7" x14ac:dyDescent="0.25">
      <c r="A229" s="5"/>
      <c r="B229" s="283"/>
      <c r="C229" s="5"/>
      <c r="D229" s="5"/>
      <c r="E229" s="5"/>
      <c r="F229" s="5"/>
      <c r="G229" s="282"/>
    </row>
    <row r="230" spans="1:7" x14ac:dyDescent="0.25">
      <c r="A230" s="5"/>
      <c r="B230" s="283"/>
      <c r="C230" s="5"/>
      <c r="D230" s="5"/>
      <c r="E230" s="5"/>
      <c r="F230" s="5"/>
      <c r="G230" s="282"/>
    </row>
    <row r="231" spans="1:7" x14ac:dyDescent="0.25">
      <c r="A231" s="5"/>
      <c r="B231" s="283"/>
      <c r="C231" s="5"/>
      <c r="D231" s="5"/>
      <c r="E231" s="5"/>
      <c r="F231" s="5"/>
      <c r="G231" s="282"/>
    </row>
    <row r="232" spans="1:7" x14ac:dyDescent="0.25">
      <c r="A232" s="5"/>
      <c r="B232" s="283"/>
      <c r="C232" s="5"/>
      <c r="D232" s="5"/>
      <c r="E232" s="5"/>
      <c r="F232" s="5"/>
      <c r="G232" s="282"/>
    </row>
    <row r="233" spans="1:7" x14ac:dyDescent="0.25">
      <c r="A233" s="5"/>
      <c r="B233" s="283"/>
      <c r="C233" s="5"/>
      <c r="D233" s="5"/>
      <c r="E233" s="5"/>
      <c r="F233" s="5"/>
      <c r="G233" s="282"/>
    </row>
    <row r="234" spans="1:7" x14ac:dyDescent="0.25">
      <c r="A234" s="5"/>
      <c r="B234" s="283"/>
      <c r="C234" s="5"/>
      <c r="D234" s="5"/>
      <c r="E234" s="5"/>
      <c r="F234" s="5"/>
      <c r="G234" s="282"/>
    </row>
    <row r="235" spans="1:7" x14ac:dyDescent="0.25">
      <c r="A235" s="5"/>
      <c r="B235" s="283"/>
      <c r="C235" s="5"/>
      <c r="D235" s="5"/>
      <c r="E235" s="5"/>
      <c r="F235" s="5"/>
      <c r="G235" s="282"/>
    </row>
    <row r="236" spans="1:7" x14ac:dyDescent="0.25">
      <c r="A236" s="5"/>
      <c r="B236" s="283"/>
      <c r="C236" s="5"/>
      <c r="D236" s="5"/>
      <c r="E236" s="5"/>
      <c r="F236" s="5"/>
      <c r="G236" s="282"/>
    </row>
    <row r="237" spans="1:7" x14ac:dyDescent="0.25">
      <c r="A237" s="5"/>
      <c r="B237" s="283"/>
      <c r="C237" s="5"/>
      <c r="D237" s="5"/>
      <c r="E237" s="5"/>
      <c r="F237" s="5"/>
      <c r="G237" s="282"/>
    </row>
    <row r="238" spans="1:7" x14ac:dyDescent="0.25">
      <c r="A238" s="5"/>
      <c r="B238" s="283"/>
      <c r="C238" s="5"/>
      <c r="D238" s="5"/>
      <c r="E238" s="5"/>
      <c r="F238" s="5"/>
      <c r="G238" s="282"/>
    </row>
    <row r="239" spans="1:7" x14ac:dyDescent="0.25">
      <c r="A239" s="5"/>
      <c r="B239" s="283"/>
      <c r="C239" s="5"/>
      <c r="D239" s="5"/>
      <c r="E239" s="5"/>
      <c r="F239" s="5"/>
      <c r="G239" s="282"/>
    </row>
    <row r="240" spans="1:7" x14ac:dyDescent="0.25">
      <c r="A240" s="5"/>
      <c r="B240" s="283"/>
      <c r="C240" s="5"/>
      <c r="D240" s="5"/>
      <c r="E240" s="5"/>
      <c r="F240" s="5"/>
      <c r="G240" s="282"/>
    </row>
    <row r="241" spans="1:7" x14ac:dyDescent="0.25">
      <c r="A241" s="5"/>
      <c r="B241" s="283"/>
      <c r="C241" s="5"/>
      <c r="D241" s="5"/>
      <c r="E241" s="5"/>
      <c r="F241" s="5"/>
      <c r="G241" s="282"/>
    </row>
    <row r="242" spans="1:7" x14ac:dyDescent="0.25">
      <c r="A242" s="5"/>
      <c r="B242" s="283"/>
      <c r="C242" s="5"/>
      <c r="D242" s="5"/>
      <c r="E242" s="5"/>
      <c r="F242" s="5"/>
      <c r="G242" s="282"/>
    </row>
    <row r="243" spans="1:7" x14ac:dyDescent="0.25">
      <c r="A243" s="5"/>
      <c r="B243" s="283"/>
      <c r="C243" s="5"/>
      <c r="D243" s="5"/>
      <c r="E243" s="5"/>
      <c r="F243" s="5"/>
      <c r="G243" s="282"/>
    </row>
    <row r="244" spans="1:7" x14ac:dyDescent="0.25">
      <c r="A244" s="5"/>
      <c r="B244" s="283"/>
      <c r="C244" s="5"/>
      <c r="D244" s="5"/>
      <c r="E244" s="5"/>
      <c r="F244" s="5"/>
      <c r="G244" s="282"/>
    </row>
    <row r="245" spans="1:7" x14ac:dyDescent="0.25">
      <c r="A245" s="5"/>
      <c r="B245" s="283"/>
      <c r="C245" s="5"/>
      <c r="D245" s="5"/>
      <c r="E245" s="5"/>
      <c r="F245" s="5"/>
      <c r="G245" s="282"/>
    </row>
    <row r="246" spans="1:7" x14ac:dyDescent="0.25">
      <c r="A246" s="5"/>
      <c r="B246" s="283"/>
      <c r="C246" s="5"/>
      <c r="D246" s="5"/>
      <c r="E246" s="5"/>
      <c r="F246" s="5"/>
      <c r="G246" s="282"/>
    </row>
    <row r="247" spans="1:7" x14ac:dyDescent="0.25">
      <c r="A247" s="5"/>
      <c r="B247" s="283"/>
      <c r="C247" s="5"/>
      <c r="D247" s="5"/>
      <c r="E247" s="5"/>
      <c r="F247" s="5"/>
      <c r="G247" s="282"/>
    </row>
    <row r="248" spans="1:7" x14ac:dyDescent="0.25">
      <c r="A248" s="5"/>
      <c r="B248" s="283"/>
      <c r="C248" s="5"/>
      <c r="D248" s="5"/>
      <c r="E248" s="5"/>
      <c r="F248" s="5"/>
      <c r="G248" s="282"/>
    </row>
    <row r="249" spans="1:7" x14ac:dyDescent="0.25">
      <c r="A249" s="5"/>
      <c r="B249" s="283"/>
      <c r="C249" s="5"/>
      <c r="D249" s="5"/>
      <c r="E249" s="5"/>
      <c r="F249" s="5"/>
      <c r="G249" s="282"/>
    </row>
    <row r="250" spans="1:7" x14ac:dyDescent="0.25">
      <c r="A250" s="5"/>
      <c r="B250" s="283"/>
      <c r="C250" s="5"/>
      <c r="D250" s="5"/>
      <c r="E250" s="5"/>
      <c r="F250" s="5"/>
      <c r="G250" s="282"/>
    </row>
    <row r="251" spans="1:7" x14ac:dyDescent="0.25">
      <c r="A251" s="5"/>
      <c r="B251" s="283"/>
      <c r="C251" s="5"/>
      <c r="D251" s="5"/>
      <c r="E251" s="5"/>
      <c r="F251" s="5"/>
      <c r="G251" s="282"/>
    </row>
    <row r="252" spans="1:7" x14ac:dyDescent="0.25">
      <c r="A252" s="5"/>
      <c r="B252" s="283"/>
      <c r="C252" s="5"/>
      <c r="D252" s="5"/>
      <c r="E252" s="5"/>
      <c r="F252" s="5"/>
      <c r="G252" s="282"/>
    </row>
    <row r="253" spans="1:7" x14ac:dyDescent="0.25">
      <c r="A253" s="5"/>
      <c r="B253" s="283"/>
      <c r="C253" s="5"/>
      <c r="D253" s="5"/>
      <c r="E253" s="5"/>
      <c r="F253" s="5"/>
      <c r="G253" s="282"/>
    </row>
    <row r="254" spans="1:7" x14ac:dyDescent="0.25">
      <c r="A254" s="5"/>
      <c r="B254" s="283"/>
      <c r="C254" s="5"/>
      <c r="D254" s="5"/>
      <c r="E254" s="5"/>
      <c r="F254" s="5"/>
      <c r="G254" s="282"/>
    </row>
    <row r="255" spans="1:7" x14ac:dyDescent="0.25">
      <c r="A255" s="5"/>
      <c r="B255" s="283"/>
      <c r="C255" s="5"/>
      <c r="D255" s="5"/>
      <c r="E255" s="5"/>
      <c r="F255" s="5"/>
      <c r="G255" s="282"/>
    </row>
    <row r="256" spans="1:7" x14ac:dyDescent="0.25">
      <c r="A256" s="5"/>
      <c r="B256" s="283"/>
      <c r="C256" s="5"/>
      <c r="D256" s="5"/>
      <c r="E256" s="5"/>
      <c r="F256" s="5"/>
      <c r="G256" s="282"/>
    </row>
    <row r="257" spans="1:7" x14ac:dyDescent="0.25">
      <c r="A257" s="5"/>
      <c r="B257" s="283"/>
      <c r="C257" s="5"/>
      <c r="D257" s="5"/>
      <c r="E257" s="5"/>
      <c r="F257" s="5"/>
      <c r="G257" s="282"/>
    </row>
    <row r="258" spans="1:7" x14ac:dyDescent="0.25">
      <c r="A258" s="5"/>
      <c r="B258" s="283"/>
      <c r="C258" s="5"/>
      <c r="D258" s="5"/>
      <c r="E258" s="5"/>
      <c r="F258" s="5"/>
      <c r="G258" s="282"/>
    </row>
    <row r="259" spans="1:7" x14ac:dyDescent="0.25">
      <c r="A259" s="5"/>
      <c r="B259" s="283"/>
      <c r="C259" s="5"/>
      <c r="D259" s="5"/>
      <c r="E259" s="5"/>
      <c r="F259" s="5"/>
      <c r="G259" s="282"/>
    </row>
    <row r="260" spans="1:7" x14ac:dyDescent="0.25">
      <c r="A260" s="5"/>
      <c r="B260" s="283"/>
      <c r="C260" s="5"/>
      <c r="D260" s="5"/>
      <c r="E260" s="5"/>
      <c r="F260" s="5"/>
      <c r="G260" s="282"/>
    </row>
    <row r="261" spans="1:7" x14ac:dyDescent="0.25">
      <c r="A261" s="5"/>
      <c r="B261" s="283"/>
      <c r="C261" s="5"/>
      <c r="D261" s="5"/>
      <c r="E261" s="5"/>
      <c r="F261" s="5"/>
      <c r="G261" s="282"/>
    </row>
    <row r="262" spans="1:7" x14ac:dyDescent="0.25">
      <c r="A262" s="5"/>
      <c r="B262" s="283"/>
      <c r="C262" s="5"/>
      <c r="D262" s="5"/>
      <c r="E262" s="5"/>
      <c r="F262" s="5"/>
      <c r="G262" s="282"/>
    </row>
    <row r="263" spans="1:7" x14ac:dyDescent="0.25">
      <c r="A263" s="5"/>
      <c r="B263" s="283"/>
      <c r="C263" s="5"/>
      <c r="D263" s="5"/>
      <c r="E263" s="5"/>
      <c r="F263" s="5"/>
      <c r="G263" s="282"/>
    </row>
    <row r="264" spans="1:7" x14ac:dyDescent="0.25">
      <c r="A264" s="5"/>
      <c r="B264" s="283"/>
      <c r="C264" s="5"/>
      <c r="D264" s="5"/>
      <c r="E264" s="5"/>
      <c r="F264" s="5"/>
      <c r="G264" s="282"/>
    </row>
    <row r="265" spans="1:7" x14ac:dyDescent="0.25">
      <c r="A265" s="5"/>
      <c r="B265" s="283"/>
      <c r="C265" s="5"/>
      <c r="D265" s="5"/>
      <c r="E265" s="5"/>
      <c r="F265" s="5"/>
      <c r="G265" s="282"/>
    </row>
    <row r="266" spans="1:7" x14ac:dyDescent="0.25">
      <c r="A266" s="5"/>
      <c r="B266" s="283"/>
      <c r="C266" s="5"/>
      <c r="D266" s="5"/>
      <c r="E266" s="5"/>
      <c r="F266" s="5"/>
      <c r="G266" s="282"/>
    </row>
    <row r="267" spans="1:7" x14ac:dyDescent="0.25">
      <c r="A267" s="5"/>
      <c r="B267" s="283"/>
      <c r="C267" s="5"/>
      <c r="D267" s="5"/>
      <c r="E267" s="5"/>
      <c r="F267" s="5"/>
      <c r="G267" s="282"/>
    </row>
    <row r="268" spans="1:7" x14ac:dyDescent="0.25">
      <c r="A268" s="5"/>
      <c r="B268" s="283"/>
      <c r="C268" s="5"/>
      <c r="D268" s="5"/>
      <c r="E268" s="5"/>
      <c r="F268" s="5"/>
      <c r="G268" s="282"/>
    </row>
    <row r="269" spans="1:7" x14ac:dyDescent="0.25">
      <c r="A269" s="5"/>
      <c r="B269" s="283"/>
      <c r="C269" s="5"/>
      <c r="D269" s="5"/>
      <c r="E269" s="5"/>
      <c r="F269" s="5"/>
      <c r="G269" s="282"/>
    </row>
    <row r="270" spans="1:7" x14ac:dyDescent="0.25">
      <c r="A270" s="5"/>
      <c r="B270" s="283"/>
      <c r="C270" s="5"/>
      <c r="D270" s="5"/>
      <c r="E270" s="5"/>
      <c r="F270" s="5"/>
      <c r="G270" s="282"/>
    </row>
    <row r="271" spans="1:7" x14ac:dyDescent="0.25">
      <c r="A271" s="5"/>
      <c r="B271" s="283"/>
      <c r="C271" s="5"/>
      <c r="D271" s="5"/>
      <c r="E271" s="5"/>
      <c r="F271" s="5"/>
      <c r="G271" s="282"/>
    </row>
    <row r="272" spans="1:7" x14ac:dyDescent="0.25">
      <c r="A272" s="5"/>
      <c r="B272" s="283"/>
      <c r="C272" s="5"/>
      <c r="D272" s="5"/>
      <c r="E272" s="5"/>
      <c r="F272" s="5"/>
      <c r="G272" s="282"/>
    </row>
    <row r="273" spans="1:7" x14ac:dyDescent="0.25">
      <c r="A273" s="5"/>
      <c r="B273" s="283"/>
      <c r="C273" s="5"/>
      <c r="D273" s="5"/>
      <c r="E273" s="5"/>
      <c r="F273" s="5"/>
      <c r="G273" s="282"/>
    </row>
    <row r="274" spans="1:7" x14ac:dyDescent="0.25">
      <c r="A274" s="5"/>
      <c r="B274" s="283"/>
      <c r="C274" s="5"/>
      <c r="D274" s="5"/>
      <c r="E274" s="5"/>
      <c r="F274" s="5"/>
      <c r="G274" s="282"/>
    </row>
    <row r="275" spans="1:7" x14ac:dyDescent="0.25">
      <c r="A275" s="5"/>
      <c r="B275" s="283"/>
      <c r="C275" s="5"/>
      <c r="D275" s="5"/>
      <c r="E275" s="5"/>
      <c r="F275" s="5"/>
      <c r="G275" s="282"/>
    </row>
    <row r="276" spans="1:7" x14ac:dyDescent="0.25">
      <c r="A276" s="5"/>
      <c r="B276" s="283"/>
      <c r="C276" s="5"/>
      <c r="D276" s="5"/>
      <c r="E276" s="5"/>
      <c r="F276" s="5"/>
      <c r="G276" s="282"/>
    </row>
    <row r="277" spans="1:7" x14ac:dyDescent="0.25">
      <c r="A277" s="5"/>
      <c r="B277" s="283"/>
      <c r="C277" s="5"/>
      <c r="D277" s="5"/>
      <c r="E277" s="5"/>
      <c r="F277" s="5"/>
      <c r="G277" s="282"/>
    </row>
    <row r="278" spans="1:7" x14ac:dyDescent="0.25">
      <c r="A278" s="5"/>
      <c r="B278" s="283"/>
      <c r="C278" s="5"/>
      <c r="D278" s="5"/>
      <c r="E278" s="5"/>
      <c r="F278" s="5"/>
      <c r="G278" s="282"/>
    </row>
    <row r="279" spans="1:7" x14ac:dyDescent="0.25">
      <c r="A279" s="5"/>
      <c r="B279" s="283"/>
      <c r="C279" s="5"/>
      <c r="D279" s="5"/>
      <c r="E279" s="5"/>
      <c r="F279" s="5"/>
      <c r="G279" s="282"/>
    </row>
    <row r="280" spans="1:7" x14ac:dyDescent="0.25">
      <c r="A280" s="5"/>
      <c r="B280" s="283"/>
      <c r="C280" s="5"/>
      <c r="D280" s="5"/>
      <c r="E280" s="5"/>
      <c r="F280" s="5"/>
      <c r="G280" s="282"/>
    </row>
    <row r="281" spans="1:7" x14ac:dyDescent="0.25">
      <c r="A281" s="5"/>
      <c r="B281" s="283"/>
      <c r="C281" s="5"/>
      <c r="D281" s="5"/>
      <c r="E281" s="5"/>
      <c r="F281" s="5"/>
      <c r="G281" s="282"/>
    </row>
    <row r="282" spans="1:7" x14ac:dyDescent="0.25">
      <c r="A282" s="5"/>
      <c r="B282" s="283"/>
      <c r="C282" s="5"/>
      <c r="D282" s="5"/>
      <c r="E282" s="5"/>
      <c r="F282" s="5"/>
      <c r="G282" s="282"/>
    </row>
    <row r="283" spans="1:7" x14ac:dyDescent="0.25">
      <c r="A283" s="5"/>
      <c r="B283" s="283"/>
      <c r="C283" s="5"/>
      <c r="D283" s="5"/>
      <c r="E283" s="5"/>
      <c r="F283" s="5"/>
      <c r="G283" s="282"/>
    </row>
    <row r="284" spans="1:7" x14ac:dyDescent="0.25">
      <c r="A284" s="5"/>
      <c r="B284" s="283"/>
      <c r="C284" s="5"/>
      <c r="D284" s="5"/>
      <c r="E284" s="5"/>
      <c r="F284" s="5"/>
      <c r="G284" s="282"/>
    </row>
    <row r="285" spans="1:7" x14ac:dyDescent="0.25">
      <c r="A285" s="5"/>
      <c r="B285" s="283"/>
      <c r="C285" s="5"/>
      <c r="D285" s="5"/>
      <c r="E285" s="5"/>
      <c r="F285" s="5"/>
      <c r="G285" s="282"/>
    </row>
    <row r="286" spans="1:7" x14ac:dyDescent="0.25">
      <c r="A286" s="5"/>
      <c r="B286" s="283"/>
      <c r="C286" s="5"/>
      <c r="D286" s="5"/>
      <c r="E286" s="5"/>
      <c r="F286" s="5"/>
      <c r="G286" s="282"/>
    </row>
    <row r="287" spans="1:7" x14ac:dyDescent="0.25">
      <c r="A287" s="5"/>
      <c r="B287" s="283"/>
      <c r="C287" s="5"/>
      <c r="D287" s="5"/>
      <c r="E287" s="5"/>
      <c r="F287" s="5"/>
      <c r="G287" s="282"/>
    </row>
    <row r="288" spans="1:7" x14ac:dyDescent="0.25">
      <c r="A288" s="5"/>
      <c r="B288" s="283"/>
      <c r="C288" s="5"/>
      <c r="D288" s="5"/>
      <c r="E288" s="5"/>
      <c r="F288" s="5"/>
      <c r="G288" s="282"/>
    </row>
    <row r="289" spans="1:7" x14ac:dyDescent="0.25">
      <c r="A289" s="5"/>
      <c r="B289" s="283"/>
      <c r="C289" s="5"/>
      <c r="D289" s="5"/>
      <c r="E289" s="5"/>
      <c r="F289" s="5"/>
      <c r="G289" s="282"/>
    </row>
    <row r="290" spans="1:7" x14ac:dyDescent="0.25">
      <c r="A290" s="5"/>
      <c r="B290" s="283"/>
      <c r="C290" s="5"/>
      <c r="D290" s="5"/>
      <c r="E290" s="5"/>
      <c r="F290" s="5"/>
      <c r="G290" s="282"/>
    </row>
    <row r="291" spans="1:7" x14ac:dyDescent="0.25">
      <c r="A291" s="5"/>
      <c r="B291" s="283"/>
      <c r="C291" s="5"/>
      <c r="D291" s="5"/>
      <c r="E291" s="5"/>
      <c r="F291" s="5"/>
      <c r="G291" s="282"/>
    </row>
    <row r="292" spans="1:7" x14ac:dyDescent="0.25">
      <c r="A292" s="5"/>
      <c r="B292" s="283"/>
      <c r="C292" s="5"/>
      <c r="D292" s="5"/>
      <c r="E292" s="5"/>
      <c r="F292" s="5"/>
      <c r="G292" s="282"/>
    </row>
    <row r="293" spans="1:7" x14ac:dyDescent="0.25">
      <c r="A293" s="5"/>
      <c r="B293" s="283"/>
      <c r="C293" s="5"/>
      <c r="D293" s="5"/>
      <c r="E293" s="5"/>
      <c r="F293" s="5"/>
      <c r="G293" s="282"/>
    </row>
    <row r="294" spans="1:7" x14ac:dyDescent="0.25">
      <c r="A294" s="5"/>
      <c r="B294" s="283"/>
      <c r="C294" s="5"/>
      <c r="D294" s="5"/>
      <c r="E294" s="5"/>
      <c r="F294" s="5"/>
      <c r="G294" s="282"/>
    </row>
    <row r="295" spans="1:7" x14ac:dyDescent="0.25">
      <c r="A295" s="5"/>
      <c r="B295" s="283"/>
      <c r="C295" s="5"/>
      <c r="D295" s="5"/>
      <c r="E295" s="5"/>
      <c r="F295" s="5"/>
      <c r="G295" s="282"/>
    </row>
    <row r="296" spans="1:7" x14ac:dyDescent="0.25">
      <c r="A296" s="5"/>
      <c r="B296" s="283"/>
      <c r="C296" s="5"/>
      <c r="D296" s="5"/>
      <c r="E296" s="5"/>
      <c r="F296" s="5"/>
      <c r="G296" s="282"/>
    </row>
    <row r="297" spans="1:7" x14ac:dyDescent="0.25">
      <c r="A297" s="5"/>
      <c r="B297" s="283"/>
      <c r="C297" s="5"/>
      <c r="D297" s="5"/>
      <c r="E297" s="5"/>
      <c r="F297" s="5"/>
      <c r="G297" s="282"/>
    </row>
    <row r="298" spans="1:7" x14ac:dyDescent="0.25">
      <c r="A298" s="5"/>
      <c r="B298" s="283"/>
      <c r="C298" s="5"/>
      <c r="D298" s="5"/>
      <c r="E298" s="5"/>
      <c r="F298" s="5"/>
      <c r="G298" s="282"/>
    </row>
    <row r="299" spans="1:7" x14ac:dyDescent="0.25">
      <c r="A299" s="5"/>
      <c r="B299" s="283"/>
      <c r="C299" s="5"/>
      <c r="D299" s="5"/>
      <c r="E299" s="5"/>
      <c r="F299" s="5"/>
      <c r="G299" s="282"/>
    </row>
    <row r="300" spans="1:7" x14ac:dyDescent="0.25">
      <c r="A300" s="5"/>
      <c r="B300" s="283"/>
      <c r="C300" s="5"/>
      <c r="D300" s="5"/>
      <c r="E300" s="5"/>
      <c r="F300" s="5"/>
      <c r="G300" s="282"/>
    </row>
    <row r="301" spans="1:7" x14ac:dyDescent="0.25">
      <c r="A301" s="5"/>
      <c r="B301" s="283"/>
      <c r="C301" s="5"/>
      <c r="D301" s="5"/>
      <c r="E301" s="5"/>
      <c r="F301" s="5"/>
      <c r="G301" s="282"/>
    </row>
    <row r="302" spans="1:7" x14ac:dyDescent="0.25">
      <c r="A302" s="5"/>
      <c r="B302" s="283"/>
      <c r="C302" s="5"/>
      <c r="D302" s="5"/>
      <c r="E302" s="5"/>
      <c r="F302" s="5"/>
      <c r="G302" s="282"/>
    </row>
    <row r="303" spans="1:7" x14ac:dyDescent="0.25">
      <c r="A303" s="5"/>
      <c r="B303" s="283"/>
      <c r="C303" s="5"/>
      <c r="D303" s="5"/>
      <c r="E303" s="5"/>
      <c r="F303" s="5"/>
      <c r="G303" s="282"/>
    </row>
    <row r="304" spans="1:7" x14ac:dyDescent="0.25">
      <c r="A304" s="5"/>
      <c r="B304" s="283"/>
      <c r="C304" s="5"/>
      <c r="D304" s="5"/>
      <c r="E304" s="5"/>
      <c r="F304" s="5"/>
      <c r="G304" s="282"/>
    </row>
    <row r="305" spans="1:7" x14ac:dyDescent="0.25">
      <c r="A305" s="5"/>
      <c r="B305" s="283"/>
      <c r="C305" s="5"/>
      <c r="D305" s="5"/>
      <c r="E305" s="5"/>
      <c r="F305" s="5"/>
      <c r="G305" s="282"/>
    </row>
    <row r="306" spans="1:7" x14ac:dyDescent="0.25">
      <c r="A306" s="5"/>
      <c r="B306" s="283"/>
      <c r="C306" s="5"/>
      <c r="D306" s="5"/>
      <c r="E306" s="5"/>
      <c r="F306" s="5"/>
      <c r="G306" s="282"/>
    </row>
    <row r="307" spans="1:7" x14ac:dyDescent="0.25">
      <c r="A307" s="5"/>
      <c r="B307" s="283"/>
      <c r="C307" s="5"/>
      <c r="D307" s="5"/>
      <c r="E307" s="5"/>
      <c r="F307" s="5"/>
      <c r="G307" s="282"/>
    </row>
    <row r="308" spans="1:7" x14ac:dyDescent="0.25">
      <c r="A308" s="5"/>
      <c r="B308" s="283"/>
      <c r="C308" s="5"/>
      <c r="D308" s="5"/>
      <c r="E308" s="5"/>
      <c r="F308" s="5"/>
      <c r="G308" s="282"/>
    </row>
    <row r="309" spans="1:7" x14ac:dyDescent="0.25">
      <c r="A309" s="5"/>
      <c r="B309" s="283"/>
      <c r="C309" s="5"/>
      <c r="D309" s="5"/>
      <c r="E309" s="5"/>
      <c r="F309" s="5"/>
      <c r="G309" s="282"/>
    </row>
    <row r="310" spans="1:7" x14ac:dyDescent="0.25">
      <c r="A310" s="5"/>
      <c r="B310" s="283"/>
      <c r="C310" s="5"/>
      <c r="D310" s="5"/>
      <c r="E310" s="5"/>
      <c r="F310" s="5"/>
      <c r="G310" s="282"/>
    </row>
    <row r="311" spans="1:7" x14ac:dyDescent="0.25">
      <c r="A311" s="5"/>
      <c r="B311" s="283"/>
      <c r="C311" s="5"/>
      <c r="D311" s="5"/>
      <c r="E311" s="5"/>
      <c r="F311" s="5"/>
      <c r="G311" s="282"/>
    </row>
    <row r="312" spans="1:7" x14ac:dyDescent="0.25">
      <c r="A312" s="5"/>
      <c r="B312" s="283"/>
      <c r="C312" s="5"/>
      <c r="D312" s="5"/>
      <c r="E312" s="5"/>
      <c r="F312" s="5"/>
      <c r="G312" s="282"/>
    </row>
    <row r="313" spans="1:7" x14ac:dyDescent="0.25">
      <c r="A313" s="5"/>
      <c r="B313" s="283"/>
      <c r="C313" s="5"/>
      <c r="D313" s="5"/>
      <c r="E313" s="5"/>
      <c r="F313" s="5"/>
      <c r="G313" s="282"/>
    </row>
    <row r="314" spans="1:7" x14ac:dyDescent="0.25">
      <c r="A314" s="5"/>
      <c r="B314" s="283"/>
      <c r="C314" s="5"/>
      <c r="D314" s="5"/>
      <c r="E314" s="5"/>
      <c r="F314" s="5"/>
      <c r="G314" s="282"/>
    </row>
    <row r="315" spans="1:7" x14ac:dyDescent="0.25">
      <c r="A315" s="5"/>
      <c r="B315" s="283"/>
      <c r="C315" s="5"/>
      <c r="D315" s="5"/>
      <c r="E315" s="5"/>
      <c r="F315" s="5"/>
      <c r="G315" s="282"/>
    </row>
    <row r="316" spans="1:7" x14ac:dyDescent="0.25">
      <c r="A316" s="5"/>
      <c r="B316" s="283"/>
      <c r="C316" s="5"/>
      <c r="D316" s="5"/>
      <c r="E316" s="5"/>
      <c r="F316" s="5"/>
      <c r="G316" s="282"/>
    </row>
    <row r="317" spans="1:7" x14ac:dyDescent="0.25">
      <c r="A317" s="5"/>
      <c r="B317" s="283"/>
      <c r="C317" s="5"/>
      <c r="D317" s="5"/>
      <c r="E317" s="5"/>
      <c r="F317" s="5"/>
      <c r="G317" s="282"/>
    </row>
    <row r="318" spans="1:7" x14ac:dyDescent="0.25">
      <c r="A318" s="5"/>
      <c r="B318" s="283"/>
      <c r="C318" s="5"/>
      <c r="D318" s="5"/>
      <c r="E318" s="5"/>
      <c r="F318" s="5"/>
      <c r="G318" s="282"/>
    </row>
    <row r="319" spans="1:7" x14ac:dyDescent="0.25">
      <c r="A319" s="5"/>
      <c r="B319" s="283"/>
      <c r="C319" s="5"/>
      <c r="D319" s="5"/>
      <c r="E319" s="5"/>
      <c r="F319" s="5"/>
      <c r="G319" s="282"/>
    </row>
    <row r="320" spans="1:7" x14ac:dyDescent="0.25">
      <c r="A320" s="5"/>
      <c r="B320" s="283"/>
      <c r="C320" s="5"/>
      <c r="D320" s="5"/>
      <c r="E320" s="5"/>
      <c r="F320" s="5"/>
      <c r="G320" s="282"/>
    </row>
    <row r="321" spans="1:7" x14ac:dyDescent="0.25">
      <c r="A321" s="5"/>
      <c r="B321" s="283"/>
      <c r="C321" s="5"/>
      <c r="D321" s="5"/>
      <c r="E321" s="5"/>
      <c r="F321" s="5"/>
      <c r="G321" s="282"/>
    </row>
    <row r="322" spans="1:7" x14ac:dyDescent="0.25">
      <c r="A322" s="5"/>
      <c r="B322" s="283"/>
      <c r="C322" s="5"/>
      <c r="D322" s="5"/>
      <c r="E322" s="5"/>
      <c r="F322" s="5"/>
      <c r="G322" s="282"/>
    </row>
    <row r="323" spans="1:7" x14ac:dyDescent="0.25">
      <c r="A323" s="5"/>
      <c r="B323" s="283"/>
      <c r="C323" s="5"/>
      <c r="D323" s="5"/>
      <c r="E323" s="5"/>
      <c r="F323" s="5"/>
      <c r="G323" s="282"/>
    </row>
    <row r="324" spans="1:7" x14ac:dyDescent="0.25">
      <c r="A324" s="5"/>
      <c r="B324" s="283"/>
      <c r="C324" s="5"/>
      <c r="D324" s="5"/>
      <c r="E324" s="5"/>
      <c r="F324" s="5"/>
      <c r="G324" s="282"/>
    </row>
    <row r="325" spans="1:7" x14ac:dyDescent="0.25">
      <c r="A325" s="5"/>
      <c r="B325" s="283"/>
      <c r="C325" s="5"/>
      <c r="D325" s="5"/>
      <c r="E325" s="5"/>
      <c r="F325" s="5"/>
      <c r="G325" s="282"/>
    </row>
    <row r="326" spans="1:7" x14ac:dyDescent="0.25">
      <c r="A326" s="5"/>
      <c r="B326" s="283"/>
      <c r="C326" s="5"/>
      <c r="D326" s="5"/>
      <c r="E326" s="5"/>
      <c r="F326" s="5"/>
      <c r="G326" s="282"/>
    </row>
    <row r="327" spans="1:7" x14ac:dyDescent="0.25">
      <c r="A327" s="5"/>
      <c r="B327" s="283"/>
      <c r="C327" s="5"/>
      <c r="D327" s="5"/>
      <c r="E327" s="5"/>
      <c r="F327" s="5"/>
      <c r="G327" s="282"/>
    </row>
    <row r="328" spans="1:7" x14ac:dyDescent="0.25">
      <c r="A328" s="5"/>
      <c r="B328" s="283"/>
      <c r="C328" s="5"/>
      <c r="D328" s="5"/>
      <c r="E328" s="5"/>
      <c r="F328" s="5"/>
      <c r="G328" s="282"/>
    </row>
    <row r="329" spans="1:7" x14ac:dyDescent="0.25">
      <c r="A329" s="5"/>
      <c r="B329" s="283"/>
      <c r="C329" s="5"/>
      <c r="D329" s="5"/>
      <c r="E329" s="5"/>
      <c r="F329" s="5"/>
      <c r="G329" s="282"/>
    </row>
    <row r="330" spans="1:7" x14ac:dyDescent="0.25">
      <c r="A330" s="5"/>
      <c r="B330" s="283"/>
      <c r="C330" s="5"/>
      <c r="D330" s="5"/>
      <c r="E330" s="5"/>
      <c r="F330" s="5"/>
      <c r="G330" s="282"/>
    </row>
    <row r="331" spans="1:7" x14ac:dyDescent="0.25">
      <c r="A331" s="5"/>
      <c r="B331" s="283"/>
      <c r="C331" s="5"/>
      <c r="D331" s="5"/>
      <c r="E331" s="5"/>
      <c r="F331" s="5"/>
      <c r="G331" s="282"/>
    </row>
    <row r="332" spans="1:7" x14ac:dyDescent="0.25">
      <c r="A332" s="5"/>
      <c r="B332" s="283"/>
      <c r="C332" s="5"/>
      <c r="D332" s="5"/>
      <c r="E332" s="5"/>
      <c r="F332" s="5"/>
      <c r="G332" s="282"/>
    </row>
    <row r="333" spans="1:7" x14ac:dyDescent="0.25">
      <c r="A333" s="5"/>
      <c r="B333" s="283"/>
      <c r="C333" s="5"/>
      <c r="D333" s="5"/>
      <c r="E333" s="5"/>
      <c r="F333" s="5"/>
      <c r="G333" s="282"/>
    </row>
    <row r="334" spans="1:7" x14ac:dyDescent="0.25">
      <c r="A334" s="5"/>
      <c r="B334" s="283"/>
      <c r="C334" s="5"/>
      <c r="D334" s="5"/>
      <c r="E334" s="5"/>
      <c r="F334" s="5"/>
      <c r="G334" s="282"/>
    </row>
    <row r="335" spans="1:7" x14ac:dyDescent="0.25">
      <c r="A335" s="5"/>
      <c r="B335" s="283"/>
      <c r="C335" s="5"/>
      <c r="D335" s="5"/>
      <c r="E335" s="5"/>
      <c r="F335" s="5"/>
      <c r="G335" s="282"/>
    </row>
    <row r="336" spans="1:7" x14ac:dyDescent="0.25">
      <c r="A336" s="5"/>
      <c r="B336" s="283"/>
      <c r="C336" s="5"/>
      <c r="D336" s="5"/>
      <c r="E336" s="5"/>
      <c r="F336" s="5"/>
      <c r="G336" s="282"/>
    </row>
    <row r="337" spans="1:7" x14ac:dyDescent="0.25">
      <c r="A337" s="5"/>
      <c r="B337" s="283"/>
      <c r="C337" s="5"/>
      <c r="D337" s="5"/>
      <c r="E337" s="5"/>
      <c r="F337" s="5"/>
      <c r="G337" s="282"/>
    </row>
    <row r="338" spans="1:7" x14ac:dyDescent="0.25">
      <c r="A338" s="5"/>
      <c r="B338" s="283"/>
      <c r="C338" s="5"/>
      <c r="D338" s="5"/>
      <c r="E338" s="5"/>
      <c r="F338" s="5"/>
      <c r="G338" s="282"/>
    </row>
    <row r="339" spans="1:7" x14ac:dyDescent="0.25">
      <c r="A339" s="5"/>
      <c r="B339" s="283"/>
      <c r="C339" s="5"/>
      <c r="D339" s="5"/>
      <c r="E339" s="5"/>
      <c r="F339" s="5"/>
      <c r="G339" s="282"/>
    </row>
    <row r="340" spans="1:7" x14ac:dyDescent="0.25">
      <c r="A340" s="5"/>
      <c r="B340" s="283"/>
      <c r="C340" s="5"/>
      <c r="D340" s="5"/>
      <c r="E340" s="5"/>
      <c r="F340" s="5"/>
      <c r="G340" s="282"/>
    </row>
    <row r="341" spans="1:7" x14ac:dyDescent="0.25">
      <c r="A341" s="5"/>
      <c r="B341" s="283"/>
      <c r="C341" s="5"/>
      <c r="D341" s="5"/>
      <c r="E341" s="5"/>
      <c r="F341" s="5"/>
      <c r="G341" s="282"/>
    </row>
    <row r="342" spans="1:7" x14ac:dyDescent="0.25">
      <c r="A342" s="5"/>
      <c r="B342" s="283"/>
      <c r="C342" s="5"/>
      <c r="D342" s="5"/>
      <c r="E342" s="5"/>
      <c r="F342" s="5"/>
      <c r="G342" s="282"/>
    </row>
    <row r="343" spans="1:7" x14ac:dyDescent="0.25">
      <c r="A343" s="5"/>
      <c r="B343" s="283"/>
      <c r="C343" s="5"/>
      <c r="D343" s="5"/>
      <c r="E343" s="5"/>
      <c r="F343" s="5"/>
      <c r="G343" s="282"/>
    </row>
    <row r="344" spans="1:7" x14ac:dyDescent="0.25">
      <c r="A344" s="5"/>
      <c r="B344" s="283"/>
      <c r="C344" s="5"/>
      <c r="D344" s="5"/>
      <c r="E344" s="5"/>
      <c r="F344" s="5"/>
      <c r="G344" s="282"/>
    </row>
    <row r="345" spans="1:7" x14ac:dyDescent="0.25">
      <c r="A345" s="5"/>
      <c r="B345" s="283"/>
      <c r="C345" s="5"/>
      <c r="D345" s="5"/>
      <c r="E345" s="5"/>
      <c r="F345" s="5"/>
      <c r="G345" s="282"/>
    </row>
    <row r="346" spans="1:7" x14ac:dyDescent="0.25">
      <c r="A346" s="5"/>
      <c r="B346" s="283"/>
      <c r="C346" s="5"/>
      <c r="D346" s="5"/>
      <c r="E346" s="5"/>
      <c r="F346" s="5"/>
      <c r="G346" s="282"/>
    </row>
    <row r="347" spans="1:7" x14ac:dyDescent="0.25">
      <c r="A347" s="5"/>
      <c r="B347" s="283"/>
      <c r="C347" s="5"/>
      <c r="D347" s="5"/>
      <c r="E347" s="5"/>
      <c r="F347" s="5"/>
      <c r="G347" s="282"/>
    </row>
    <row r="348" spans="1:7" x14ac:dyDescent="0.25">
      <c r="A348" s="5"/>
      <c r="B348" s="283"/>
      <c r="C348" s="5"/>
      <c r="D348" s="5"/>
      <c r="E348" s="5"/>
      <c r="F348" s="5"/>
      <c r="G348" s="282"/>
    </row>
    <row r="349" spans="1:7" x14ac:dyDescent="0.25">
      <c r="A349" s="5"/>
      <c r="B349" s="283"/>
      <c r="C349" s="5"/>
      <c r="D349" s="5"/>
      <c r="E349" s="5"/>
      <c r="F349" s="5"/>
      <c r="G349" s="282"/>
    </row>
    <row r="350" spans="1:7" x14ac:dyDescent="0.25">
      <c r="A350" s="5"/>
      <c r="B350" s="283"/>
      <c r="C350" s="5"/>
      <c r="D350" s="5"/>
      <c r="E350" s="5"/>
      <c r="F350" s="5"/>
      <c r="G350" s="282"/>
    </row>
    <row r="351" spans="1:7" x14ac:dyDescent="0.25">
      <c r="A351" s="5"/>
      <c r="B351" s="283"/>
      <c r="C351" s="5"/>
      <c r="D351" s="5"/>
      <c r="E351" s="5"/>
      <c r="F351" s="5"/>
      <c r="G351" s="282"/>
    </row>
    <row r="352" spans="1:7" x14ac:dyDescent="0.25">
      <c r="A352" s="5"/>
      <c r="B352" s="283"/>
      <c r="C352" s="5"/>
      <c r="D352" s="5"/>
      <c r="E352" s="5"/>
      <c r="F352" s="5"/>
      <c r="G352" s="282"/>
    </row>
    <row r="353" spans="1:7" x14ac:dyDescent="0.25">
      <c r="A353" s="5"/>
      <c r="B353" s="283"/>
      <c r="C353" s="5"/>
      <c r="D353" s="5"/>
      <c r="E353" s="5"/>
      <c r="F353" s="5"/>
      <c r="G353" s="282"/>
    </row>
    <row r="354" spans="1:7" x14ac:dyDescent="0.25">
      <c r="A354" s="5"/>
      <c r="B354" s="283"/>
      <c r="C354" s="5"/>
      <c r="D354" s="5"/>
      <c r="E354" s="5"/>
      <c r="F354" s="5"/>
      <c r="G354" s="282"/>
    </row>
    <row r="355" spans="1:7" x14ac:dyDescent="0.25">
      <c r="A355" s="5"/>
      <c r="B355" s="283"/>
      <c r="C355" s="5"/>
      <c r="D355" s="5"/>
      <c r="E355" s="5"/>
      <c r="F355" s="5"/>
      <c r="G355" s="282"/>
    </row>
    <row r="356" spans="1:7" x14ac:dyDescent="0.25">
      <c r="A356" s="5"/>
      <c r="B356" s="283"/>
      <c r="C356" s="5"/>
      <c r="D356" s="5"/>
      <c r="E356" s="5"/>
      <c r="F356" s="5"/>
      <c r="G356" s="282"/>
    </row>
    <row r="357" spans="1:7" x14ac:dyDescent="0.25">
      <c r="A357" s="5"/>
      <c r="B357" s="283"/>
      <c r="C357" s="5"/>
      <c r="D357" s="5"/>
      <c r="E357" s="5"/>
      <c r="F357" s="5"/>
      <c r="G357" s="282"/>
    </row>
    <row r="358" spans="1:7" x14ac:dyDescent="0.25">
      <c r="A358" s="5"/>
      <c r="B358" s="283"/>
      <c r="C358" s="5"/>
      <c r="D358" s="5"/>
      <c r="E358" s="5"/>
      <c r="F358" s="5"/>
      <c r="G358" s="282"/>
    </row>
    <row r="359" spans="1:7" x14ac:dyDescent="0.25">
      <c r="A359" s="5"/>
      <c r="B359" s="283"/>
      <c r="C359" s="5"/>
      <c r="D359" s="5"/>
      <c r="E359" s="5"/>
      <c r="F359" s="5"/>
      <c r="G359" s="282"/>
    </row>
    <row r="360" spans="1:7" x14ac:dyDescent="0.25">
      <c r="A360" s="5"/>
      <c r="B360" s="283"/>
      <c r="C360" s="5"/>
      <c r="D360" s="5"/>
      <c r="E360" s="5"/>
      <c r="F360" s="5"/>
      <c r="G360" s="282"/>
    </row>
    <row r="361" spans="1:7" x14ac:dyDescent="0.25">
      <c r="A361" s="5"/>
      <c r="B361" s="283"/>
      <c r="C361" s="5"/>
      <c r="D361" s="5"/>
      <c r="E361" s="5"/>
      <c r="F361" s="5"/>
      <c r="G361" s="282"/>
    </row>
    <row r="362" spans="1:7" x14ac:dyDescent="0.25">
      <c r="A362" s="5"/>
      <c r="B362" s="283"/>
      <c r="C362" s="5"/>
      <c r="D362" s="5"/>
      <c r="E362" s="5"/>
      <c r="F362" s="5"/>
      <c r="G362" s="282"/>
    </row>
    <row r="363" spans="1:7" x14ac:dyDescent="0.25">
      <c r="A363" s="5"/>
      <c r="B363" s="283"/>
      <c r="C363" s="5"/>
      <c r="D363" s="5"/>
      <c r="E363" s="5"/>
      <c r="F363" s="5"/>
      <c r="G363" s="282"/>
    </row>
    <row r="364" spans="1:7" x14ac:dyDescent="0.25">
      <c r="A364" s="5"/>
      <c r="B364" s="283"/>
      <c r="C364" s="5"/>
      <c r="D364" s="5"/>
      <c r="E364" s="5"/>
      <c r="F364" s="5"/>
      <c r="G364" s="282"/>
    </row>
    <row r="365" spans="1:7" x14ac:dyDescent="0.25">
      <c r="A365" s="5"/>
      <c r="B365" s="283"/>
      <c r="C365" s="5"/>
      <c r="D365" s="5"/>
      <c r="E365" s="5"/>
      <c r="F365" s="5"/>
      <c r="G365" s="282"/>
    </row>
    <row r="366" spans="1:7" x14ac:dyDescent="0.25">
      <c r="A366" s="5"/>
      <c r="B366" s="283"/>
      <c r="C366" s="5"/>
      <c r="D366" s="5"/>
      <c r="E366" s="5"/>
      <c r="F366" s="5"/>
      <c r="G366" s="282"/>
    </row>
    <row r="367" spans="1:7" x14ac:dyDescent="0.25">
      <c r="A367" s="5"/>
      <c r="B367" s="283"/>
      <c r="C367" s="5"/>
      <c r="D367" s="5"/>
      <c r="E367" s="5"/>
      <c r="F367" s="5"/>
      <c r="G367" s="282"/>
    </row>
    <row r="368" spans="1:7" x14ac:dyDescent="0.25">
      <c r="A368" s="5"/>
      <c r="B368" s="283"/>
      <c r="C368" s="5"/>
      <c r="D368" s="5"/>
      <c r="E368" s="5"/>
      <c r="F368" s="5"/>
      <c r="G368" s="282"/>
    </row>
    <row r="369" spans="1:7" x14ac:dyDescent="0.25">
      <c r="A369" s="5"/>
      <c r="B369" s="283"/>
      <c r="C369" s="5"/>
      <c r="D369" s="5"/>
      <c r="E369" s="5"/>
      <c r="F369" s="5"/>
      <c r="G369" s="282"/>
    </row>
    <row r="370" spans="1:7" x14ac:dyDescent="0.25">
      <c r="A370" s="5"/>
      <c r="B370" s="283"/>
      <c r="C370" s="5"/>
      <c r="D370" s="5"/>
      <c r="E370" s="5"/>
      <c r="F370" s="5"/>
      <c r="G370" s="282"/>
    </row>
    <row r="371" spans="1:7" x14ac:dyDescent="0.25">
      <c r="A371" s="5"/>
      <c r="B371" s="283"/>
      <c r="C371" s="5"/>
      <c r="D371" s="5"/>
      <c r="E371" s="5"/>
      <c r="F371" s="5"/>
      <c r="G371" s="282"/>
    </row>
    <row r="372" spans="1:7" x14ac:dyDescent="0.25">
      <c r="A372" s="5"/>
      <c r="B372" s="283"/>
      <c r="C372" s="5"/>
      <c r="D372" s="5"/>
      <c r="E372" s="5"/>
      <c r="F372" s="5"/>
      <c r="G372" s="282"/>
    </row>
    <row r="373" spans="1:7" x14ac:dyDescent="0.25">
      <c r="A373" s="5"/>
      <c r="B373" s="283"/>
      <c r="C373" s="5"/>
      <c r="D373" s="5"/>
      <c r="E373" s="5"/>
      <c r="F373" s="5"/>
      <c r="G373" s="282"/>
    </row>
    <row r="374" spans="1:7" x14ac:dyDescent="0.25">
      <c r="A374" s="5"/>
      <c r="B374" s="283"/>
      <c r="C374" s="5"/>
      <c r="D374" s="5"/>
      <c r="E374" s="5"/>
      <c r="F374" s="5"/>
      <c r="G374" s="282"/>
    </row>
    <row r="375" spans="1:7" x14ac:dyDescent="0.25">
      <c r="A375" s="5"/>
      <c r="B375" s="283"/>
      <c r="C375" s="5"/>
      <c r="D375" s="5"/>
      <c r="E375" s="5"/>
      <c r="F375" s="5"/>
      <c r="G375" s="282"/>
    </row>
    <row r="376" spans="1:7" x14ac:dyDescent="0.25">
      <c r="A376" s="5"/>
      <c r="B376" s="283"/>
      <c r="C376" s="5"/>
      <c r="D376" s="5"/>
      <c r="E376" s="5"/>
      <c r="F376" s="5"/>
      <c r="G376" s="282"/>
    </row>
    <row r="377" spans="1:7" x14ac:dyDescent="0.25">
      <c r="A377" s="5"/>
      <c r="B377" s="283"/>
      <c r="C377" s="5"/>
      <c r="D377" s="5"/>
      <c r="E377" s="5"/>
      <c r="F377" s="5"/>
      <c r="G377" s="282"/>
    </row>
    <row r="378" spans="1:7" x14ac:dyDescent="0.25">
      <c r="A378" s="5"/>
      <c r="B378" s="283"/>
      <c r="C378" s="5"/>
      <c r="D378" s="5"/>
      <c r="E378" s="5"/>
      <c r="F378" s="5"/>
      <c r="G378" s="282"/>
    </row>
    <row r="379" spans="1:7" x14ac:dyDescent="0.25">
      <c r="A379" s="5"/>
      <c r="B379" s="283"/>
      <c r="C379" s="5"/>
      <c r="D379" s="5"/>
      <c r="E379" s="5"/>
      <c r="F379" s="5"/>
      <c r="G379" s="282"/>
    </row>
    <row r="380" spans="1:7" x14ac:dyDescent="0.25">
      <c r="A380" s="5"/>
      <c r="B380" s="283"/>
      <c r="C380" s="5"/>
      <c r="D380" s="5"/>
      <c r="E380" s="5"/>
      <c r="F380" s="5"/>
      <c r="G380" s="282"/>
    </row>
    <row r="381" spans="1:7" x14ac:dyDescent="0.25">
      <c r="A381" s="5"/>
      <c r="B381" s="283"/>
      <c r="C381" s="5"/>
      <c r="D381" s="5"/>
      <c r="E381" s="5"/>
      <c r="F381" s="5"/>
      <c r="G381" s="282"/>
    </row>
    <row r="382" spans="1:7" x14ac:dyDescent="0.25">
      <c r="A382" s="5"/>
      <c r="B382" s="283"/>
      <c r="C382" s="5"/>
      <c r="D382" s="5"/>
      <c r="E382" s="5"/>
      <c r="F382" s="5"/>
      <c r="G382" s="282"/>
    </row>
    <row r="383" spans="1:7" x14ac:dyDescent="0.25">
      <c r="A383" s="5"/>
      <c r="B383" s="283"/>
      <c r="C383" s="5"/>
      <c r="D383" s="5"/>
      <c r="E383" s="5"/>
      <c r="F383" s="5"/>
      <c r="G383" s="282"/>
    </row>
    <row r="384" spans="1:7" x14ac:dyDescent="0.25">
      <c r="A384" s="5"/>
      <c r="B384" s="283"/>
      <c r="C384" s="5"/>
      <c r="D384" s="5"/>
      <c r="E384" s="5"/>
      <c r="F384" s="5"/>
      <c r="G384" s="282"/>
    </row>
    <row r="385" spans="1:7" x14ac:dyDescent="0.25">
      <c r="A385" s="5"/>
      <c r="B385" s="283"/>
      <c r="C385" s="5"/>
      <c r="D385" s="5"/>
      <c r="E385" s="5"/>
      <c r="F385" s="5"/>
      <c r="G385" s="282"/>
    </row>
    <row r="386" spans="1:7" x14ac:dyDescent="0.25">
      <c r="A386" s="5"/>
      <c r="B386" s="283"/>
      <c r="C386" s="5"/>
      <c r="D386" s="5"/>
      <c r="E386" s="5"/>
      <c r="F386" s="5"/>
      <c r="G386" s="282"/>
    </row>
    <row r="387" spans="1:7" x14ac:dyDescent="0.25">
      <c r="A387" s="5"/>
      <c r="B387" s="283"/>
      <c r="C387" s="5"/>
      <c r="D387" s="5"/>
      <c r="E387" s="5"/>
      <c r="F387" s="5"/>
      <c r="G387" s="282"/>
    </row>
    <row r="388" spans="1:7" x14ac:dyDescent="0.25">
      <c r="A388" s="5"/>
      <c r="B388" s="283"/>
      <c r="C388" s="5"/>
      <c r="D388" s="5"/>
      <c r="E388" s="5"/>
      <c r="F388" s="5"/>
      <c r="G388" s="282"/>
    </row>
    <row r="389" spans="1:7" x14ac:dyDescent="0.25">
      <c r="A389" s="5"/>
      <c r="B389" s="283"/>
      <c r="C389" s="5"/>
      <c r="D389" s="5"/>
      <c r="E389" s="5"/>
      <c r="F389" s="5"/>
      <c r="G389" s="282"/>
    </row>
    <row r="390" spans="1:7" x14ac:dyDescent="0.25">
      <c r="A390" s="5"/>
      <c r="B390" s="283"/>
      <c r="C390" s="5"/>
      <c r="D390" s="5"/>
      <c r="E390" s="5"/>
      <c r="F390" s="5"/>
      <c r="G390" s="282"/>
    </row>
    <row r="391" spans="1:7" x14ac:dyDescent="0.25">
      <c r="A391" s="5"/>
      <c r="B391" s="283"/>
      <c r="C391" s="5"/>
      <c r="D391" s="5"/>
      <c r="E391" s="5"/>
      <c r="F391" s="5"/>
      <c r="G391" s="282"/>
    </row>
    <row r="392" spans="1:7" x14ac:dyDescent="0.25">
      <c r="A392" s="5"/>
      <c r="B392" s="283"/>
      <c r="C392" s="5"/>
      <c r="D392" s="5"/>
      <c r="E392" s="5"/>
      <c r="F392" s="5"/>
      <c r="G392" s="282"/>
    </row>
    <row r="393" spans="1:7" x14ac:dyDescent="0.25">
      <c r="A393" s="5"/>
      <c r="B393" s="283"/>
      <c r="C393" s="5"/>
      <c r="D393" s="5"/>
      <c r="E393" s="5"/>
      <c r="F393" s="5"/>
      <c r="G393" s="282"/>
    </row>
    <row r="394" spans="1:7" x14ac:dyDescent="0.25">
      <c r="A394" s="5"/>
      <c r="B394" s="283"/>
      <c r="C394" s="5"/>
      <c r="D394" s="5"/>
      <c r="E394" s="5"/>
      <c r="F394" s="5"/>
      <c r="G394" s="282"/>
    </row>
    <row r="395" spans="1:7" x14ac:dyDescent="0.25">
      <c r="A395" s="5"/>
      <c r="B395" s="283"/>
      <c r="C395" s="5"/>
      <c r="D395" s="5"/>
      <c r="E395" s="5"/>
      <c r="F395" s="5"/>
      <c r="G395" s="282"/>
    </row>
    <row r="396" spans="1:7" x14ac:dyDescent="0.25">
      <c r="A396" s="5"/>
      <c r="B396" s="283"/>
      <c r="C396" s="5"/>
      <c r="D396" s="5"/>
      <c r="E396" s="5"/>
      <c r="F396" s="5"/>
      <c r="G396" s="282"/>
    </row>
    <row r="397" spans="1:7" x14ac:dyDescent="0.25">
      <c r="A397" s="5"/>
      <c r="B397" s="283"/>
      <c r="C397" s="5"/>
      <c r="D397" s="5"/>
      <c r="E397" s="5"/>
      <c r="F397" s="5"/>
      <c r="G397" s="282"/>
    </row>
    <row r="398" spans="1:7" x14ac:dyDescent="0.25">
      <c r="A398" s="5"/>
      <c r="B398" s="283"/>
      <c r="C398" s="5"/>
      <c r="D398" s="5"/>
      <c r="E398" s="5"/>
      <c r="F398" s="5"/>
      <c r="G398" s="282"/>
    </row>
    <row r="399" spans="1:7" x14ac:dyDescent="0.25">
      <c r="A399" s="5"/>
      <c r="B399" s="283"/>
      <c r="C399" s="5"/>
      <c r="D399" s="5"/>
      <c r="E399" s="5"/>
      <c r="F399" s="5"/>
      <c r="G399" s="282"/>
    </row>
    <row r="400" spans="1:7" x14ac:dyDescent="0.25">
      <c r="A400" s="5"/>
      <c r="B400" s="283"/>
      <c r="C400" s="5"/>
      <c r="D400" s="5"/>
      <c r="E400" s="5"/>
      <c r="F400" s="5"/>
      <c r="G400" s="282"/>
    </row>
    <row r="401" spans="1:7" x14ac:dyDescent="0.25">
      <c r="A401" s="5"/>
      <c r="B401" s="283"/>
      <c r="C401" s="5"/>
      <c r="D401" s="5"/>
      <c r="E401" s="5"/>
      <c r="F401" s="5"/>
      <c r="G401" s="282"/>
    </row>
    <row r="402" spans="1:7" x14ac:dyDescent="0.25">
      <c r="A402" s="5"/>
      <c r="B402" s="283"/>
      <c r="C402" s="5"/>
      <c r="D402" s="5"/>
      <c r="E402" s="5"/>
      <c r="F402" s="5"/>
      <c r="G402" s="282"/>
    </row>
    <row r="403" spans="1:7" x14ac:dyDescent="0.25">
      <c r="A403" s="5"/>
      <c r="B403" s="283"/>
      <c r="C403" s="5"/>
      <c r="D403" s="5"/>
      <c r="E403" s="5"/>
      <c r="F403" s="5"/>
      <c r="G403" s="282"/>
    </row>
    <row r="404" spans="1:7" x14ac:dyDescent="0.25">
      <c r="A404" s="5"/>
      <c r="B404" s="283"/>
      <c r="C404" s="5"/>
      <c r="D404" s="5"/>
      <c r="E404" s="5"/>
      <c r="F404" s="5"/>
      <c r="G404" s="282"/>
    </row>
    <row r="405" spans="1:7" x14ac:dyDescent="0.25">
      <c r="A405" s="5"/>
      <c r="B405" s="283"/>
      <c r="C405" s="5"/>
      <c r="D405" s="5"/>
      <c r="E405" s="5"/>
      <c r="F405" s="5"/>
      <c r="G405" s="282"/>
    </row>
    <row r="406" spans="1:7" x14ac:dyDescent="0.25">
      <c r="A406" s="5"/>
      <c r="B406" s="283"/>
      <c r="C406" s="5"/>
      <c r="D406" s="5"/>
      <c r="E406" s="5"/>
      <c r="F406" s="5"/>
      <c r="G406" s="282"/>
    </row>
    <row r="407" spans="1:7" x14ac:dyDescent="0.25">
      <c r="A407" s="5"/>
      <c r="B407" s="283"/>
      <c r="C407" s="5"/>
      <c r="D407" s="5"/>
      <c r="E407" s="5"/>
      <c r="F407" s="5"/>
      <c r="G407" s="282"/>
    </row>
    <row r="408" spans="1:7" x14ac:dyDescent="0.25">
      <c r="A408" s="5"/>
      <c r="B408" s="283"/>
      <c r="C408" s="5"/>
      <c r="D408" s="5"/>
      <c r="E408" s="5"/>
      <c r="F408" s="5"/>
      <c r="G408" s="282"/>
    </row>
    <row r="409" spans="1:7" x14ac:dyDescent="0.25">
      <c r="A409" s="5"/>
      <c r="B409" s="283"/>
      <c r="C409" s="5"/>
      <c r="D409" s="5"/>
      <c r="E409" s="5"/>
      <c r="F409" s="5"/>
      <c r="G409" s="282"/>
    </row>
    <row r="410" spans="1:7" x14ac:dyDescent="0.25">
      <c r="A410" s="5"/>
      <c r="B410" s="283"/>
      <c r="C410" s="5"/>
      <c r="D410" s="5"/>
      <c r="E410" s="5"/>
      <c r="F410" s="5"/>
      <c r="G410" s="282"/>
    </row>
    <row r="411" spans="1:7" x14ac:dyDescent="0.25">
      <c r="A411" s="5"/>
      <c r="B411" s="283"/>
      <c r="C411" s="5"/>
      <c r="D411" s="5"/>
      <c r="E411" s="5"/>
      <c r="F411" s="5"/>
      <c r="G411" s="282"/>
    </row>
    <row r="412" spans="1:7" x14ac:dyDescent="0.25">
      <c r="A412" s="5"/>
      <c r="B412" s="283"/>
      <c r="C412" s="5"/>
      <c r="D412" s="5"/>
      <c r="E412" s="5"/>
      <c r="F412" s="5"/>
      <c r="G412" s="282"/>
    </row>
    <row r="413" spans="1:7" x14ac:dyDescent="0.25">
      <c r="A413" s="5"/>
      <c r="B413" s="283"/>
      <c r="C413" s="5"/>
      <c r="D413" s="5"/>
      <c r="E413" s="5"/>
      <c r="F413" s="5"/>
      <c r="G413" s="282"/>
    </row>
    <row r="414" spans="1:7" x14ac:dyDescent="0.25">
      <c r="A414" s="5"/>
      <c r="B414" s="283"/>
      <c r="C414" s="5"/>
      <c r="D414" s="5"/>
      <c r="E414" s="5"/>
      <c r="F414" s="5"/>
      <c r="G414" s="282"/>
    </row>
    <row r="415" spans="1:7" x14ac:dyDescent="0.25">
      <c r="A415" s="5"/>
      <c r="B415" s="283"/>
      <c r="C415" s="5"/>
      <c r="D415" s="5"/>
      <c r="E415" s="5"/>
      <c r="F415" s="5"/>
      <c r="G415" s="282"/>
    </row>
    <row r="416" spans="1:7" x14ac:dyDescent="0.25">
      <c r="A416" s="5"/>
      <c r="B416" s="283"/>
      <c r="C416" s="5"/>
      <c r="D416" s="5"/>
      <c r="E416" s="5"/>
      <c r="F416" s="5"/>
      <c r="G416" s="282"/>
    </row>
    <row r="417" spans="1:7" x14ac:dyDescent="0.25">
      <c r="A417" s="5"/>
      <c r="B417" s="283"/>
      <c r="C417" s="5"/>
      <c r="D417" s="5"/>
      <c r="E417" s="5"/>
      <c r="F417" s="5"/>
      <c r="G417" s="282"/>
    </row>
    <row r="418" spans="1:7" x14ac:dyDescent="0.25">
      <c r="A418" s="5"/>
      <c r="B418" s="283"/>
      <c r="C418" s="5"/>
      <c r="D418" s="5"/>
      <c r="E418" s="5"/>
      <c r="F418" s="5"/>
      <c r="G418" s="282"/>
    </row>
    <row r="419" spans="1:7" x14ac:dyDescent="0.25">
      <c r="A419" s="5"/>
      <c r="B419" s="283"/>
      <c r="C419" s="5"/>
      <c r="D419" s="5"/>
      <c r="E419" s="5"/>
      <c r="F419" s="5"/>
      <c r="G419" s="282"/>
    </row>
    <row r="420" spans="1:7" x14ac:dyDescent="0.25">
      <c r="A420" s="5"/>
      <c r="B420" s="283"/>
      <c r="C420" s="5"/>
      <c r="D420" s="5"/>
      <c r="E420" s="5"/>
      <c r="F420" s="5"/>
      <c r="G420" s="282"/>
    </row>
    <row r="421" spans="1:7" x14ac:dyDescent="0.25">
      <c r="A421" s="5"/>
      <c r="B421" s="283"/>
      <c r="C421" s="5"/>
      <c r="D421" s="5"/>
      <c r="E421" s="5"/>
      <c r="F421" s="5"/>
      <c r="G421" s="282"/>
    </row>
    <row r="422" spans="1:7" x14ac:dyDescent="0.25">
      <c r="A422" s="5"/>
      <c r="B422" s="283"/>
      <c r="C422" s="5"/>
      <c r="D422" s="5"/>
      <c r="E422" s="5"/>
      <c r="F422" s="5"/>
      <c r="G422" s="282"/>
    </row>
    <row r="423" spans="1:7" x14ac:dyDescent="0.25">
      <c r="A423" s="5"/>
      <c r="B423" s="283"/>
      <c r="C423" s="5"/>
      <c r="D423" s="5"/>
      <c r="E423" s="5"/>
      <c r="F423" s="5"/>
      <c r="G423" s="282"/>
    </row>
    <row r="424" spans="1:7" x14ac:dyDescent="0.25">
      <c r="A424" s="5"/>
      <c r="B424" s="283"/>
      <c r="C424" s="5"/>
      <c r="D424" s="5"/>
      <c r="E424" s="5"/>
      <c r="F424" s="5"/>
      <c r="G424" s="282"/>
    </row>
    <row r="425" spans="1:7" x14ac:dyDescent="0.25">
      <c r="A425" s="5"/>
      <c r="B425" s="283"/>
      <c r="C425" s="5"/>
      <c r="D425" s="5"/>
      <c r="E425" s="5"/>
      <c r="F425" s="5"/>
      <c r="G425" s="282"/>
    </row>
    <row r="426" spans="1:7" x14ac:dyDescent="0.25">
      <c r="A426" s="5"/>
      <c r="B426" s="283"/>
      <c r="C426" s="5"/>
      <c r="D426" s="5"/>
      <c r="E426" s="5"/>
      <c r="F426" s="5"/>
      <c r="G426" s="282"/>
    </row>
    <row r="427" spans="1:7" x14ac:dyDescent="0.25">
      <c r="A427" s="5"/>
      <c r="B427" s="283"/>
      <c r="C427" s="5"/>
      <c r="D427" s="5"/>
      <c r="E427" s="5"/>
      <c r="F427" s="5"/>
      <c r="G427" s="282"/>
    </row>
    <row r="428" spans="1:7" x14ac:dyDescent="0.25">
      <c r="A428" s="5"/>
      <c r="B428" s="283"/>
      <c r="C428" s="5"/>
      <c r="D428" s="5"/>
      <c r="E428" s="5"/>
      <c r="F428" s="5"/>
      <c r="G428" s="282"/>
    </row>
    <row r="429" spans="1:7" x14ac:dyDescent="0.25">
      <c r="A429" s="5"/>
      <c r="B429" s="283"/>
      <c r="C429" s="5"/>
      <c r="D429" s="5"/>
      <c r="E429" s="5"/>
      <c r="F429" s="5"/>
      <c r="G429" s="282"/>
    </row>
    <row r="430" spans="1:7" x14ac:dyDescent="0.25">
      <c r="A430" s="5"/>
      <c r="B430" s="283"/>
      <c r="C430" s="5"/>
      <c r="D430" s="5"/>
      <c r="E430" s="5"/>
      <c r="F430" s="5"/>
      <c r="G430" s="282"/>
    </row>
    <row r="431" spans="1:7" x14ac:dyDescent="0.25">
      <c r="A431" s="5"/>
      <c r="B431" s="283"/>
      <c r="C431" s="5"/>
      <c r="D431" s="5"/>
      <c r="E431" s="5"/>
      <c r="F431" s="5"/>
      <c r="G431" s="282"/>
    </row>
    <row r="432" spans="1:7" x14ac:dyDescent="0.25">
      <c r="A432" s="5"/>
      <c r="B432" s="283"/>
      <c r="C432" s="5"/>
      <c r="D432" s="5"/>
      <c r="E432" s="5"/>
      <c r="F432" s="5"/>
      <c r="G432" s="282"/>
    </row>
    <row r="433" spans="1:7" x14ac:dyDescent="0.25">
      <c r="A433" s="5"/>
      <c r="B433" s="283"/>
      <c r="C433" s="5"/>
      <c r="D433" s="5"/>
      <c r="E433" s="5"/>
      <c r="F433" s="5"/>
      <c r="G433" s="282"/>
    </row>
    <row r="434" spans="1:7" x14ac:dyDescent="0.25">
      <c r="A434" s="5"/>
      <c r="B434" s="283"/>
      <c r="C434" s="5"/>
      <c r="D434" s="5"/>
      <c r="E434" s="5"/>
      <c r="F434" s="5"/>
      <c r="G434" s="282"/>
    </row>
    <row r="435" spans="1:7" x14ac:dyDescent="0.25">
      <c r="A435" s="5"/>
      <c r="B435" s="283"/>
      <c r="C435" s="5"/>
      <c r="D435" s="5"/>
      <c r="E435" s="5"/>
      <c r="F435" s="5"/>
      <c r="G435" s="282"/>
    </row>
    <row r="436" spans="1:7" x14ac:dyDescent="0.25">
      <c r="A436" s="5"/>
      <c r="B436" s="283"/>
      <c r="C436" s="5"/>
      <c r="D436" s="5"/>
      <c r="E436" s="5"/>
      <c r="F436" s="5"/>
      <c r="G436" s="282"/>
    </row>
    <row r="437" spans="1:7" x14ac:dyDescent="0.25">
      <c r="A437" s="5"/>
      <c r="B437" s="283"/>
      <c r="C437" s="5"/>
      <c r="D437" s="5"/>
      <c r="E437" s="5"/>
      <c r="F437" s="5"/>
      <c r="G437" s="282"/>
    </row>
    <row r="438" spans="1:7" x14ac:dyDescent="0.25">
      <c r="A438" s="5"/>
      <c r="B438" s="283"/>
      <c r="C438" s="5"/>
      <c r="D438" s="5"/>
      <c r="E438" s="5"/>
      <c r="F438" s="5"/>
      <c r="G438" s="282"/>
    </row>
    <row r="439" spans="1:7" x14ac:dyDescent="0.25">
      <c r="A439" s="5"/>
      <c r="B439" s="283"/>
      <c r="C439" s="5"/>
      <c r="D439" s="5"/>
      <c r="E439" s="5"/>
      <c r="F439" s="5"/>
      <c r="G439" s="282"/>
    </row>
    <row r="440" spans="1:7" x14ac:dyDescent="0.25">
      <c r="A440" s="5"/>
      <c r="B440" s="283"/>
      <c r="C440" s="5"/>
      <c r="D440" s="5"/>
      <c r="E440" s="5"/>
      <c r="F440" s="5"/>
      <c r="G440" s="282"/>
    </row>
    <row r="441" spans="1:7" x14ac:dyDescent="0.25">
      <c r="A441" s="5"/>
      <c r="B441" s="283"/>
      <c r="C441" s="5"/>
      <c r="D441" s="5"/>
      <c r="E441" s="5"/>
      <c r="F441" s="5"/>
      <c r="G441" s="282"/>
    </row>
    <row r="442" spans="1:7" x14ac:dyDescent="0.25">
      <c r="A442" s="5"/>
      <c r="B442" s="283"/>
      <c r="C442" s="5"/>
      <c r="D442" s="5"/>
      <c r="E442" s="5"/>
      <c r="F442" s="5"/>
      <c r="G442" s="282"/>
    </row>
    <row r="443" spans="1:7" x14ac:dyDescent="0.25">
      <c r="A443" s="5"/>
      <c r="B443" s="283"/>
      <c r="C443" s="5"/>
      <c r="D443" s="5"/>
      <c r="E443" s="5"/>
      <c r="F443" s="5"/>
      <c r="G443" s="282"/>
    </row>
    <row r="444" spans="1:7" x14ac:dyDescent="0.25">
      <c r="A444" s="5"/>
      <c r="B444" s="283"/>
      <c r="C444" s="5"/>
      <c r="D444" s="5"/>
      <c r="E444" s="5"/>
      <c r="F444" s="5"/>
      <c r="G444" s="282"/>
    </row>
    <row r="445" spans="1:7" x14ac:dyDescent="0.25">
      <c r="A445" s="5"/>
      <c r="B445" s="283"/>
      <c r="C445" s="5"/>
      <c r="D445" s="5"/>
      <c r="E445" s="5"/>
      <c r="F445" s="5"/>
      <c r="G445" s="282"/>
    </row>
    <row r="446" spans="1:7" x14ac:dyDescent="0.25">
      <c r="A446" s="5"/>
      <c r="B446" s="283"/>
      <c r="C446" s="5"/>
      <c r="D446" s="5"/>
      <c r="E446" s="5"/>
      <c r="F446" s="5"/>
      <c r="G446" s="282"/>
    </row>
    <row r="447" spans="1:7" x14ac:dyDescent="0.25">
      <c r="A447" s="5"/>
      <c r="B447" s="283"/>
      <c r="C447" s="5"/>
      <c r="D447" s="5"/>
      <c r="E447" s="5"/>
      <c r="F447" s="5"/>
      <c r="G447" s="282"/>
    </row>
    <row r="448" spans="1:7" x14ac:dyDescent="0.25">
      <c r="A448" s="5"/>
      <c r="B448" s="283"/>
      <c r="C448" s="5"/>
      <c r="D448" s="5"/>
      <c r="E448" s="5"/>
      <c r="F448" s="5"/>
      <c r="G448" s="282"/>
    </row>
    <row r="449" spans="1:7" x14ac:dyDescent="0.25">
      <c r="A449" s="5"/>
      <c r="B449" s="283"/>
      <c r="C449" s="5"/>
      <c r="D449" s="5"/>
      <c r="E449" s="5"/>
      <c r="F449" s="5"/>
      <c r="G449" s="282"/>
    </row>
    <row r="450" spans="1:7" x14ac:dyDescent="0.25">
      <c r="A450" s="5"/>
      <c r="B450" s="283"/>
      <c r="C450" s="5"/>
      <c r="D450" s="5"/>
      <c r="E450" s="5"/>
      <c r="F450" s="5"/>
      <c r="G450" s="282"/>
    </row>
    <row r="451" spans="1:7" x14ac:dyDescent="0.25">
      <c r="A451" s="5"/>
      <c r="B451" s="283"/>
      <c r="C451" s="5"/>
      <c r="D451" s="5"/>
      <c r="E451" s="5"/>
      <c r="F451" s="5"/>
      <c r="G451" s="282"/>
    </row>
    <row r="452" spans="1:7" x14ac:dyDescent="0.25">
      <c r="A452" s="5"/>
      <c r="B452" s="283"/>
      <c r="C452" s="5"/>
      <c r="D452" s="5"/>
      <c r="E452" s="5"/>
      <c r="F452" s="5"/>
      <c r="G452" s="282"/>
    </row>
    <row r="453" spans="1:7" x14ac:dyDescent="0.25">
      <c r="A453" s="5"/>
      <c r="B453" s="283"/>
      <c r="C453" s="5"/>
      <c r="D453" s="5"/>
      <c r="E453" s="5"/>
      <c r="F453" s="5"/>
      <c r="G453" s="282"/>
    </row>
    <row r="454" spans="1:7" x14ac:dyDescent="0.25">
      <c r="A454" s="5"/>
      <c r="B454" s="283"/>
      <c r="C454" s="5"/>
      <c r="D454" s="5"/>
      <c r="E454" s="5"/>
      <c r="F454" s="5"/>
      <c r="G454" s="282"/>
    </row>
    <row r="455" spans="1:7" x14ac:dyDescent="0.25">
      <c r="A455" s="5"/>
      <c r="B455" s="283"/>
      <c r="C455" s="5"/>
      <c r="D455" s="5"/>
      <c r="E455" s="5"/>
      <c r="F455" s="5"/>
      <c r="G455" s="282"/>
    </row>
    <row r="456" spans="1:7" x14ac:dyDescent="0.25">
      <c r="A456" s="5"/>
      <c r="B456" s="283"/>
      <c r="C456" s="5"/>
      <c r="D456" s="5"/>
      <c r="E456" s="5"/>
      <c r="F456" s="5"/>
      <c r="G456" s="282"/>
    </row>
    <row r="457" spans="1:7" x14ac:dyDescent="0.25">
      <c r="A457" s="5"/>
      <c r="B457" s="283"/>
      <c r="C457" s="5"/>
      <c r="D457" s="5"/>
      <c r="E457" s="5"/>
      <c r="F457" s="5"/>
      <c r="G457" s="282"/>
    </row>
    <row r="458" spans="1:7" x14ac:dyDescent="0.25">
      <c r="A458" s="5"/>
      <c r="B458" s="283"/>
      <c r="C458" s="5"/>
      <c r="D458" s="5"/>
      <c r="E458" s="5"/>
      <c r="F458" s="5"/>
      <c r="G458" s="282"/>
    </row>
    <row r="459" spans="1:7" x14ac:dyDescent="0.25">
      <c r="A459" s="5"/>
      <c r="B459" s="283"/>
      <c r="C459" s="5"/>
      <c r="D459" s="5"/>
      <c r="E459" s="5"/>
      <c r="F459" s="5"/>
      <c r="G459" s="282"/>
    </row>
    <row r="460" spans="1:7" x14ac:dyDescent="0.25">
      <c r="A460" s="5"/>
      <c r="B460" s="283"/>
      <c r="C460" s="5"/>
      <c r="D460" s="5"/>
      <c r="E460" s="5"/>
      <c r="F460" s="5"/>
      <c r="G460" s="282"/>
    </row>
    <row r="461" spans="1:7" x14ac:dyDescent="0.25">
      <c r="A461" s="5"/>
      <c r="B461" s="283"/>
      <c r="C461" s="5"/>
      <c r="D461" s="5"/>
      <c r="E461" s="5"/>
      <c r="F461" s="5"/>
      <c r="G461" s="282"/>
    </row>
    <row r="462" spans="1:7" x14ac:dyDescent="0.25">
      <c r="A462" s="5"/>
      <c r="B462" s="283"/>
      <c r="C462" s="5"/>
      <c r="D462" s="5"/>
      <c r="E462" s="5"/>
      <c r="F462" s="5"/>
      <c r="G462" s="282"/>
    </row>
    <row r="463" spans="1:7" x14ac:dyDescent="0.25">
      <c r="A463" s="5"/>
      <c r="B463" s="283"/>
      <c r="C463" s="5"/>
      <c r="D463" s="5"/>
      <c r="E463" s="5"/>
      <c r="F463" s="5"/>
      <c r="G463" s="282"/>
    </row>
    <row r="464" spans="1:7" x14ac:dyDescent="0.25">
      <c r="A464" s="5"/>
      <c r="B464" s="283"/>
      <c r="C464" s="5"/>
      <c r="D464" s="5"/>
      <c r="E464" s="5"/>
      <c r="F464" s="5"/>
      <c r="G464" s="282"/>
    </row>
    <row r="465" spans="1:7" x14ac:dyDescent="0.25">
      <c r="A465" s="5"/>
      <c r="B465" s="283"/>
      <c r="C465" s="5"/>
      <c r="D465" s="5"/>
      <c r="E465" s="5"/>
      <c r="F465" s="5"/>
      <c r="G465" s="282"/>
    </row>
    <row r="466" spans="1:7" x14ac:dyDescent="0.25">
      <c r="A466" s="5"/>
      <c r="B466" s="283"/>
      <c r="C466" s="5"/>
      <c r="D466" s="5"/>
      <c r="E466" s="5"/>
      <c r="F466" s="5"/>
      <c r="G466" s="282"/>
    </row>
    <row r="467" spans="1:7" x14ac:dyDescent="0.25">
      <c r="A467" s="5"/>
      <c r="B467" s="283"/>
      <c r="C467" s="5"/>
      <c r="D467" s="5"/>
      <c r="E467" s="5"/>
      <c r="F467" s="5"/>
      <c r="G467" s="282"/>
    </row>
    <row r="468" spans="1:7" x14ac:dyDescent="0.25">
      <c r="A468" s="5"/>
      <c r="B468" s="283"/>
      <c r="C468" s="5"/>
      <c r="D468" s="5"/>
      <c r="E468" s="5"/>
      <c r="F468" s="5"/>
      <c r="G468" s="282"/>
    </row>
    <row r="469" spans="1:7" x14ac:dyDescent="0.25">
      <c r="A469" s="5"/>
      <c r="B469" s="283"/>
      <c r="C469" s="5"/>
      <c r="D469" s="5"/>
      <c r="E469" s="5"/>
      <c r="F469" s="5"/>
      <c r="G469" s="282"/>
    </row>
    <row r="470" spans="1:7" x14ac:dyDescent="0.25">
      <c r="A470" s="5"/>
      <c r="B470" s="283"/>
      <c r="C470" s="5"/>
      <c r="D470" s="5"/>
      <c r="E470" s="5"/>
      <c r="F470" s="5"/>
      <c r="G470" s="282"/>
    </row>
    <row r="471" spans="1:7" x14ac:dyDescent="0.25">
      <c r="A471" s="5"/>
      <c r="B471" s="283"/>
      <c r="C471" s="5"/>
      <c r="D471" s="5"/>
      <c r="E471" s="5"/>
      <c r="F471" s="5"/>
      <c r="G471" s="282"/>
    </row>
    <row r="472" spans="1:7" x14ac:dyDescent="0.25">
      <c r="A472" s="5"/>
      <c r="B472" s="283"/>
      <c r="C472" s="5"/>
      <c r="D472" s="5"/>
      <c r="E472" s="5"/>
      <c r="F472" s="5"/>
      <c r="G472" s="282"/>
    </row>
    <row r="473" spans="1:7" x14ac:dyDescent="0.25">
      <c r="A473" s="5"/>
      <c r="B473" s="283"/>
      <c r="C473" s="5"/>
      <c r="D473" s="5"/>
      <c r="E473" s="5"/>
      <c r="F473" s="5"/>
      <c r="G473" s="282"/>
    </row>
    <row r="474" spans="1:7" x14ac:dyDescent="0.25">
      <c r="A474" s="5"/>
      <c r="B474" s="283"/>
      <c r="C474" s="5"/>
      <c r="D474" s="5"/>
      <c r="E474" s="5"/>
      <c r="F474" s="5"/>
      <c r="G474" s="282"/>
    </row>
    <row r="475" spans="1:7" x14ac:dyDescent="0.25">
      <c r="A475" s="5"/>
      <c r="B475" s="283"/>
      <c r="C475" s="5"/>
      <c r="D475" s="5"/>
      <c r="E475" s="5"/>
      <c r="F475" s="5"/>
      <c r="G475" s="282"/>
    </row>
    <row r="476" spans="1:7" x14ac:dyDescent="0.25">
      <c r="A476" s="5"/>
      <c r="B476" s="283"/>
      <c r="C476" s="5"/>
      <c r="D476" s="5"/>
      <c r="E476" s="5"/>
      <c r="F476" s="5"/>
      <c r="G476" s="282"/>
    </row>
    <row r="477" spans="1:7" x14ac:dyDescent="0.25">
      <c r="A477" s="5"/>
      <c r="B477" s="283"/>
      <c r="C477" s="5"/>
      <c r="D477" s="5"/>
      <c r="E477" s="5"/>
      <c r="F477" s="5"/>
      <c r="G477" s="282"/>
    </row>
    <row r="478" spans="1:7" x14ac:dyDescent="0.25">
      <c r="A478" s="5"/>
      <c r="B478" s="283"/>
      <c r="C478" s="5"/>
      <c r="D478" s="5"/>
      <c r="E478" s="5"/>
      <c r="F478" s="5"/>
      <c r="G478" s="282"/>
    </row>
    <row r="479" spans="1:7" x14ac:dyDescent="0.25">
      <c r="A479" s="5"/>
      <c r="B479" s="283"/>
      <c r="C479" s="5"/>
      <c r="D479" s="5"/>
      <c r="E479" s="5"/>
      <c r="F479" s="5"/>
      <c r="G479" s="282"/>
    </row>
    <row r="480" spans="1:7" x14ac:dyDescent="0.25">
      <c r="A480" s="5"/>
      <c r="B480" s="283"/>
      <c r="C480" s="5"/>
      <c r="D480" s="5"/>
      <c r="E480" s="5"/>
      <c r="F480" s="5"/>
      <c r="G480" s="282"/>
    </row>
    <row r="481" spans="1:7" x14ac:dyDescent="0.25">
      <c r="A481" s="5"/>
      <c r="B481" s="283"/>
      <c r="C481" s="5"/>
      <c r="D481" s="5"/>
      <c r="E481" s="5"/>
      <c r="F481" s="5"/>
      <c r="G481" s="282"/>
    </row>
    <row r="482" spans="1:7" x14ac:dyDescent="0.25">
      <c r="A482" s="5"/>
      <c r="B482" s="283"/>
      <c r="C482" s="5"/>
      <c r="D482" s="5"/>
      <c r="E482" s="5"/>
      <c r="F482" s="5"/>
      <c r="G482" s="282"/>
    </row>
    <row r="483" spans="1:7" x14ac:dyDescent="0.25">
      <c r="A483" s="5"/>
      <c r="B483" s="283"/>
      <c r="C483" s="5"/>
      <c r="D483" s="5"/>
      <c r="E483" s="5"/>
      <c r="F483" s="5"/>
      <c r="G483" s="282"/>
    </row>
    <row r="484" spans="1:7" x14ac:dyDescent="0.25">
      <c r="A484" s="5"/>
      <c r="B484" s="283"/>
      <c r="C484" s="5"/>
      <c r="D484" s="5"/>
      <c r="E484" s="5"/>
      <c r="F484" s="5"/>
      <c r="G484" s="282"/>
    </row>
    <row r="485" spans="1:7" x14ac:dyDescent="0.25">
      <c r="A485" s="5"/>
      <c r="B485" s="283"/>
      <c r="C485" s="5"/>
      <c r="D485" s="5"/>
      <c r="E485" s="5"/>
      <c r="F485" s="5"/>
      <c r="G485" s="282"/>
    </row>
    <row r="486" spans="1:7" x14ac:dyDescent="0.25">
      <c r="A486" s="5"/>
      <c r="B486" s="283"/>
      <c r="C486" s="5"/>
      <c r="D486" s="5"/>
      <c r="E486" s="5"/>
      <c r="F486" s="5"/>
      <c r="G486" s="282"/>
    </row>
    <row r="487" spans="1:7" x14ac:dyDescent="0.25">
      <c r="A487" s="5"/>
      <c r="B487" s="283"/>
      <c r="C487" s="5"/>
      <c r="D487" s="5"/>
      <c r="E487" s="5"/>
      <c r="F487" s="5"/>
      <c r="G487" s="282"/>
    </row>
    <row r="488" spans="1:7" x14ac:dyDescent="0.25">
      <c r="A488" s="5"/>
      <c r="B488" s="283"/>
      <c r="C488" s="5"/>
      <c r="D488" s="5"/>
      <c r="E488" s="5"/>
      <c r="F488" s="5"/>
      <c r="G488" s="282"/>
    </row>
    <row r="489" spans="1:7" x14ac:dyDescent="0.25">
      <c r="A489" s="5"/>
      <c r="B489" s="283"/>
      <c r="C489" s="5"/>
      <c r="D489" s="5"/>
      <c r="E489" s="5"/>
      <c r="F489" s="5"/>
      <c r="G489" s="282"/>
    </row>
    <row r="490" spans="1:7" x14ac:dyDescent="0.25">
      <c r="A490" s="5"/>
      <c r="B490" s="283"/>
      <c r="C490" s="5"/>
      <c r="D490" s="5"/>
      <c r="E490" s="5"/>
      <c r="F490" s="5"/>
      <c r="G490" s="282"/>
    </row>
    <row r="491" spans="1:7" x14ac:dyDescent="0.25">
      <c r="A491" s="5"/>
      <c r="B491" s="283"/>
      <c r="C491" s="5"/>
      <c r="D491" s="5"/>
      <c r="E491" s="5"/>
      <c r="F491" s="5"/>
      <c r="G491" s="282"/>
    </row>
    <row r="492" spans="1:7" x14ac:dyDescent="0.25">
      <c r="A492" s="5"/>
      <c r="B492" s="283"/>
      <c r="C492" s="5"/>
      <c r="D492" s="5"/>
      <c r="E492" s="5"/>
      <c r="F492" s="5"/>
      <c r="G492" s="282"/>
    </row>
    <row r="493" spans="1:7" x14ac:dyDescent="0.25">
      <c r="A493" s="5"/>
      <c r="B493" s="283"/>
      <c r="C493" s="5"/>
      <c r="D493" s="5"/>
      <c r="E493" s="5"/>
      <c r="F493" s="5"/>
      <c r="G493" s="282"/>
    </row>
    <row r="494" spans="1:7" x14ac:dyDescent="0.25">
      <c r="A494" s="5"/>
      <c r="B494" s="283"/>
      <c r="C494" s="5"/>
      <c r="D494" s="5"/>
      <c r="E494" s="5"/>
      <c r="F494" s="5"/>
      <c r="G494" s="282"/>
    </row>
    <row r="495" spans="1:7" x14ac:dyDescent="0.25">
      <c r="A495" s="5"/>
      <c r="B495" s="283"/>
      <c r="C495" s="5"/>
      <c r="D495" s="5"/>
      <c r="E495" s="5"/>
      <c r="F495" s="5"/>
      <c r="G495" s="282"/>
    </row>
    <row r="496" spans="1:7" x14ac:dyDescent="0.25">
      <c r="A496" s="5"/>
      <c r="B496" s="283"/>
      <c r="C496" s="5"/>
      <c r="D496" s="5"/>
      <c r="E496" s="5"/>
      <c r="F496" s="5"/>
      <c r="G496" s="282"/>
    </row>
    <row r="497" spans="1:7" x14ac:dyDescent="0.25">
      <c r="A497" s="5"/>
      <c r="B497" s="283"/>
      <c r="C497" s="5"/>
      <c r="D497" s="5"/>
      <c r="E497" s="5"/>
      <c r="F497" s="5"/>
      <c r="G497" s="282"/>
    </row>
    <row r="498" spans="1:7" x14ac:dyDescent="0.25">
      <c r="A498" s="5"/>
      <c r="B498" s="283"/>
      <c r="C498" s="5"/>
      <c r="D498" s="5"/>
      <c r="E498" s="5"/>
      <c r="F498" s="5"/>
      <c r="G498" s="282"/>
    </row>
    <row r="499" spans="1:7" x14ac:dyDescent="0.25">
      <c r="A499" s="5"/>
      <c r="B499" s="283"/>
      <c r="C499" s="5"/>
      <c r="D499" s="5"/>
      <c r="E499" s="5"/>
      <c r="F499" s="5"/>
      <c r="G499" s="282"/>
    </row>
    <row r="500" spans="1:7" x14ac:dyDescent="0.25">
      <c r="A500" s="5"/>
      <c r="B500" s="283"/>
      <c r="C500" s="5"/>
      <c r="D500" s="5"/>
      <c r="E500" s="5"/>
      <c r="F500" s="5"/>
      <c r="G500" s="282"/>
    </row>
    <row r="501" spans="1:7" x14ac:dyDescent="0.25">
      <c r="A501" s="5"/>
      <c r="B501" s="283"/>
      <c r="C501" s="5"/>
      <c r="D501" s="5"/>
      <c r="E501" s="5"/>
      <c r="F501" s="5"/>
      <c r="G501" s="282"/>
    </row>
    <row r="502" spans="1:7" x14ac:dyDescent="0.25">
      <c r="A502" s="5"/>
      <c r="B502" s="283"/>
      <c r="C502" s="5"/>
      <c r="D502" s="5"/>
      <c r="E502" s="5"/>
      <c r="F502" s="5"/>
      <c r="G502" s="282"/>
    </row>
    <row r="503" spans="1:7" x14ac:dyDescent="0.25">
      <c r="A503" s="5"/>
      <c r="B503" s="283"/>
      <c r="C503" s="5"/>
      <c r="D503" s="5"/>
      <c r="E503" s="5"/>
      <c r="F503" s="5"/>
      <c r="G503" s="282"/>
    </row>
    <row r="504" spans="1:7" x14ac:dyDescent="0.25">
      <c r="A504" s="5"/>
      <c r="B504" s="283"/>
      <c r="C504" s="5"/>
      <c r="D504" s="5"/>
      <c r="E504" s="5"/>
      <c r="F504" s="5"/>
      <c r="G504" s="282"/>
    </row>
    <row r="505" spans="1:7" x14ac:dyDescent="0.25">
      <c r="A505" s="5"/>
      <c r="B505" s="283"/>
      <c r="C505" s="5"/>
      <c r="D505" s="5"/>
      <c r="E505" s="5"/>
      <c r="F505" s="5"/>
      <c r="G505" s="282"/>
    </row>
    <row r="506" spans="1:7" x14ac:dyDescent="0.25">
      <c r="A506" s="5"/>
      <c r="B506" s="283"/>
      <c r="C506" s="5"/>
      <c r="D506" s="5"/>
      <c r="E506" s="5"/>
      <c r="F506" s="5"/>
      <c r="G506" s="282"/>
    </row>
    <row r="507" spans="1:7" x14ac:dyDescent="0.25">
      <c r="A507" s="5"/>
      <c r="B507" s="283"/>
      <c r="C507" s="5"/>
      <c r="D507" s="5"/>
      <c r="E507" s="5"/>
      <c r="F507" s="5"/>
      <c r="G507" s="282"/>
    </row>
    <row r="508" spans="1:7" x14ac:dyDescent="0.25">
      <c r="A508" s="5"/>
      <c r="B508" s="283"/>
      <c r="C508" s="5"/>
      <c r="D508" s="5"/>
      <c r="E508" s="5"/>
      <c r="F508" s="5"/>
      <c r="G508" s="282"/>
    </row>
    <row r="509" spans="1:7" x14ac:dyDescent="0.25">
      <c r="A509" s="5"/>
      <c r="B509" s="283"/>
      <c r="C509" s="5"/>
      <c r="D509" s="5"/>
      <c r="E509" s="5"/>
      <c r="F509" s="5"/>
      <c r="G509" s="282"/>
    </row>
    <row r="510" spans="1:7" x14ac:dyDescent="0.25">
      <c r="A510" s="5"/>
      <c r="B510" s="283"/>
      <c r="C510" s="5"/>
      <c r="D510" s="5"/>
      <c r="E510" s="5"/>
      <c r="F510" s="5"/>
      <c r="G510" s="282"/>
    </row>
    <row r="511" spans="1:7" x14ac:dyDescent="0.25">
      <c r="A511" s="5"/>
      <c r="B511" s="283"/>
      <c r="C511" s="5"/>
      <c r="D511" s="5"/>
      <c r="E511" s="5"/>
      <c r="F511" s="5"/>
      <c r="G511" s="282"/>
    </row>
    <row r="512" spans="1:7" x14ac:dyDescent="0.25">
      <c r="A512" s="5"/>
      <c r="B512" s="283"/>
      <c r="C512" s="5"/>
      <c r="D512" s="5"/>
      <c r="E512" s="5"/>
      <c r="F512" s="5"/>
      <c r="G512" s="282"/>
    </row>
    <row r="513" spans="1:7" x14ac:dyDescent="0.25">
      <c r="A513" s="5"/>
      <c r="B513" s="283"/>
      <c r="C513" s="5"/>
      <c r="D513" s="5"/>
      <c r="E513" s="5"/>
      <c r="F513" s="5"/>
      <c r="G513" s="282"/>
    </row>
    <row r="514" spans="1:7" x14ac:dyDescent="0.25">
      <c r="A514" s="5"/>
      <c r="B514" s="283"/>
      <c r="C514" s="5"/>
      <c r="D514" s="5"/>
      <c r="E514" s="5"/>
      <c r="F514" s="5"/>
      <c r="G514" s="282"/>
    </row>
    <row r="515" spans="1:7" x14ac:dyDescent="0.25">
      <c r="A515" s="5"/>
      <c r="B515" s="283"/>
      <c r="C515" s="5"/>
      <c r="D515" s="5"/>
      <c r="E515" s="5"/>
      <c r="F515" s="5"/>
      <c r="G515" s="282"/>
    </row>
    <row r="516" spans="1:7" x14ac:dyDescent="0.25">
      <c r="A516" s="5"/>
      <c r="B516" s="283"/>
      <c r="C516" s="5"/>
      <c r="D516" s="5"/>
      <c r="E516" s="5"/>
      <c r="F516" s="5"/>
      <c r="G516" s="282"/>
    </row>
    <row r="517" spans="1:7" x14ac:dyDescent="0.25">
      <c r="A517" s="5"/>
      <c r="B517" s="283"/>
      <c r="C517" s="5"/>
      <c r="D517" s="5"/>
      <c r="E517" s="5"/>
      <c r="F517" s="5"/>
      <c r="G517" s="282"/>
    </row>
    <row r="518" spans="1:7" x14ac:dyDescent="0.25">
      <c r="A518" s="5"/>
      <c r="B518" s="283"/>
      <c r="C518" s="5"/>
      <c r="D518" s="5"/>
      <c r="E518" s="5"/>
      <c r="F518" s="5"/>
      <c r="G518" s="282"/>
    </row>
    <row r="519" spans="1:7" x14ac:dyDescent="0.25">
      <c r="A519" s="5"/>
      <c r="B519" s="283"/>
      <c r="C519" s="5"/>
      <c r="D519" s="5"/>
      <c r="E519" s="5"/>
      <c r="F519" s="5"/>
      <c r="G519" s="282"/>
    </row>
    <row r="520" spans="1:7" x14ac:dyDescent="0.25">
      <c r="A520" s="5"/>
      <c r="B520" s="283"/>
      <c r="C520" s="5"/>
      <c r="D520" s="5"/>
      <c r="E520" s="5"/>
      <c r="F520" s="5"/>
      <c r="G520" s="282"/>
    </row>
    <row r="521" spans="1:7" x14ac:dyDescent="0.25">
      <c r="A521" s="5"/>
      <c r="B521" s="283"/>
      <c r="C521" s="5"/>
      <c r="D521" s="5"/>
      <c r="E521" s="5"/>
      <c r="F521" s="5"/>
      <c r="G521" s="282"/>
    </row>
    <row r="522" spans="1:7" x14ac:dyDescent="0.25">
      <c r="A522" s="5"/>
      <c r="B522" s="283"/>
      <c r="C522" s="5"/>
      <c r="D522" s="5"/>
      <c r="E522" s="5"/>
      <c r="F522" s="5"/>
      <c r="G522" s="282"/>
    </row>
    <row r="523" spans="1:7" x14ac:dyDescent="0.25">
      <c r="A523" s="5"/>
      <c r="B523" s="283"/>
      <c r="C523" s="5"/>
      <c r="D523" s="5"/>
      <c r="E523" s="5"/>
      <c r="F523" s="5"/>
      <c r="G523" s="282"/>
    </row>
    <row r="524" spans="1:7" x14ac:dyDescent="0.25">
      <c r="A524" s="5"/>
      <c r="B524" s="283"/>
      <c r="C524" s="5"/>
      <c r="D524" s="5"/>
      <c r="E524" s="5"/>
      <c r="F524" s="5"/>
      <c r="G524" s="282"/>
    </row>
    <row r="525" spans="1:7" x14ac:dyDescent="0.25">
      <c r="A525" s="5"/>
      <c r="B525" s="283"/>
      <c r="C525" s="5"/>
      <c r="D525" s="5"/>
      <c r="E525" s="5"/>
      <c r="F525" s="5"/>
      <c r="G525" s="282"/>
    </row>
    <row r="526" spans="1:7" x14ac:dyDescent="0.25">
      <c r="A526" s="5"/>
      <c r="B526" s="283"/>
      <c r="C526" s="5"/>
      <c r="D526" s="5"/>
      <c r="E526" s="5"/>
      <c r="F526" s="5"/>
      <c r="G526" s="282"/>
    </row>
    <row r="527" spans="1:7" x14ac:dyDescent="0.25">
      <c r="A527" s="5"/>
      <c r="B527" s="283"/>
      <c r="C527" s="5"/>
      <c r="D527" s="5"/>
      <c r="E527" s="5"/>
      <c r="F527" s="5"/>
      <c r="G527" s="282"/>
    </row>
    <row r="528" spans="1:7" x14ac:dyDescent="0.25">
      <c r="A528" s="5"/>
      <c r="B528" s="283"/>
      <c r="C528" s="5"/>
      <c r="D528" s="5"/>
      <c r="E528" s="5"/>
      <c r="F528" s="5"/>
      <c r="G528" s="282"/>
    </row>
    <row r="529" spans="1:7" x14ac:dyDescent="0.25">
      <c r="A529" s="5"/>
      <c r="B529" s="283"/>
      <c r="C529" s="5"/>
      <c r="D529" s="5"/>
      <c r="E529" s="5"/>
      <c r="F529" s="5"/>
      <c r="G529" s="282"/>
    </row>
    <row r="530" spans="1:7" x14ac:dyDescent="0.25">
      <c r="A530" s="5"/>
      <c r="B530" s="283"/>
      <c r="C530" s="5"/>
      <c r="D530" s="5"/>
      <c r="E530" s="5"/>
      <c r="F530" s="5"/>
      <c r="G530" s="282"/>
    </row>
    <row r="531" spans="1:7" x14ac:dyDescent="0.25">
      <c r="A531" s="5"/>
      <c r="B531" s="283"/>
      <c r="C531" s="5"/>
      <c r="D531" s="5"/>
      <c r="E531" s="5"/>
      <c r="F531" s="5"/>
      <c r="G531" s="282"/>
    </row>
    <row r="532" spans="1:7" x14ac:dyDescent="0.25">
      <c r="A532" s="5"/>
      <c r="B532" s="283"/>
      <c r="C532" s="5"/>
      <c r="D532" s="5"/>
      <c r="E532" s="5"/>
      <c r="F532" s="5"/>
      <c r="G532" s="282"/>
    </row>
    <row r="533" spans="1:7" x14ac:dyDescent="0.25">
      <c r="A533" s="5"/>
      <c r="B533" s="283"/>
      <c r="C533" s="5"/>
      <c r="D533" s="5"/>
      <c r="E533" s="5"/>
      <c r="F533" s="5"/>
      <c r="G533" s="282"/>
    </row>
    <row r="534" spans="1:7" x14ac:dyDescent="0.25">
      <c r="A534" s="5"/>
      <c r="B534" s="283"/>
      <c r="C534" s="5"/>
      <c r="D534" s="5"/>
      <c r="E534" s="5"/>
      <c r="F534" s="5"/>
      <c r="G534" s="282"/>
    </row>
    <row r="535" spans="1:7" x14ac:dyDescent="0.25">
      <c r="A535" s="5"/>
      <c r="B535" s="283"/>
      <c r="C535" s="5"/>
      <c r="D535" s="5"/>
      <c r="E535" s="5"/>
      <c r="F535" s="5"/>
      <c r="G535" s="282"/>
    </row>
    <row r="536" spans="1:7" x14ac:dyDescent="0.25">
      <c r="A536" s="5"/>
      <c r="B536" s="283"/>
      <c r="C536" s="5"/>
      <c r="D536" s="5"/>
      <c r="E536" s="5"/>
      <c r="F536" s="5"/>
      <c r="G536" s="282"/>
    </row>
    <row r="537" spans="1:7" x14ac:dyDescent="0.25">
      <c r="A537" s="5"/>
      <c r="B537" s="283"/>
      <c r="C537" s="5"/>
      <c r="D537" s="5"/>
      <c r="E537" s="5"/>
      <c r="F537" s="5"/>
      <c r="G537" s="282"/>
    </row>
    <row r="538" spans="1:7" x14ac:dyDescent="0.25">
      <c r="A538" s="5"/>
      <c r="B538" s="283"/>
      <c r="C538" s="5"/>
      <c r="D538" s="5"/>
      <c r="E538" s="5"/>
      <c r="F538" s="5"/>
      <c r="G538" s="282"/>
    </row>
    <row r="539" spans="1:7" x14ac:dyDescent="0.25">
      <c r="A539" s="5"/>
      <c r="B539" s="283"/>
      <c r="C539" s="5"/>
      <c r="D539" s="5"/>
      <c r="E539" s="5"/>
      <c r="F539" s="5"/>
      <c r="G539" s="282"/>
    </row>
    <row r="540" spans="1:7" x14ac:dyDescent="0.25">
      <c r="A540" s="5"/>
      <c r="B540" s="283"/>
      <c r="C540" s="5"/>
      <c r="D540" s="5"/>
      <c r="E540" s="5"/>
      <c r="F540" s="5"/>
      <c r="G540" s="282"/>
    </row>
    <row r="541" spans="1:7" x14ac:dyDescent="0.25">
      <c r="A541" s="5"/>
      <c r="B541" s="283"/>
      <c r="C541" s="5"/>
      <c r="D541" s="5"/>
      <c r="E541" s="5"/>
      <c r="F541" s="5"/>
      <c r="G541" s="282"/>
    </row>
    <row r="542" spans="1:7" x14ac:dyDescent="0.25">
      <c r="A542" s="5"/>
      <c r="B542" s="283"/>
      <c r="C542" s="5"/>
      <c r="D542" s="5"/>
      <c r="E542" s="5"/>
      <c r="F542" s="5"/>
      <c r="G542" s="282"/>
    </row>
    <row r="543" spans="1:7" x14ac:dyDescent="0.25">
      <c r="A543" s="5"/>
      <c r="B543" s="283"/>
      <c r="C543" s="5"/>
      <c r="D543" s="5"/>
      <c r="E543" s="5"/>
      <c r="F543" s="5"/>
      <c r="G543" s="282"/>
    </row>
    <row r="544" spans="1:7" x14ac:dyDescent="0.25">
      <c r="A544" s="5"/>
      <c r="B544" s="283"/>
      <c r="C544" s="5"/>
      <c r="D544" s="5"/>
      <c r="E544" s="5"/>
      <c r="F544" s="5"/>
      <c r="G544" s="282"/>
    </row>
    <row r="545" spans="1:7" x14ac:dyDescent="0.25">
      <c r="A545" s="5"/>
      <c r="B545" s="283"/>
      <c r="C545" s="5"/>
      <c r="D545" s="5"/>
      <c r="E545" s="5"/>
      <c r="F545" s="5"/>
      <c r="G545" s="282"/>
    </row>
    <row r="546" spans="1:7" x14ac:dyDescent="0.25">
      <c r="A546" s="5"/>
      <c r="B546" s="283"/>
      <c r="C546" s="5"/>
      <c r="D546" s="5"/>
      <c r="E546" s="5"/>
      <c r="F546" s="5"/>
      <c r="G546" s="282"/>
    </row>
    <row r="547" spans="1:7" x14ac:dyDescent="0.25">
      <c r="A547" s="5"/>
      <c r="B547" s="283"/>
      <c r="C547" s="5"/>
      <c r="D547" s="5"/>
      <c r="E547" s="5"/>
      <c r="F547" s="5"/>
      <c r="G547" s="282"/>
    </row>
    <row r="548" spans="1:7" x14ac:dyDescent="0.25">
      <c r="A548" s="5"/>
      <c r="B548" s="283"/>
      <c r="C548" s="5"/>
      <c r="D548" s="5"/>
      <c r="E548" s="5"/>
      <c r="F548" s="5"/>
      <c r="G548" s="282"/>
    </row>
    <row r="549" spans="1:7" x14ac:dyDescent="0.25">
      <c r="A549" s="5"/>
      <c r="B549" s="283"/>
      <c r="C549" s="5"/>
      <c r="D549" s="5"/>
      <c r="E549" s="5"/>
      <c r="F549" s="5"/>
      <c r="G549" s="282"/>
    </row>
    <row r="550" spans="1:7" x14ac:dyDescent="0.25">
      <c r="A550" s="5"/>
      <c r="B550" s="283"/>
      <c r="C550" s="5"/>
      <c r="D550" s="5"/>
      <c r="E550" s="5"/>
      <c r="F550" s="5"/>
      <c r="G550" s="282"/>
    </row>
    <row r="551" spans="1:7" x14ac:dyDescent="0.25">
      <c r="A551" s="5"/>
      <c r="B551" s="283"/>
      <c r="C551" s="5"/>
      <c r="D551" s="5"/>
      <c r="E551" s="5"/>
      <c r="F551" s="5"/>
      <c r="G551" s="282"/>
    </row>
    <row r="552" spans="1:7" x14ac:dyDescent="0.25">
      <c r="A552" s="5"/>
      <c r="B552" s="283"/>
      <c r="C552" s="5"/>
      <c r="D552" s="5"/>
      <c r="E552" s="5"/>
      <c r="F552" s="5"/>
      <c r="G552" s="282"/>
    </row>
    <row r="553" spans="1:7" x14ac:dyDescent="0.25">
      <c r="A553" s="5"/>
      <c r="B553" s="283"/>
      <c r="C553" s="5"/>
      <c r="D553" s="5"/>
      <c r="E553" s="5"/>
      <c r="F553" s="5"/>
      <c r="G553" s="282"/>
    </row>
    <row r="554" spans="1:7" x14ac:dyDescent="0.25">
      <c r="A554" s="5"/>
      <c r="B554" s="283"/>
      <c r="C554" s="5"/>
      <c r="D554" s="5"/>
      <c r="E554" s="5"/>
      <c r="F554" s="5"/>
      <c r="G554" s="282"/>
    </row>
    <row r="555" spans="1:7" x14ac:dyDescent="0.25">
      <c r="A555" s="5"/>
      <c r="B555" s="283"/>
      <c r="C555" s="5"/>
      <c r="D555" s="5"/>
      <c r="E555" s="5"/>
      <c r="F555" s="5"/>
      <c r="G555" s="282"/>
    </row>
    <row r="556" spans="1:7" x14ac:dyDescent="0.25">
      <c r="A556" s="5"/>
      <c r="B556" s="283"/>
      <c r="C556" s="5"/>
      <c r="D556" s="5"/>
      <c r="E556" s="5"/>
      <c r="F556" s="5"/>
      <c r="G556" s="282"/>
    </row>
    <row r="557" spans="1:7" x14ac:dyDescent="0.25">
      <c r="A557" s="5"/>
      <c r="B557" s="283"/>
      <c r="C557" s="5"/>
      <c r="D557" s="5"/>
      <c r="E557" s="5"/>
      <c r="F557" s="5"/>
      <c r="G557" s="282"/>
    </row>
    <row r="558" spans="1:7" x14ac:dyDescent="0.25">
      <c r="A558" s="5"/>
      <c r="B558" s="283"/>
      <c r="C558" s="5"/>
      <c r="D558" s="5"/>
      <c r="E558" s="5"/>
      <c r="F558" s="5"/>
      <c r="G558" s="282"/>
    </row>
    <row r="559" spans="1:7" x14ac:dyDescent="0.25">
      <c r="A559" s="5"/>
      <c r="B559" s="283"/>
      <c r="C559" s="5"/>
      <c r="D559" s="5"/>
      <c r="E559" s="5"/>
      <c r="F559" s="5"/>
      <c r="G559" s="282"/>
    </row>
    <row r="560" spans="1:7" x14ac:dyDescent="0.25">
      <c r="A560" s="5"/>
      <c r="B560" s="283"/>
      <c r="C560" s="5"/>
      <c r="D560" s="5"/>
      <c r="E560" s="5"/>
      <c r="F560" s="5"/>
      <c r="G560" s="282"/>
    </row>
    <row r="561" spans="1:7" x14ac:dyDescent="0.25">
      <c r="A561" s="5"/>
      <c r="B561" s="283"/>
      <c r="C561" s="5"/>
      <c r="D561" s="5"/>
      <c r="E561" s="5"/>
      <c r="F561" s="5"/>
      <c r="G561" s="282"/>
    </row>
    <row r="562" spans="1:7" x14ac:dyDescent="0.25">
      <c r="A562" s="5"/>
      <c r="B562" s="283"/>
      <c r="C562" s="5"/>
      <c r="D562" s="5"/>
      <c r="E562" s="5"/>
      <c r="F562" s="5"/>
      <c r="G562" s="282"/>
    </row>
    <row r="563" spans="1:7" x14ac:dyDescent="0.25">
      <c r="A563" s="5"/>
      <c r="B563" s="283"/>
      <c r="C563" s="5"/>
      <c r="D563" s="5"/>
      <c r="E563" s="5"/>
      <c r="F563" s="5"/>
      <c r="G563" s="282"/>
    </row>
    <row r="564" spans="1:7" x14ac:dyDescent="0.25">
      <c r="A564" s="5"/>
      <c r="B564" s="283"/>
      <c r="C564" s="5"/>
      <c r="D564" s="5"/>
      <c r="E564" s="5"/>
      <c r="F564" s="5"/>
      <c r="G564" s="282"/>
    </row>
    <row r="565" spans="1:7" x14ac:dyDescent="0.25">
      <c r="A565" s="5"/>
      <c r="B565" s="283"/>
      <c r="C565" s="5"/>
      <c r="D565" s="5"/>
      <c r="E565" s="5"/>
      <c r="F565" s="5"/>
      <c r="G565" s="282"/>
    </row>
    <row r="566" spans="1:7" x14ac:dyDescent="0.25">
      <c r="A566" s="5"/>
      <c r="B566" s="283"/>
      <c r="C566" s="5"/>
      <c r="D566" s="5"/>
      <c r="E566" s="5"/>
      <c r="F566" s="5"/>
      <c r="G566" s="282"/>
    </row>
    <row r="567" spans="1:7" x14ac:dyDescent="0.25">
      <c r="A567" s="5"/>
      <c r="B567" s="283"/>
      <c r="C567" s="5"/>
      <c r="D567" s="5"/>
      <c r="E567" s="5"/>
      <c r="F567" s="5"/>
      <c r="G567" s="282"/>
    </row>
    <row r="568" spans="1:7" x14ac:dyDescent="0.25">
      <c r="A568" s="5"/>
      <c r="B568" s="283"/>
      <c r="C568" s="5"/>
      <c r="D568" s="5"/>
      <c r="E568" s="5"/>
      <c r="F568" s="5"/>
      <c r="G568" s="282"/>
    </row>
    <row r="569" spans="1:7" x14ac:dyDescent="0.25">
      <c r="A569" s="5"/>
      <c r="B569" s="283"/>
      <c r="C569" s="5"/>
      <c r="D569" s="5"/>
      <c r="E569" s="5"/>
      <c r="F569" s="5"/>
      <c r="G569" s="282"/>
    </row>
    <row r="570" spans="1:7" x14ac:dyDescent="0.25">
      <c r="A570" s="5"/>
      <c r="B570" s="283"/>
      <c r="C570" s="5"/>
      <c r="D570" s="5"/>
      <c r="E570" s="5"/>
      <c r="F570" s="5"/>
      <c r="G570" s="282"/>
    </row>
    <row r="571" spans="1:7" x14ac:dyDescent="0.25">
      <c r="A571" s="5"/>
      <c r="B571" s="283"/>
      <c r="C571" s="5"/>
      <c r="D571" s="5"/>
      <c r="E571" s="5"/>
      <c r="F571" s="5"/>
      <c r="G571" s="282"/>
    </row>
    <row r="572" spans="1:7" x14ac:dyDescent="0.25">
      <c r="A572" s="5"/>
      <c r="B572" s="283"/>
      <c r="C572" s="5"/>
      <c r="D572" s="5"/>
      <c r="E572" s="5"/>
      <c r="F572" s="5"/>
      <c r="G572" s="282"/>
    </row>
    <row r="573" spans="1:7" x14ac:dyDescent="0.25">
      <c r="A573" s="5"/>
      <c r="B573" s="283"/>
      <c r="C573" s="5"/>
      <c r="D573" s="5"/>
      <c r="E573" s="5"/>
      <c r="F573" s="5"/>
      <c r="G573" s="282"/>
    </row>
    <row r="574" spans="1:7" x14ac:dyDescent="0.25">
      <c r="A574" s="5"/>
      <c r="B574" s="283"/>
      <c r="C574" s="5"/>
      <c r="D574" s="5"/>
      <c r="E574" s="5"/>
      <c r="F574" s="5"/>
      <c r="G574" s="282"/>
    </row>
    <row r="575" spans="1:7" x14ac:dyDescent="0.25">
      <c r="A575" s="5"/>
      <c r="B575" s="283"/>
      <c r="C575" s="5"/>
      <c r="D575" s="5"/>
      <c r="E575" s="5"/>
      <c r="F575" s="5"/>
      <c r="G575" s="282"/>
    </row>
    <row r="576" spans="1:7" x14ac:dyDescent="0.25">
      <c r="A576" s="5"/>
      <c r="B576" s="283"/>
      <c r="C576" s="5"/>
      <c r="D576" s="5"/>
      <c r="E576" s="5"/>
      <c r="F576" s="5"/>
      <c r="G576" s="282"/>
    </row>
    <row r="577" spans="1:7" x14ac:dyDescent="0.25">
      <c r="A577" s="5"/>
      <c r="B577" s="283"/>
      <c r="C577" s="5"/>
      <c r="D577" s="5"/>
      <c r="E577" s="5"/>
      <c r="F577" s="5"/>
      <c r="G577" s="282"/>
    </row>
    <row r="578" spans="1:7" x14ac:dyDescent="0.25">
      <c r="A578" s="5"/>
      <c r="B578" s="283"/>
      <c r="C578" s="5"/>
      <c r="D578" s="5"/>
      <c r="E578" s="5"/>
      <c r="F578" s="5"/>
      <c r="G578" s="282"/>
    </row>
    <row r="579" spans="1:7" x14ac:dyDescent="0.25">
      <c r="A579" s="5"/>
      <c r="B579" s="283"/>
      <c r="C579" s="5"/>
      <c r="D579" s="5"/>
      <c r="E579" s="5"/>
      <c r="F579" s="5"/>
      <c r="G579" s="282"/>
    </row>
    <row r="580" spans="1:7" x14ac:dyDescent="0.25">
      <c r="A580" s="5"/>
      <c r="B580" s="283"/>
      <c r="C580" s="5"/>
      <c r="D580" s="5"/>
      <c r="E580" s="5"/>
      <c r="F580" s="5"/>
      <c r="G580" s="282"/>
    </row>
    <row r="581" spans="1:7" x14ac:dyDescent="0.25">
      <c r="A581" s="5"/>
      <c r="B581" s="283"/>
      <c r="C581" s="5"/>
      <c r="D581" s="5"/>
      <c r="E581" s="5"/>
      <c r="F581" s="5"/>
      <c r="G581" s="282"/>
    </row>
    <row r="582" spans="1:7" x14ac:dyDescent="0.25">
      <c r="A582" s="5"/>
      <c r="B582" s="283"/>
      <c r="C582" s="5"/>
      <c r="D582" s="5"/>
      <c r="E582" s="5"/>
      <c r="F582" s="5"/>
      <c r="G582" s="282"/>
    </row>
    <row r="583" spans="1:7" x14ac:dyDescent="0.25">
      <c r="A583" s="5"/>
      <c r="B583" s="283"/>
      <c r="C583" s="5"/>
      <c r="D583" s="5"/>
      <c r="E583" s="5"/>
      <c r="F583" s="5"/>
      <c r="G583" s="282"/>
    </row>
    <row r="584" spans="1:7" x14ac:dyDescent="0.25">
      <c r="A584" s="5"/>
      <c r="B584" s="283"/>
      <c r="C584" s="5"/>
      <c r="D584" s="5"/>
      <c r="E584" s="5"/>
      <c r="F584" s="5"/>
      <c r="G584" s="282"/>
    </row>
    <row r="585" spans="1:7" x14ac:dyDescent="0.25">
      <c r="A585" s="5"/>
      <c r="B585" s="283"/>
      <c r="C585" s="5"/>
      <c r="D585" s="5"/>
      <c r="E585" s="5"/>
      <c r="F585" s="5"/>
      <c r="G585" s="282"/>
    </row>
    <row r="586" spans="1:7" x14ac:dyDescent="0.25">
      <c r="A586" s="5"/>
      <c r="B586" s="283"/>
      <c r="C586" s="5"/>
      <c r="D586" s="5"/>
      <c r="E586" s="5"/>
      <c r="F586" s="5"/>
      <c r="G586" s="282"/>
    </row>
    <row r="587" spans="1:7" x14ac:dyDescent="0.25">
      <c r="A587" s="5"/>
      <c r="B587" s="283"/>
      <c r="C587" s="5"/>
      <c r="D587" s="5"/>
      <c r="E587" s="5"/>
      <c r="F587" s="5"/>
      <c r="G587" s="282"/>
    </row>
    <row r="588" spans="1:7" x14ac:dyDescent="0.25">
      <c r="A588" s="5"/>
      <c r="B588" s="283"/>
      <c r="C588" s="5"/>
      <c r="D588" s="5"/>
      <c r="E588" s="5"/>
      <c r="F588" s="5"/>
      <c r="G588" s="282"/>
    </row>
    <row r="589" spans="1:7" x14ac:dyDescent="0.25">
      <c r="A589" s="5"/>
      <c r="B589" s="283"/>
      <c r="C589" s="5"/>
      <c r="D589" s="5"/>
      <c r="E589" s="5"/>
      <c r="F589" s="5"/>
      <c r="G589" s="282"/>
    </row>
    <row r="590" spans="1:7" x14ac:dyDescent="0.25">
      <c r="A590" s="5"/>
      <c r="B590" s="283"/>
      <c r="C590" s="5"/>
      <c r="D590" s="5"/>
      <c r="E590" s="5"/>
      <c r="F590" s="5"/>
      <c r="G590" s="282"/>
    </row>
    <row r="591" spans="1:7" x14ac:dyDescent="0.25">
      <c r="A591" s="5"/>
      <c r="B591" s="283"/>
      <c r="C591" s="5"/>
      <c r="D591" s="5"/>
      <c r="E591" s="5"/>
      <c r="F591" s="5"/>
      <c r="G591" s="282"/>
    </row>
    <row r="592" spans="1:7" x14ac:dyDescent="0.25">
      <c r="A592" s="5"/>
      <c r="B592" s="283"/>
      <c r="C592" s="5"/>
      <c r="D592" s="5"/>
      <c r="E592" s="5"/>
      <c r="F592" s="5"/>
      <c r="G592" s="282"/>
    </row>
    <row r="593" spans="1:7" x14ac:dyDescent="0.25">
      <c r="A593" s="5"/>
      <c r="B593" s="283"/>
      <c r="C593" s="5"/>
      <c r="D593" s="5"/>
      <c r="E593" s="5"/>
      <c r="F593" s="5"/>
      <c r="G593" s="282"/>
    </row>
    <row r="594" spans="1:7" x14ac:dyDescent="0.25">
      <c r="A594" s="5"/>
      <c r="B594" s="283"/>
      <c r="C594" s="5"/>
      <c r="D594" s="5"/>
      <c r="E594" s="5"/>
      <c r="F594" s="5"/>
      <c r="G594" s="282"/>
    </row>
    <row r="595" spans="1:7" x14ac:dyDescent="0.25">
      <c r="A595" s="5"/>
      <c r="B595" s="283"/>
      <c r="C595" s="5"/>
      <c r="D595" s="5"/>
      <c r="E595" s="5"/>
      <c r="F595" s="5"/>
      <c r="G595" s="282"/>
    </row>
    <row r="596" spans="1:7" x14ac:dyDescent="0.25">
      <c r="A596" s="5"/>
      <c r="B596" s="283"/>
      <c r="C596" s="5"/>
      <c r="D596" s="5"/>
      <c r="E596" s="5"/>
      <c r="F596" s="5"/>
      <c r="G596" s="282"/>
    </row>
    <row r="597" spans="1:7" x14ac:dyDescent="0.25">
      <c r="A597" s="5"/>
      <c r="B597" s="283"/>
      <c r="C597" s="5"/>
      <c r="D597" s="5"/>
      <c r="E597" s="5"/>
      <c r="F597" s="5"/>
      <c r="G597" s="282"/>
    </row>
    <row r="598" spans="1:7" x14ac:dyDescent="0.25">
      <c r="A598" s="5"/>
      <c r="B598" s="283"/>
      <c r="C598" s="5"/>
      <c r="D598" s="5"/>
      <c r="E598" s="5"/>
      <c r="F598" s="5"/>
      <c r="G598" s="282"/>
    </row>
    <row r="599" spans="1:7" x14ac:dyDescent="0.25">
      <c r="A599" s="5"/>
      <c r="B599" s="283"/>
      <c r="C599" s="5"/>
      <c r="D599" s="5"/>
      <c r="E599" s="5"/>
      <c r="F599" s="5"/>
      <c r="G599" s="282"/>
    </row>
    <row r="600" spans="1:7" x14ac:dyDescent="0.25">
      <c r="A600" s="5"/>
      <c r="B600" s="283"/>
      <c r="C600" s="5"/>
      <c r="D600" s="5"/>
      <c r="E600" s="5"/>
      <c r="F600" s="5"/>
      <c r="G600" s="282"/>
    </row>
    <row r="601" spans="1:7" x14ac:dyDescent="0.25">
      <c r="A601" s="5"/>
      <c r="B601" s="283"/>
      <c r="C601" s="5"/>
      <c r="D601" s="5"/>
      <c r="E601" s="5"/>
      <c r="F601" s="5"/>
      <c r="G601" s="282"/>
    </row>
    <row r="602" spans="1:7" x14ac:dyDescent="0.25">
      <c r="A602" s="5"/>
      <c r="B602" s="283"/>
      <c r="C602" s="5"/>
      <c r="D602" s="5"/>
      <c r="E602" s="5"/>
      <c r="F602" s="5"/>
      <c r="G602" s="282"/>
    </row>
    <row r="603" spans="1:7" x14ac:dyDescent="0.25">
      <c r="A603" s="5"/>
      <c r="B603" s="283"/>
      <c r="C603" s="5"/>
      <c r="D603" s="5"/>
      <c r="E603" s="5"/>
      <c r="F603" s="5"/>
      <c r="G603" s="282"/>
    </row>
    <row r="604" spans="1:7" x14ac:dyDescent="0.25">
      <c r="A604" s="5"/>
      <c r="B604" s="283"/>
      <c r="C604" s="5"/>
      <c r="D604" s="5"/>
      <c r="E604" s="5"/>
      <c r="F604" s="5"/>
      <c r="G604" s="282"/>
    </row>
    <row r="605" spans="1:7" x14ac:dyDescent="0.25">
      <c r="A605" s="5"/>
      <c r="B605" s="283"/>
      <c r="C605" s="5"/>
      <c r="D605" s="5"/>
      <c r="E605" s="5"/>
      <c r="F605" s="5"/>
      <c r="G605" s="282"/>
    </row>
    <row r="606" spans="1:7" x14ac:dyDescent="0.25">
      <c r="A606" s="5"/>
      <c r="B606" s="283"/>
      <c r="C606" s="5"/>
      <c r="D606" s="5"/>
      <c r="E606" s="5"/>
      <c r="F606" s="5"/>
      <c r="G606" s="282"/>
    </row>
    <row r="607" spans="1:7" x14ac:dyDescent="0.25">
      <c r="A607" s="5"/>
      <c r="B607" s="283"/>
      <c r="C607" s="5"/>
      <c r="D607" s="5"/>
      <c r="E607" s="5"/>
      <c r="F607" s="5"/>
      <c r="G607" s="282"/>
    </row>
    <row r="608" spans="1:7" x14ac:dyDescent="0.25">
      <c r="A608" s="5"/>
      <c r="B608" s="283"/>
      <c r="C608" s="5"/>
      <c r="D608" s="5"/>
      <c r="E608" s="5"/>
      <c r="F608" s="5"/>
      <c r="G608" s="282"/>
    </row>
    <row r="609" spans="1:7" x14ac:dyDescent="0.25">
      <c r="A609" s="5"/>
      <c r="B609" s="283"/>
      <c r="C609" s="5"/>
      <c r="D609" s="5"/>
      <c r="E609" s="5"/>
      <c r="F609" s="5"/>
      <c r="G609" s="282"/>
    </row>
    <row r="610" spans="1:7" x14ac:dyDescent="0.25">
      <c r="A610" s="5"/>
      <c r="B610" s="283"/>
      <c r="C610" s="5"/>
      <c r="D610" s="5"/>
      <c r="E610" s="5"/>
      <c r="F610" s="5"/>
      <c r="G610" s="282"/>
    </row>
    <row r="611" spans="1:7" x14ac:dyDescent="0.25">
      <c r="A611" s="5"/>
      <c r="B611" s="283"/>
      <c r="C611" s="5"/>
      <c r="D611" s="5"/>
      <c r="E611" s="5"/>
      <c r="F611" s="5"/>
      <c r="G611" s="282"/>
    </row>
    <row r="612" spans="1:7" x14ac:dyDescent="0.25">
      <c r="A612" s="5"/>
      <c r="B612" s="283"/>
      <c r="C612" s="5"/>
      <c r="D612" s="5"/>
      <c r="E612" s="5"/>
      <c r="F612" s="5"/>
      <c r="G612" s="282"/>
    </row>
    <row r="613" spans="1:7" x14ac:dyDescent="0.25">
      <c r="A613" s="5"/>
      <c r="B613" s="283"/>
      <c r="C613" s="5"/>
      <c r="D613" s="5"/>
      <c r="E613" s="5"/>
      <c r="F613" s="5"/>
      <c r="G613" s="282"/>
    </row>
    <row r="614" spans="1:7" x14ac:dyDescent="0.25">
      <c r="A614" s="5"/>
      <c r="B614" s="283"/>
      <c r="C614" s="5"/>
      <c r="D614" s="5"/>
      <c r="E614" s="5"/>
      <c r="F614" s="5"/>
      <c r="G614" s="282"/>
    </row>
    <row r="615" spans="1:7" x14ac:dyDescent="0.25">
      <c r="A615" s="5"/>
      <c r="B615" s="283"/>
      <c r="C615" s="5"/>
      <c r="D615" s="5"/>
      <c r="E615" s="5"/>
      <c r="F615" s="5"/>
      <c r="G615" s="282"/>
    </row>
    <row r="616" spans="1:7" x14ac:dyDescent="0.25">
      <c r="A616" s="5"/>
      <c r="B616" s="283"/>
      <c r="C616" s="5"/>
      <c r="D616" s="5"/>
      <c r="E616" s="5"/>
      <c r="F616" s="5"/>
      <c r="G616" s="282"/>
    </row>
    <row r="617" spans="1:7" x14ac:dyDescent="0.25">
      <c r="A617" s="5"/>
      <c r="B617" s="283"/>
      <c r="C617" s="5"/>
      <c r="D617" s="5"/>
      <c r="E617" s="5"/>
      <c r="F617" s="5"/>
      <c r="G617" s="282"/>
    </row>
    <row r="618" spans="1:7" x14ac:dyDescent="0.25">
      <c r="A618" s="5"/>
      <c r="B618" s="283"/>
      <c r="C618" s="5"/>
      <c r="D618" s="5"/>
      <c r="E618" s="5"/>
      <c r="F618" s="5"/>
      <c r="G618" s="282"/>
    </row>
    <row r="619" spans="1:7" x14ac:dyDescent="0.25">
      <c r="A619" s="5"/>
      <c r="B619" s="283"/>
      <c r="C619" s="5"/>
      <c r="D619" s="5"/>
      <c r="E619" s="5"/>
      <c r="F619" s="5"/>
      <c r="G619" s="282"/>
    </row>
    <row r="620" spans="1:7" x14ac:dyDescent="0.25">
      <c r="A620" s="5"/>
      <c r="B620" s="283"/>
      <c r="C620" s="5"/>
      <c r="D620" s="5"/>
      <c r="E620" s="5"/>
      <c r="F620" s="5"/>
      <c r="G620" s="282"/>
    </row>
    <row r="621" spans="1:7" x14ac:dyDescent="0.25">
      <c r="A621" s="5"/>
      <c r="B621" s="283"/>
      <c r="C621" s="5"/>
      <c r="D621" s="5"/>
      <c r="E621" s="5"/>
      <c r="F621" s="5"/>
      <c r="G621" s="282"/>
    </row>
    <row r="622" spans="1:7" x14ac:dyDescent="0.25">
      <c r="A622" s="5"/>
      <c r="B622" s="283"/>
      <c r="C622" s="5"/>
      <c r="D622" s="5"/>
      <c r="E622" s="5"/>
      <c r="F622" s="5"/>
      <c r="G622" s="282"/>
    </row>
    <row r="623" spans="1:7" x14ac:dyDescent="0.25">
      <c r="A623" s="5"/>
      <c r="B623" s="283"/>
      <c r="C623" s="5"/>
      <c r="D623" s="5"/>
      <c r="E623" s="5"/>
      <c r="F623" s="5"/>
      <c r="G623" s="282"/>
    </row>
    <row r="624" spans="1:7" x14ac:dyDescent="0.25">
      <c r="A624" s="5"/>
      <c r="B624" s="283"/>
      <c r="C624" s="5"/>
      <c r="D624" s="5"/>
      <c r="E624" s="5"/>
      <c r="F624" s="5"/>
      <c r="G624" s="282"/>
    </row>
    <row r="625" spans="1:7" x14ac:dyDescent="0.25">
      <c r="A625" s="5"/>
      <c r="B625" s="283"/>
      <c r="C625" s="5"/>
      <c r="D625" s="5"/>
      <c r="E625" s="5"/>
      <c r="F625" s="5"/>
      <c r="G625" s="282"/>
    </row>
    <row r="626" spans="1:7" x14ac:dyDescent="0.25">
      <c r="A626" s="5"/>
      <c r="B626" s="283"/>
      <c r="C626" s="5"/>
      <c r="D626" s="5"/>
      <c r="E626" s="5"/>
      <c r="F626" s="5"/>
      <c r="G626" s="282"/>
    </row>
    <row r="627" spans="1:7" x14ac:dyDescent="0.25">
      <c r="A627" s="5"/>
      <c r="B627" s="283"/>
      <c r="C627" s="5"/>
      <c r="D627" s="5"/>
      <c r="E627" s="5"/>
      <c r="F627" s="5"/>
      <c r="G627" s="282"/>
    </row>
    <row r="628" spans="1:7" x14ac:dyDescent="0.25">
      <c r="A628" s="5"/>
      <c r="B628" s="283"/>
      <c r="C628" s="5"/>
      <c r="D628" s="5"/>
      <c r="E628" s="5"/>
      <c r="F628" s="5"/>
      <c r="G628" s="282"/>
    </row>
    <row r="629" spans="1:7" x14ac:dyDescent="0.25">
      <c r="A629" s="5"/>
      <c r="B629" s="283"/>
      <c r="C629" s="5"/>
      <c r="D629" s="5"/>
      <c r="E629" s="5"/>
      <c r="F629" s="5"/>
      <c r="G629" s="282"/>
    </row>
    <row r="630" spans="1:7" x14ac:dyDescent="0.25">
      <c r="A630" s="5"/>
      <c r="B630" s="283"/>
      <c r="C630" s="5"/>
      <c r="D630" s="5"/>
      <c r="E630" s="5"/>
      <c r="F630" s="5"/>
      <c r="G630" s="282"/>
    </row>
    <row r="631" spans="1:7" x14ac:dyDescent="0.25">
      <c r="A631" s="5"/>
      <c r="B631" s="283"/>
      <c r="C631" s="5"/>
      <c r="D631" s="5"/>
      <c r="E631" s="5"/>
      <c r="F631" s="5"/>
      <c r="G631" s="282"/>
    </row>
    <row r="632" spans="1:7" x14ac:dyDescent="0.25">
      <c r="A632" s="5"/>
      <c r="B632" s="283"/>
      <c r="C632" s="5"/>
      <c r="D632" s="5"/>
      <c r="E632" s="5"/>
      <c r="F632" s="5"/>
      <c r="G632" s="282"/>
    </row>
    <row r="633" spans="1:7" x14ac:dyDescent="0.25">
      <c r="A633" s="5"/>
      <c r="B633" s="283"/>
      <c r="C633" s="5"/>
      <c r="D633" s="5"/>
      <c r="E633" s="5"/>
      <c r="F633" s="5"/>
      <c r="G633" s="282"/>
    </row>
    <row r="634" spans="1:7" x14ac:dyDescent="0.25">
      <c r="A634" s="5"/>
      <c r="B634" s="283"/>
      <c r="C634" s="5"/>
      <c r="D634" s="5"/>
      <c r="E634" s="5"/>
      <c r="F634" s="5"/>
      <c r="G634" s="282"/>
    </row>
    <row r="635" spans="1:7" x14ac:dyDescent="0.25">
      <c r="A635" s="5"/>
      <c r="B635" s="283"/>
      <c r="C635" s="5"/>
      <c r="D635" s="5"/>
      <c r="E635" s="5"/>
      <c r="F635" s="5"/>
      <c r="G635" s="282"/>
    </row>
    <row r="636" spans="1:7" x14ac:dyDescent="0.25">
      <c r="A636" s="5"/>
      <c r="B636" s="283"/>
      <c r="C636" s="5"/>
      <c r="D636" s="5"/>
      <c r="E636" s="5"/>
      <c r="F636" s="5"/>
      <c r="G636" s="282"/>
    </row>
    <row r="637" spans="1:7" x14ac:dyDescent="0.25">
      <c r="A637" s="5"/>
      <c r="B637" s="283"/>
      <c r="C637" s="5"/>
      <c r="D637" s="5"/>
      <c r="E637" s="5"/>
      <c r="F637" s="5"/>
      <c r="G637" s="282"/>
    </row>
    <row r="638" spans="1:7" x14ac:dyDescent="0.25">
      <c r="A638" s="5"/>
      <c r="B638" s="283"/>
      <c r="C638" s="5"/>
      <c r="D638" s="5"/>
      <c r="E638" s="5"/>
      <c r="F638" s="5"/>
      <c r="G638" s="282"/>
    </row>
    <row r="639" spans="1:7" x14ac:dyDescent="0.25">
      <c r="A639" s="5"/>
      <c r="B639" s="283"/>
      <c r="C639" s="5"/>
      <c r="D639" s="5"/>
      <c r="E639" s="5"/>
      <c r="F639" s="5"/>
      <c r="G639" s="282"/>
    </row>
    <row r="640" spans="1:7" x14ac:dyDescent="0.25">
      <c r="A640" s="5"/>
      <c r="B640" s="283"/>
      <c r="C640" s="5"/>
      <c r="D640" s="5"/>
      <c r="E640" s="5"/>
      <c r="F640" s="5"/>
      <c r="G640" s="282"/>
    </row>
    <row r="641" spans="1:7" x14ac:dyDescent="0.25">
      <c r="A641" s="5"/>
      <c r="B641" s="283"/>
      <c r="C641" s="5"/>
      <c r="D641" s="5"/>
      <c r="E641" s="5"/>
      <c r="F641" s="5"/>
      <c r="G641" s="282"/>
    </row>
    <row r="642" spans="1:7" x14ac:dyDescent="0.25">
      <c r="A642" s="5"/>
      <c r="B642" s="283"/>
      <c r="C642" s="5"/>
      <c r="D642" s="5"/>
      <c r="E642" s="5"/>
      <c r="F642" s="5"/>
      <c r="G642" s="282"/>
    </row>
    <row r="643" spans="1:7" x14ac:dyDescent="0.25">
      <c r="A643" s="5"/>
      <c r="B643" s="283"/>
      <c r="C643" s="5"/>
      <c r="D643" s="5"/>
      <c r="E643" s="5"/>
      <c r="F643" s="5"/>
      <c r="G643" s="282"/>
    </row>
    <row r="644" spans="1:7" x14ac:dyDescent="0.25">
      <c r="A644" s="5"/>
      <c r="B644" s="283"/>
      <c r="C644" s="5"/>
      <c r="D644" s="5"/>
      <c r="E644" s="5"/>
      <c r="F644" s="5"/>
      <c r="G644" s="282"/>
    </row>
    <row r="645" spans="1:7" x14ac:dyDescent="0.25">
      <c r="A645" s="5"/>
      <c r="B645" s="283"/>
      <c r="C645" s="5"/>
      <c r="D645" s="5"/>
      <c r="E645" s="5"/>
      <c r="F645" s="5"/>
      <c r="G645" s="282"/>
    </row>
    <row r="646" spans="1:7" x14ac:dyDescent="0.25">
      <c r="A646" s="5"/>
      <c r="B646" s="283"/>
      <c r="C646" s="5"/>
      <c r="D646" s="5"/>
      <c r="E646" s="5"/>
      <c r="F646" s="5"/>
      <c r="G646" s="282"/>
    </row>
    <row r="647" spans="1:7" x14ac:dyDescent="0.25">
      <c r="A647" s="5"/>
      <c r="B647" s="283"/>
      <c r="C647" s="5"/>
      <c r="D647" s="5"/>
      <c r="E647" s="5"/>
      <c r="F647" s="5"/>
      <c r="G647" s="282"/>
    </row>
    <row r="648" spans="1:7" x14ac:dyDescent="0.25">
      <c r="A648" s="5"/>
      <c r="B648" s="283"/>
      <c r="C648" s="5"/>
      <c r="D648" s="5"/>
      <c r="E648" s="5"/>
      <c r="F648" s="5"/>
      <c r="G648" s="282"/>
    </row>
    <row r="649" spans="1:7" x14ac:dyDescent="0.25">
      <c r="A649" s="5"/>
      <c r="B649" s="283"/>
      <c r="C649" s="5"/>
      <c r="D649" s="5"/>
      <c r="E649" s="5"/>
      <c r="F649" s="5"/>
      <c r="G649" s="282"/>
    </row>
    <row r="650" spans="1:7" x14ac:dyDescent="0.25">
      <c r="A650" s="5"/>
      <c r="B650" s="283"/>
      <c r="C650" s="5"/>
      <c r="D650" s="5"/>
      <c r="E650" s="5"/>
      <c r="F650" s="5"/>
      <c r="G650" s="282"/>
    </row>
    <row r="651" spans="1:7" x14ac:dyDescent="0.25">
      <c r="A651" s="5"/>
      <c r="B651" s="283"/>
      <c r="C651" s="5"/>
      <c r="D651" s="5"/>
      <c r="E651" s="5"/>
      <c r="F651" s="5"/>
      <c r="G651" s="282"/>
    </row>
    <row r="652" spans="1:7" x14ac:dyDescent="0.25">
      <c r="A652" s="5"/>
      <c r="B652" s="283"/>
      <c r="C652" s="5"/>
      <c r="D652" s="5"/>
      <c r="E652" s="5"/>
      <c r="F652" s="5"/>
      <c r="G652" s="282"/>
    </row>
    <row r="653" spans="1:7" x14ac:dyDescent="0.25">
      <c r="A653" s="5"/>
      <c r="B653" s="283"/>
      <c r="C653" s="5"/>
      <c r="D653" s="5"/>
      <c r="E653" s="5"/>
      <c r="F653" s="5"/>
      <c r="G653" s="282"/>
    </row>
    <row r="654" spans="1:7" x14ac:dyDescent="0.25">
      <c r="A654" s="5"/>
      <c r="B654" s="283"/>
      <c r="C654" s="5"/>
      <c r="D654" s="5"/>
      <c r="E654" s="5"/>
      <c r="F654" s="5"/>
      <c r="G654" s="282"/>
    </row>
    <row r="655" spans="1:7" x14ac:dyDescent="0.25">
      <c r="A655" s="5"/>
      <c r="B655" s="283"/>
      <c r="C655" s="5"/>
      <c r="D655" s="5"/>
      <c r="E655" s="5"/>
      <c r="F655" s="5"/>
      <c r="G655" s="282"/>
    </row>
    <row r="656" spans="1:7" x14ac:dyDescent="0.25">
      <c r="A656" s="5"/>
      <c r="B656" s="283"/>
      <c r="C656" s="5"/>
      <c r="D656" s="5"/>
      <c r="E656" s="5"/>
      <c r="F656" s="5"/>
      <c r="G656" s="282"/>
    </row>
    <row r="657" spans="1:7" x14ac:dyDescent="0.25">
      <c r="A657" s="5"/>
      <c r="B657" s="283"/>
      <c r="C657" s="5"/>
      <c r="D657" s="5"/>
      <c r="E657" s="5"/>
      <c r="F657" s="5"/>
      <c r="G657" s="282"/>
    </row>
    <row r="658" spans="1:7" x14ac:dyDescent="0.25">
      <c r="A658" s="5"/>
      <c r="B658" s="283"/>
      <c r="C658" s="5"/>
      <c r="D658" s="5"/>
      <c r="E658" s="5"/>
      <c r="F658" s="5"/>
      <c r="G658" s="282"/>
    </row>
    <row r="659" spans="1:7" x14ac:dyDescent="0.25">
      <c r="A659" s="5"/>
      <c r="B659" s="283"/>
      <c r="C659" s="5"/>
      <c r="D659" s="5"/>
      <c r="E659" s="5"/>
      <c r="F659" s="5"/>
      <c r="G659" s="282"/>
    </row>
    <row r="660" spans="1:7" x14ac:dyDescent="0.25">
      <c r="A660" s="5"/>
      <c r="B660" s="283"/>
      <c r="C660" s="5"/>
      <c r="D660" s="5"/>
      <c r="E660" s="5"/>
      <c r="F660" s="5"/>
      <c r="G660" s="282"/>
    </row>
    <row r="661" spans="1:7" x14ac:dyDescent="0.25">
      <c r="A661" s="5"/>
      <c r="B661" s="283"/>
      <c r="C661" s="5"/>
      <c r="D661" s="5"/>
      <c r="E661" s="5"/>
      <c r="F661" s="5"/>
      <c r="G661" s="282"/>
    </row>
    <row r="662" spans="1:7" x14ac:dyDescent="0.25">
      <c r="A662" s="5"/>
      <c r="B662" s="283"/>
      <c r="C662" s="5"/>
      <c r="D662" s="5"/>
      <c r="E662" s="5"/>
      <c r="F662" s="5"/>
      <c r="G662" s="282"/>
    </row>
    <row r="663" spans="1:7" x14ac:dyDescent="0.25">
      <c r="A663" s="5"/>
      <c r="B663" s="283"/>
      <c r="C663" s="5"/>
      <c r="D663" s="5"/>
      <c r="E663" s="5"/>
      <c r="F663" s="5"/>
      <c r="G663" s="282"/>
    </row>
    <row r="664" spans="1:7" x14ac:dyDescent="0.25">
      <c r="A664" s="5"/>
      <c r="B664" s="283"/>
      <c r="C664" s="5"/>
      <c r="D664" s="5"/>
      <c r="E664" s="5"/>
      <c r="F664" s="5"/>
      <c r="G664" s="282"/>
    </row>
    <row r="665" spans="1:7" x14ac:dyDescent="0.25">
      <c r="A665" s="5"/>
      <c r="B665" s="283"/>
      <c r="C665" s="5"/>
      <c r="D665" s="5"/>
      <c r="E665" s="5"/>
      <c r="F665" s="5"/>
      <c r="G665" s="282"/>
    </row>
    <row r="666" spans="1:7" x14ac:dyDescent="0.25">
      <c r="A666" s="5"/>
      <c r="B666" s="283"/>
      <c r="C666" s="5"/>
      <c r="D666" s="5"/>
      <c r="E666" s="5"/>
      <c r="F666" s="5"/>
      <c r="G666" s="282"/>
    </row>
    <row r="667" spans="1:7" x14ac:dyDescent="0.25">
      <c r="A667" s="5"/>
      <c r="B667" s="283"/>
      <c r="C667" s="5"/>
      <c r="D667" s="5"/>
      <c r="E667" s="5"/>
      <c r="F667" s="5"/>
      <c r="G667" s="282"/>
    </row>
    <row r="668" spans="1:7" x14ac:dyDescent="0.25">
      <c r="A668" s="5"/>
      <c r="B668" s="283"/>
      <c r="C668" s="5"/>
      <c r="D668" s="5"/>
      <c r="E668" s="5"/>
      <c r="F668" s="5"/>
      <c r="G668" s="282"/>
    </row>
    <row r="669" spans="1:7" x14ac:dyDescent="0.25">
      <c r="A669" s="5"/>
      <c r="B669" s="283"/>
      <c r="C669" s="5"/>
      <c r="D669" s="5"/>
      <c r="E669" s="5"/>
      <c r="F669" s="5"/>
      <c r="G669" s="282"/>
    </row>
    <row r="670" spans="1:7" x14ac:dyDescent="0.25">
      <c r="A670" s="5"/>
      <c r="B670" s="283"/>
      <c r="C670" s="5"/>
      <c r="D670" s="5"/>
      <c r="E670" s="5"/>
      <c r="F670" s="5"/>
      <c r="G670" s="282"/>
    </row>
    <row r="671" spans="1:7" x14ac:dyDescent="0.25">
      <c r="A671" s="5"/>
      <c r="B671" s="283"/>
      <c r="C671" s="5"/>
      <c r="D671" s="5"/>
      <c r="E671" s="5"/>
      <c r="F671" s="5"/>
      <c r="G671" s="282"/>
    </row>
    <row r="672" spans="1:7" x14ac:dyDescent="0.25">
      <c r="A672" s="5"/>
      <c r="B672" s="283"/>
      <c r="C672" s="5"/>
      <c r="D672" s="5"/>
      <c r="E672" s="5"/>
      <c r="F672" s="5"/>
      <c r="G672" s="282"/>
    </row>
    <row r="673" spans="1:7" x14ac:dyDescent="0.25">
      <c r="A673" s="5"/>
      <c r="B673" s="283"/>
      <c r="C673" s="5"/>
      <c r="D673" s="5"/>
      <c r="E673" s="5"/>
      <c r="F673" s="5"/>
      <c r="G673" s="282"/>
    </row>
    <row r="674" spans="1:7" x14ac:dyDescent="0.25">
      <c r="A674" s="5"/>
      <c r="B674" s="283"/>
      <c r="C674" s="5"/>
      <c r="D674" s="5"/>
      <c r="E674" s="5"/>
      <c r="F674" s="5"/>
      <c r="G674" s="282"/>
    </row>
    <row r="675" spans="1:7" x14ac:dyDescent="0.25">
      <c r="A675" s="5"/>
      <c r="B675" s="283"/>
      <c r="C675" s="5"/>
      <c r="D675" s="5"/>
      <c r="E675" s="5"/>
      <c r="F675" s="5"/>
      <c r="G675" s="282"/>
    </row>
    <row r="676" spans="1:7" x14ac:dyDescent="0.25">
      <c r="A676" s="5"/>
      <c r="B676" s="283"/>
      <c r="C676" s="5"/>
      <c r="D676" s="5"/>
      <c r="E676" s="5"/>
      <c r="F676" s="5"/>
      <c r="G676" s="282"/>
    </row>
    <row r="677" spans="1:7" x14ac:dyDescent="0.25">
      <c r="A677" s="5"/>
      <c r="B677" s="283"/>
      <c r="C677" s="5"/>
      <c r="D677" s="5"/>
      <c r="E677" s="5"/>
      <c r="F677" s="5"/>
      <c r="G677" s="282"/>
    </row>
    <row r="678" spans="1:7" x14ac:dyDescent="0.25">
      <c r="A678" s="5"/>
      <c r="B678" s="283"/>
      <c r="C678" s="5"/>
      <c r="D678" s="5"/>
      <c r="E678" s="5"/>
      <c r="F678" s="5"/>
      <c r="G678" s="282"/>
    </row>
    <row r="679" spans="1:7" x14ac:dyDescent="0.25">
      <c r="A679" s="5"/>
      <c r="B679" s="283"/>
      <c r="C679" s="5"/>
      <c r="D679" s="5"/>
      <c r="E679" s="5"/>
      <c r="F679" s="5"/>
      <c r="G679" s="282"/>
    </row>
    <row r="680" spans="1:7" x14ac:dyDescent="0.25">
      <c r="A680" s="5"/>
      <c r="B680" s="283"/>
      <c r="C680" s="5"/>
      <c r="D680" s="5"/>
      <c r="E680" s="5"/>
      <c r="F680" s="5"/>
      <c r="G680" s="282"/>
    </row>
    <row r="681" spans="1:7" x14ac:dyDescent="0.25">
      <c r="A681" s="5"/>
      <c r="B681" s="283"/>
      <c r="C681" s="5"/>
      <c r="D681" s="5"/>
      <c r="E681" s="5"/>
      <c r="F681" s="5"/>
      <c r="G681" s="282"/>
    </row>
    <row r="682" spans="1:7" x14ac:dyDescent="0.25">
      <c r="A682" s="5"/>
      <c r="B682" s="283"/>
      <c r="C682" s="5"/>
      <c r="D682" s="5"/>
      <c r="E682" s="5"/>
      <c r="F682" s="5"/>
      <c r="G682" s="282"/>
    </row>
    <row r="683" spans="1:7" x14ac:dyDescent="0.25">
      <c r="A683" s="5"/>
      <c r="B683" s="283"/>
      <c r="C683" s="5"/>
      <c r="D683" s="5"/>
      <c r="E683" s="5"/>
      <c r="F683" s="5"/>
      <c r="G683" s="282"/>
    </row>
    <row r="684" spans="1:7" x14ac:dyDescent="0.25">
      <c r="A684" s="5"/>
      <c r="B684" s="283"/>
      <c r="C684" s="5"/>
      <c r="D684" s="5"/>
      <c r="E684" s="5"/>
      <c r="F684" s="5"/>
      <c r="G684" s="282"/>
    </row>
    <row r="685" spans="1:7" x14ac:dyDescent="0.25">
      <c r="A685" s="5"/>
      <c r="B685" s="283"/>
      <c r="C685" s="5"/>
      <c r="D685" s="5"/>
      <c r="E685" s="5"/>
      <c r="F685" s="5"/>
      <c r="G685" s="282"/>
    </row>
    <row r="686" spans="1:7" x14ac:dyDescent="0.25">
      <c r="A686" s="5"/>
      <c r="B686" s="283"/>
      <c r="C686" s="5"/>
      <c r="D686" s="5"/>
      <c r="E686" s="5"/>
      <c r="F686" s="5"/>
      <c r="G686" s="282"/>
    </row>
    <row r="687" spans="1:7" x14ac:dyDescent="0.25">
      <c r="A687" s="5"/>
      <c r="B687" s="283"/>
      <c r="C687" s="5"/>
      <c r="D687" s="5"/>
      <c r="E687" s="5"/>
      <c r="F687" s="5"/>
      <c r="G687" s="282"/>
    </row>
    <row r="688" spans="1:7" x14ac:dyDescent="0.25">
      <c r="A688" s="5"/>
      <c r="B688" s="283"/>
      <c r="C688" s="5"/>
      <c r="D688" s="5"/>
      <c r="E688" s="5"/>
      <c r="F688" s="5"/>
      <c r="G688" s="282"/>
    </row>
    <row r="689" spans="1:7" x14ac:dyDescent="0.25">
      <c r="A689" s="5"/>
      <c r="B689" s="283"/>
      <c r="C689" s="5"/>
      <c r="D689" s="5"/>
      <c r="E689" s="5"/>
      <c r="F689" s="5"/>
      <c r="G689" s="282"/>
    </row>
    <row r="690" spans="1:7" x14ac:dyDescent="0.25">
      <c r="A690" s="5"/>
      <c r="B690" s="283"/>
      <c r="C690" s="5"/>
      <c r="D690" s="5"/>
      <c r="E690" s="5"/>
      <c r="F690" s="5"/>
      <c r="G690" s="282"/>
    </row>
    <row r="691" spans="1:7" x14ac:dyDescent="0.25">
      <c r="A691" s="5"/>
      <c r="B691" s="283"/>
      <c r="C691" s="5"/>
      <c r="D691" s="5"/>
      <c r="E691" s="5"/>
      <c r="F691" s="5"/>
      <c r="G691" s="282"/>
    </row>
    <row r="692" spans="1:7" x14ac:dyDescent="0.25">
      <c r="A692" s="5"/>
      <c r="B692" s="283"/>
      <c r="C692" s="5"/>
      <c r="D692" s="5"/>
      <c r="E692" s="5"/>
      <c r="F692" s="5"/>
      <c r="G692" s="282"/>
    </row>
    <row r="693" spans="1:7" x14ac:dyDescent="0.25">
      <c r="A693" s="5"/>
      <c r="B693" s="283"/>
      <c r="C693" s="5"/>
      <c r="D693" s="5"/>
      <c r="E693" s="5"/>
      <c r="F693" s="5"/>
      <c r="G693" s="282"/>
    </row>
    <row r="694" spans="1:7" x14ac:dyDescent="0.25">
      <c r="A694" s="5"/>
      <c r="B694" s="283"/>
      <c r="C694" s="5"/>
      <c r="D694" s="5"/>
      <c r="E694" s="5"/>
      <c r="F694" s="5"/>
      <c r="G694" s="282"/>
    </row>
    <row r="695" spans="1:7" x14ac:dyDescent="0.25">
      <c r="A695" s="5"/>
      <c r="B695" s="283"/>
      <c r="C695" s="5"/>
      <c r="D695" s="5"/>
      <c r="E695" s="5"/>
      <c r="F695" s="5"/>
      <c r="G695" s="282"/>
    </row>
    <row r="696" spans="1:7" x14ac:dyDescent="0.25">
      <c r="A696" s="5"/>
      <c r="B696" s="283"/>
      <c r="C696" s="5"/>
      <c r="D696" s="5"/>
      <c r="E696" s="5"/>
      <c r="F696" s="5"/>
      <c r="G696" s="282"/>
    </row>
    <row r="697" spans="1:7" x14ac:dyDescent="0.25">
      <c r="A697" s="5"/>
      <c r="B697" s="283"/>
      <c r="C697" s="5"/>
      <c r="D697" s="5"/>
      <c r="E697" s="5"/>
      <c r="F697" s="5"/>
      <c r="G697" s="282"/>
    </row>
    <row r="698" spans="1:7" x14ac:dyDescent="0.25">
      <c r="A698" s="5"/>
      <c r="B698" s="283"/>
      <c r="C698" s="5"/>
      <c r="D698" s="5"/>
      <c r="E698" s="5"/>
      <c r="F698" s="5"/>
      <c r="G698" s="282"/>
    </row>
    <row r="699" spans="1:7" x14ac:dyDescent="0.25">
      <c r="A699" s="5"/>
      <c r="B699" s="283"/>
      <c r="C699" s="5"/>
      <c r="D699" s="5"/>
      <c r="E699" s="5"/>
      <c r="F699" s="5"/>
      <c r="G699" s="282"/>
    </row>
    <row r="700" spans="1:7" x14ac:dyDescent="0.25">
      <c r="A700" s="5"/>
      <c r="B700" s="283"/>
      <c r="C700" s="5"/>
      <c r="D700" s="5"/>
      <c r="E700" s="5"/>
      <c r="F700" s="5"/>
      <c r="G700" s="282"/>
    </row>
    <row r="701" spans="1:7" x14ac:dyDescent="0.25">
      <c r="A701" s="5"/>
      <c r="B701" s="283"/>
      <c r="C701" s="5"/>
      <c r="D701" s="5"/>
      <c r="E701" s="5"/>
      <c r="F701" s="5"/>
      <c r="G701" s="282"/>
    </row>
    <row r="702" spans="1:7" x14ac:dyDescent="0.25">
      <c r="A702" s="5"/>
      <c r="B702" s="283"/>
      <c r="C702" s="5"/>
      <c r="D702" s="5"/>
      <c r="E702" s="5"/>
      <c r="F702" s="5"/>
      <c r="G702" s="282"/>
    </row>
    <row r="703" spans="1:7" x14ac:dyDescent="0.25">
      <c r="A703" s="5"/>
      <c r="B703" s="283"/>
      <c r="C703" s="5"/>
      <c r="D703" s="5"/>
      <c r="E703" s="5"/>
      <c r="F703" s="5"/>
      <c r="G703" s="282"/>
    </row>
    <row r="704" spans="1:7" x14ac:dyDescent="0.25">
      <c r="A704" s="5"/>
      <c r="B704" s="283"/>
      <c r="C704" s="5"/>
      <c r="D704" s="5"/>
      <c r="E704" s="5"/>
      <c r="F704" s="5"/>
      <c r="G704" s="282"/>
    </row>
    <row r="705" spans="1:7" x14ac:dyDescent="0.25">
      <c r="A705" s="5"/>
      <c r="B705" s="283"/>
      <c r="C705" s="5"/>
      <c r="D705" s="5"/>
      <c r="E705" s="5"/>
      <c r="F705" s="5"/>
      <c r="G705" s="282"/>
    </row>
    <row r="706" spans="1:7" x14ac:dyDescent="0.25">
      <c r="A706" s="5"/>
      <c r="B706" s="283"/>
      <c r="C706" s="5"/>
      <c r="D706" s="5"/>
      <c r="E706" s="5"/>
      <c r="F706" s="5"/>
      <c r="G706" s="282"/>
    </row>
    <row r="707" spans="1:7" x14ac:dyDescent="0.25">
      <c r="A707" s="5"/>
      <c r="B707" s="283"/>
      <c r="C707" s="5"/>
      <c r="D707" s="5"/>
      <c r="E707" s="5"/>
      <c r="F707" s="5"/>
      <c r="G707" s="282"/>
    </row>
    <row r="708" spans="1:7" x14ac:dyDescent="0.25">
      <c r="A708" s="5"/>
      <c r="B708" s="283"/>
      <c r="C708" s="5"/>
      <c r="D708" s="5"/>
      <c r="E708" s="5"/>
      <c r="F708" s="5"/>
      <c r="G708" s="282"/>
    </row>
    <row r="709" spans="1:7" x14ac:dyDescent="0.25">
      <c r="A709" s="5"/>
      <c r="B709" s="283"/>
      <c r="C709" s="5"/>
      <c r="D709" s="5"/>
      <c r="E709" s="5"/>
      <c r="F709" s="5"/>
      <c r="G709" s="282"/>
    </row>
    <row r="710" spans="1:7" x14ac:dyDescent="0.25">
      <c r="A710" s="5"/>
      <c r="B710" s="283"/>
      <c r="C710" s="5"/>
      <c r="D710" s="5"/>
      <c r="E710" s="5"/>
      <c r="F710" s="5"/>
      <c r="G710" s="282"/>
    </row>
    <row r="711" spans="1:7" x14ac:dyDescent="0.25">
      <c r="A711" s="5"/>
      <c r="B711" s="283"/>
      <c r="C711" s="5"/>
      <c r="D711" s="5"/>
      <c r="E711" s="5"/>
      <c r="F711" s="5"/>
      <c r="G711" s="282"/>
    </row>
    <row r="712" spans="1:7" x14ac:dyDescent="0.25">
      <c r="A712" s="5"/>
      <c r="B712" s="283"/>
      <c r="C712" s="5"/>
      <c r="D712" s="5"/>
      <c r="E712" s="5"/>
      <c r="F712" s="5"/>
      <c r="G712" s="282"/>
    </row>
    <row r="713" spans="1:7" x14ac:dyDescent="0.25">
      <c r="A713" s="5"/>
      <c r="B713" s="283"/>
      <c r="C713" s="5"/>
      <c r="D713" s="5"/>
      <c r="E713" s="5"/>
      <c r="F713" s="5"/>
      <c r="G713" s="282"/>
    </row>
    <row r="714" spans="1:7" x14ac:dyDescent="0.25">
      <c r="A714" s="5"/>
      <c r="B714" s="283"/>
      <c r="C714" s="5"/>
      <c r="D714" s="5"/>
      <c r="E714" s="5"/>
      <c r="F714" s="5"/>
      <c r="G714" s="282"/>
    </row>
    <row r="715" spans="1:7" x14ac:dyDescent="0.25">
      <c r="A715" s="5"/>
      <c r="B715" s="283"/>
      <c r="C715" s="5"/>
      <c r="D715" s="5"/>
      <c r="E715" s="5"/>
      <c r="F715" s="5"/>
      <c r="G715" s="282"/>
    </row>
    <row r="716" spans="1:7" x14ac:dyDescent="0.25">
      <c r="A716" s="5"/>
      <c r="B716" s="283"/>
      <c r="C716" s="5"/>
      <c r="D716" s="5"/>
      <c r="E716" s="5"/>
      <c r="F716" s="5"/>
      <c r="G716" s="282"/>
    </row>
    <row r="717" spans="1:7" x14ac:dyDescent="0.25">
      <c r="A717" s="5"/>
      <c r="B717" s="283"/>
      <c r="C717" s="5"/>
      <c r="D717" s="5"/>
      <c r="E717" s="5"/>
      <c r="F717" s="5"/>
      <c r="G717" s="282"/>
    </row>
    <row r="718" spans="1:7" x14ac:dyDescent="0.25">
      <c r="A718" s="5"/>
      <c r="B718" s="283"/>
      <c r="C718" s="5"/>
      <c r="D718" s="5"/>
      <c r="E718" s="5"/>
      <c r="F718" s="5"/>
      <c r="G718" s="282"/>
    </row>
    <row r="719" spans="1:7" x14ac:dyDescent="0.25">
      <c r="A719" s="5"/>
      <c r="B719" s="283"/>
      <c r="C719" s="5"/>
      <c r="D719" s="5"/>
      <c r="E719" s="5"/>
      <c r="F719" s="5"/>
      <c r="G719" s="282"/>
    </row>
    <row r="720" spans="1:7" x14ac:dyDescent="0.25">
      <c r="A720" s="5"/>
      <c r="B720" s="283"/>
      <c r="C720" s="5"/>
      <c r="D720" s="5"/>
      <c r="E720" s="5"/>
      <c r="F720" s="5"/>
      <c r="G720" s="282"/>
    </row>
    <row r="721" spans="1:7" x14ac:dyDescent="0.25">
      <c r="A721" s="5"/>
      <c r="B721" s="283"/>
      <c r="C721" s="5"/>
      <c r="D721" s="5"/>
      <c r="E721" s="5"/>
      <c r="F721" s="5"/>
      <c r="G721" s="282"/>
    </row>
    <row r="722" spans="1:7" x14ac:dyDescent="0.25">
      <c r="A722" s="5"/>
      <c r="B722" s="283"/>
      <c r="C722" s="5"/>
      <c r="D722" s="5"/>
      <c r="E722" s="5"/>
      <c r="F722" s="5"/>
      <c r="G722" s="282"/>
    </row>
    <row r="723" spans="1:7" x14ac:dyDescent="0.25">
      <c r="A723" s="5"/>
      <c r="B723" s="283"/>
      <c r="C723" s="5"/>
      <c r="D723" s="5"/>
      <c r="E723" s="5"/>
      <c r="F723" s="5"/>
      <c r="G723" s="282"/>
    </row>
    <row r="724" spans="1:7" x14ac:dyDescent="0.25">
      <c r="A724" s="5"/>
      <c r="B724" s="283"/>
      <c r="C724" s="5"/>
      <c r="D724" s="5"/>
      <c r="E724" s="5"/>
      <c r="F724" s="5"/>
      <c r="G724" s="282"/>
    </row>
    <row r="725" spans="1:7" x14ac:dyDescent="0.25">
      <c r="A725" s="5"/>
      <c r="B725" s="283"/>
      <c r="C725" s="5"/>
      <c r="D725" s="5"/>
      <c r="E725" s="5"/>
      <c r="F725" s="5"/>
      <c r="G725" s="282"/>
    </row>
    <row r="726" spans="1:7" x14ac:dyDescent="0.25">
      <c r="A726" s="5"/>
      <c r="B726" s="283"/>
      <c r="C726" s="5"/>
      <c r="D726" s="5"/>
      <c r="E726" s="5"/>
      <c r="F726" s="5"/>
      <c r="G726" s="282"/>
    </row>
    <row r="727" spans="1:7" x14ac:dyDescent="0.25">
      <c r="A727" s="5"/>
      <c r="B727" s="283"/>
      <c r="C727" s="5"/>
      <c r="D727" s="5"/>
      <c r="E727" s="5"/>
      <c r="F727" s="5"/>
      <c r="G727" s="282"/>
    </row>
    <row r="728" spans="1:7" x14ac:dyDescent="0.25">
      <c r="A728" s="5"/>
      <c r="B728" s="283"/>
      <c r="C728" s="5"/>
      <c r="D728" s="5"/>
      <c r="E728" s="5"/>
      <c r="F728" s="5"/>
      <c r="G728" s="282"/>
    </row>
    <row r="729" spans="1:7" x14ac:dyDescent="0.25">
      <c r="A729" s="5"/>
      <c r="B729" s="283"/>
      <c r="C729" s="5"/>
      <c r="D729" s="5"/>
      <c r="E729" s="5"/>
      <c r="F729" s="5"/>
      <c r="G729" s="282"/>
    </row>
    <row r="730" spans="1:7" x14ac:dyDescent="0.25">
      <c r="A730" s="5"/>
      <c r="B730" s="283"/>
      <c r="C730" s="5"/>
      <c r="D730" s="5"/>
      <c r="E730" s="5"/>
      <c r="F730" s="5"/>
      <c r="G730" s="282"/>
    </row>
    <row r="731" spans="1:7" x14ac:dyDescent="0.25">
      <c r="A731" s="5"/>
      <c r="B731" s="283"/>
      <c r="C731" s="5"/>
      <c r="D731" s="5"/>
      <c r="E731" s="5"/>
      <c r="F731" s="5"/>
      <c r="G731" s="282"/>
    </row>
    <row r="732" spans="1:7" x14ac:dyDescent="0.25">
      <c r="A732" s="5"/>
      <c r="B732" s="283"/>
      <c r="C732" s="5"/>
      <c r="D732" s="5"/>
      <c r="E732" s="5"/>
      <c r="F732" s="5"/>
      <c r="G732" s="282"/>
    </row>
    <row r="733" spans="1:7" x14ac:dyDescent="0.25">
      <c r="A733" s="5"/>
      <c r="B733" s="283"/>
      <c r="C733" s="5"/>
      <c r="D733" s="5"/>
      <c r="E733" s="5"/>
      <c r="F733" s="5"/>
      <c r="G733" s="282"/>
    </row>
    <row r="734" spans="1:7" x14ac:dyDescent="0.25">
      <c r="A734" s="5"/>
      <c r="B734" s="283"/>
      <c r="C734" s="5"/>
      <c r="D734" s="5"/>
      <c r="E734" s="5"/>
      <c r="F734" s="5"/>
      <c r="G734" s="282"/>
    </row>
    <row r="735" spans="1:7" x14ac:dyDescent="0.25">
      <c r="A735" s="5"/>
      <c r="B735" s="283"/>
      <c r="C735" s="5"/>
      <c r="D735" s="5"/>
      <c r="E735" s="5"/>
      <c r="F735" s="5"/>
      <c r="G735" s="282"/>
    </row>
    <row r="736" spans="1:7" x14ac:dyDescent="0.25">
      <c r="A736" s="5"/>
      <c r="B736" s="283"/>
      <c r="C736" s="5"/>
      <c r="D736" s="5"/>
      <c r="E736" s="5"/>
      <c r="F736" s="5"/>
      <c r="G736" s="282"/>
    </row>
    <row r="737" spans="1:7" x14ac:dyDescent="0.25">
      <c r="A737" s="5"/>
      <c r="B737" s="283"/>
      <c r="C737" s="5"/>
      <c r="D737" s="5"/>
      <c r="E737" s="5"/>
      <c r="F737" s="5"/>
      <c r="G737" s="282"/>
    </row>
    <row r="738" spans="1:7" x14ac:dyDescent="0.25">
      <c r="A738" s="5"/>
      <c r="B738" s="283"/>
      <c r="C738" s="5"/>
      <c r="D738" s="5"/>
      <c r="E738" s="5"/>
      <c r="F738" s="5"/>
      <c r="G738" s="282"/>
    </row>
    <row r="739" spans="1:7" x14ac:dyDescent="0.25">
      <c r="A739" s="5"/>
      <c r="B739" s="283"/>
      <c r="C739" s="5"/>
      <c r="D739" s="5"/>
      <c r="E739" s="5"/>
      <c r="F739" s="5"/>
      <c r="G739" s="282"/>
    </row>
    <row r="740" spans="1:7" x14ac:dyDescent="0.25">
      <c r="A740" s="5"/>
      <c r="B740" s="283"/>
      <c r="C740" s="5"/>
      <c r="D740" s="5"/>
      <c r="E740" s="5"/>
      <c r="F740" s="5"/>
      <c r="G740" s="282"/>
    </row>
    <row r="741" spans="1:7" x14ac:dyDescent="0.25">
      <c r="A741" s="5"/>
      <c r="B741" s="283"/>
      <c r="C741" s="5"/>
      <c r="D741" s="5"/>
      <c r="E741" s="5"/>
      <c r="F741" s="5"/>
      <c r="G741" s="282"/>
    </row>
    <row r="742" spans="1:7" x14ac:dyDescent="0.25">
      <c r="A742" s="5"/>
      <c r="B742" s="283"/>
      <c r="C742" s="5"/>
      <c r="D742" s="5"/>
      <c r="E742" s="5"/>
      <c r="F742" s="5"/>
      <c r="G742" s="282"/>
    </row>
    <row r="743" spans="1:7" x14ac:dyDescent="0.25">
      <c r="A743" s="5"/>
      <c r="B743" s="283"/>
      <c r="C743" s="5"/>
      <c r="D743" s="5"/>
      <c r="E743" s="5"/>
      <c r="F743" s="5"/>
      <c r="G743" s="282"/>
    </row>
    <row r="744" spans="1:7" x14ac:dyDescent="0.25">
      <c r="A744" s="5"/>
      <c r="B744" s="283"/>
      <c r="C744" s="5"/>
      <c r="D744" s="5"/>
      <c r="E744" s="5"/>
      <c r="F744" s="5"/>
      <c r="G744" s="282"/>
    </row>
    <row r="745" spans="1:7" x14ac:dyDescent="0.25">
      <c r="A745" s="5"/>
      <c r="B745" s="283"/>
      <c r="C745" s="5"/>
      <c r="D745" s="5"/>
      <c r="E745" s="5"/>
      <c r="F745" s="5"/>
      <c r="G745" s="282"/>
    </row>
    <row r="746" spans="1:7" x14ac:dyDescent="0.25">
      <c r="A746" s="5"/>
      <c r="B746" s="283"/>
      <c r="C746" s="5"/>
      <c r="D746" s="5"/>
      <c r="E746" s="5"/>
      <c r="F746" s="5"/>
      <c r="G746" s="282"/>
    </row>
    <row r="747" spans="1:7" x14ac:dyDescent="0.25">
      <c r="A747" s="5"/>
      <c r="B747" s="283"/>
      <c r="C747" s="5"/>
      <c r="D747" s="5"/>
      <c r="E747" s="5"/>
      <c r="F747" s="5"/>
      <c r="G747" s="282"/>
    </row>
    <row r="748" spans="1:7" x14ac:dyDescent="0.25">
      <c r="A748" s="5"/>
      <c r="B748" s="283"/>
      <c r="C748" s="5"/>
      <c r="D748" s="5"/>
      <c r="E748" s="5"/>
      <c r="F748" s="5"/>
      <c r="G748" s="282"/>
    </row>
    <row r="749" spans="1:7" x14ac:dyDescent="0.25">
      <c r="A749" s="5"/>
      <c r="B749" s="283"/>
      <c r="C749" s="5"/>
      <c r="D749" s="5"/>
      <c r="E749" s="5"/>
      <c r="F749" s="5"/>
      <c r="G749" s="282"/>
    </row>
    <row r="750" spans="1:7" x14ac:dyDescent="0.25">
      <c r="A750" s="5"/>
      <c r="B750" s="283"/>
      <c r="C750" s="5"/>
      <c r="D750" s="5"/>
      <c r="E750" s="5"/>
      <c r="F750" s="5"/>
      <c r="G750" s="282"/>
    </row>
    <row r="751" spans="1:7" x14ac:dyDescent="0.25">
      <c r="A751" s="5"/>
      <c r="B751" s="283"/>
      <c r="C751" s="5"/>
      <c r="D751" s="5"/>
      <c r="E751" s="5"/>
      <c r="F751" s="5"/>
      <c r="G751" s="282"/>
    </row>
    <row r="752" spans="1:7" x14ac:dyDescent="0.25">
      <c r="A752" s="5"/>
      <c r="B752" s="283"/>
      <c r="C752" s="5"/>
      <c r="D752" s="5"/>
      <c r="E752" s="5"/>
      <c r="F752" s="5"/>
      <c r="G752" s="282"/>
    </row>
    <row r="753" spans="1:7" x14ac:dyDescent="0.25">
      <c r="A753" s="5"/>
      <c r="B753" s="283"/>
      <c r="C753" s="5"/>
      <c r="D753" s="5"/>
      <c r="E753" s="5"/>
      <c r="F753" s="5"/>
      <c r="G753" s="282"/>
    </row>
    <row r="754" spans="1:7" x14ac:dyDescent="0.25">
      <c r="A754" s="5"/>
      <c r="B754" s="283"/>
      <c r="C754" s="5"/>
      <c r="D754" s="5"/>
      <c r="E754" s="5"/>
      <c r="F754" s="5"/>
      <c r="G754" s="282"/>
    </row>
    <row r="755" spans="1:7" x14ac:dyDescent="0.25">
      <c r="A755" s="5"/>
      <c r="B755" s="283"/>
      <c r="C755" s="5"/>
      <c r="D755" s="5"/>
      <c r="E755" s="5"/>
      <c r="F755" s="5"/>
      <c r="G755" s="282"/>
    </row>
    <row r="756" spans="1:7" x14ac:dyDescent="0.25">
      <c r="A756" s="5"/>
      <c r="B756" s="283"/>
      <c r="C756" s="5"/>
      <c r="D756" s="5"/>
      <c r="E756" s="5"/>
      <c r="F756" s="5"/>
      <c r="G756" s="282"/>
    </row>
    <row r="757" spans="1:7" x14ac:dyDescent="0.25">
      <c r="A757" s="5"/>
      <c r="B757" s="283"/>
      <c r="C757" s="5"/>
      <c r="D757" s="5"/>
      <c r="E757" s="5"/>
      <c r="F757" s="5"/>
      <c r="G757" s="282"/>
    </row>
    <row r="758" spans="1:7" x14ac:dyDescent="0.25">
      <c r="A758" s="5"/>
      <c r="B758" s="283"/>
      <c r="C758" s="5"/>
      <c r="D758" s="5"/>
      <c r="E758" s="5"/>
      <c r="F758" s="5"/>
      <c r="G758" s="282"/>
    </row>
    <row r="759" spans="1:7" x14ac:dyDescent="0.25">
      <c r="A759" s="5"/>
      <c r="B759" s="283"/>
      <c r="C759" s="5"/>
      <c r="D759" s="5"/>
      <c r="E759" s="5"/>
      <c r="F759" s="5"/>
      <c r="G759" s="282"/>
    </row>
    <row r="760" spans="1:7" x14ac:dyDescent="0.25">
      <c r="A760" s="5"/>
      <c r="B760" s="283"/>
      <c r="C760" s="5"/>
      <c r="D760" s="5"/>
      <c r="E760" s="5"/>
      <c r="F760" s="5"/>
      <c r="G760" s="282"/>
    </row>
    <row r="761" spans="1:7" x14ac:dyDescent="0.25">
      <c r="A761" s="5"/>
      <c r="B761" s="283"/>
      <c r="C761" s="5"/>
      <c r="D761" s="5"/>
      <c r="E761" s="5"/>
      <c r="F761" s="5"/>
      <c r="G761" s="282"/>
    </row>
    <row r="762" spans="1:7" x14ac:dyDescent="0.25">
      <c r="A762" s="5"/>
      <c r="B762" s="283"/>
      <c r="C762" s="5"/>
      <c r="D762" s="5"/>
      <c r="E762" s="5"/>
      <c r="F762" s="5"/>
      <c r="G762" s="282"/>
    </row>
    <row r="763" spans="1:7" x14ac:dyDescent="0.25">
      <c r="A763" s="5"/>
      <c r="B763" s="283"/>
      <c r="C763" s="5"/>
      <c r="D763" s="5"/>
      <c r="E763" s="5"/>
      <c r="F763" s="5"/>
      <c r="G763" s="282"/>
    </row>
    <row r="764" spans="1:7" x14ac:dyDescent="0.25">
      <c r="A764" s="5"/>
      <c r="B764" s="283"/>
      <c r="C764" s="5"/>
      <c r="D764" s="5"/>
      <c r="E764" s="5"/>
      <c r="F764" s="5"/>
      <c r="G764" s="282"/>
    </row>
    <row r="765" spans="1:7" x14ac:dyDescent="0.25">
      <c r="A765" s="5"/>
      <c r="B765" s="283"/>
      <c r="C765" s="5"/>
      <c r="D765" s="5"/>
      <c r="E765" s="5"/>
      <c r="F765" s="5"/>
      <c r="G765" s="282"/>
    </row>
    <row r="766" spans="1:7" x14ac:dyDescent="0.25">
      <c r="A766" s="5"/>
      <c r="B766" s="283"/>
      <c r="C766" s="5"/>
      <c r="D766" s="5"/>
      <c r="E766" s="5"/>
      <c r="F766" s="5"/>
      <c r="G766" s="282"/>
    </row>
    <row r="767" spans="1:7" x14ac:dyDescent="0.25">
      <c r="A767" s="5"/>
      <c r="B767" s="283"/>
      <c r="C767" s="5"/>
      <c r="D767" s="5"/>
      <c r="E767" s="5"/>
      <c r="F767" s="5"/>
      <c r="G767" s="282"/>
    </row>
    <row r="768" spans="1:7" x14ac:dyDescent="0.25">
      <c r="A768" s="5"/>
      <c r="B768" s="283"/>
      <c r="C768" s="5"/>
      <c r="D768" s="5"/>
      <c r="E768" s="5"/>
      <c r="F768" s="5"/>
      <c r="G768" s="282"/>
    </row>
    <row r="769" spans="1:7" x14ac:dyDescent="0.25">
      <c r="A769" s="5"/>
      <c r="B769" s="283"/>
      <c r="C769" s="5"/>
      <c r="D769" s="5"/>
      <c r="E769" s="5"/>
      <c r="F769" s="5"/>
      <c r="G769" s="282"/>
    </row>
    <row r="770" spans="1:7" x14ac:dyDescent="0.25">
      <c r="A770" s="5"/>
      <c r="B770" s="283"/>
      <c r="C770" s="5"/>
      <c r="D770" s="5"/>
      <c r="E770" s="5"/>
      <c r="F770" s="5"/>
      <c r="G770" s="282"/>
    </row>
    <row r="771" spans="1:7" x14ac:dyDescent="0.25">
      <c r="A771" s="5"/>
      <c r="B771" s="283"/>
      <c r="C771" s="5"/>
      <c r="D771" s="5"/>
      <c r="E771" s="5"/>
      <c r="F771" s="5"/>
      <c r="G771" s="282"/>
    </row>
    <row r="772" spans="1:7" x14ac:dyDescent="0.25">
      <c r="A772" s="5"/>
      <c r="B772" s="283"/>
      <c r="C772" s="5"/>
      <c r="D772" s="5"/>
      <c r="E772" s="5"/>
      <c r="F772" s="5"/>
      <c r="G772" s="282"/>
    </row>
    <row r="773" spans="1:7" x14ac:dyDescent="0.25">
      <c r="A773" s="5"/>
      <c r="B773" s="283"/>
      <c r="C773" s="5"/>
      <c r="D773" s="5"/>
      <c r="E773" s="5"/>
      <c r="F773" s="5"/>
      <c r="G773" s="282"/>
    </row>
    <row r="774" spans="1:7" x14ac:dyDescent="0.25">
      <c r="A774" s="5"/>
      <c r="B774" s="283"/>
      <c r="C774" s="5"/>
      <c r="D774" s="5"/>
      <c r="E774" s="5"/>
      <c r="F774" s="5"/>
      <c r="G774" s="282"/>
    </row>
    <row r="775" spans="1:7" x14ac:dyDescent="0.25">
      <c r="A775" s="5"/>
      <c r="B775" s="283"/>
      <c r="C775" s="5"/>
      <c r="D775" s="5"/>
      <c r="E775" s="5"/>
      <c r="F775" s="5"/>
      <c r="G775" s="282"/>
    </row>
  </sheetData>
  <sheetProtection algorithmName="SHA-512" hashValue="+xSfaDcFahd1e0pKpJpLhqLqhr6Ok8yYboIr8vWKdDChuyNmcxndHzYL7XtodWCgEIvKsDkPy4dj+5Ysa9vFVQ==" saltValue="Oen4DVNEQbxTksu9bvzYFw==" spinCount="100000" sheet="1" objects="1" scenarios="1"/>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D36A8-D6AE-40A2-8AFE-0D181CA97891}">
  <sheetPr codeName="Sheet3">
    <tabColor theme="8" tint="-0.249977111117893"/>
  </sheetPr>
  <dimension ref="A1:EU14"/>
  <sheetViews>
    <sheetView showGridLines="0" showRowColHeaders="0" workbookViewId="0">
      <selection activeCell="D27" sqref="D27"/>
    </sheetView>
  </sheetViews>
  <sheetFormatPr defaultRowHeight="11.5" x14ac:dyDescent="0.25"/>
  <cols>
    <col min="4" max="7" width="8.8984375" style="5"/>
    <col min="8" max="9" width="11.296875" style="5" customWidth="1"/>
    <col min="10" max="10" width="12" customWidth="1"/>
    <col min="11" max="11" width="8.3984375" customWidth="1"/>
    <col min="12" max="12" width="13.296875" customWidth="1"/>
    <col min="13" max="13" width="11.296875" customWidth="1"/>
    <col min="14" max="14" width="3.09765625" hidden="1" customWidth="1"/>
    <col min="15" max="16" width="11.09765625" customWidth="1"/>
    <col min="17" max="17" width="10.09765625" customWidth="1"/>
    <col min="18" max="18" width="2.3984375" hidden="1" customWidth="1"/>
    <col min="21" max="21" width="18" customWidth="1"/>
    <col min="22" max="22" width="2.09765625" hidden="1" customWidth="1"/>
    <col min="25" max="25" width="8.8984375" style="22"/>
    <col min="26" max="26" width="4.3984375" style="22" hidden="1" customWidth="1"/>
    <col min="29" max="29" width="11.59765625" style="5" customWidth="1"/>
    <col min="30" max="30" width="2.09765625" style="5" hidden="1" customWidth="1"/>
    <col min="34" max="34" width="3" hidden="1" customWidth="1"/>
    <col min="35" max="35" width="8.59765625" customWidth="1"/>
    <col min="36" max="36" width="11.8984375" customWidth="1"/>
    <col min="38" max="38" width="2.796875" hidden="1" customWidth="1"/>
    <col min="40" max="40" width="12.69921875" customWidth="1"/>
    <col min="41" max="41" width="8.8984375" style="5"/>
    <col min="42" max="42" width="4.296875" style="5" hidden="1" customWidth="1"/>
    <col min="44" max="44" width="10.59765625" customWidth="1"/>
    <col min="45" max="45" width="8.8984375" style="5"/>
    <col min="46" max="46" width="1.69921875" style="5" hidden="1" customWidth="1"/>
    <col min="48" max="48" width="12.3984375" customWidth="1"/>
    <col min="49" max="49" width="8.8984375" style="5"/>
    <col min="50" max="50" width="1.69921875" hidden="1" customWidth="1"/>
    <col min="51" max="51" width="8.8984375" customWidth="1"/>
    <col min="52" max="53" width="17.69921875" customWidth="1"/>
    <col min="54" max="54" width="13.8984375" customWidth="1"/>
    <col min="55" max="63" width="8.8984375" customWidth="1"/>
    <col min="64" max="64" width="11.09765625" customWidth="1"/>
    <col min="65" max="65" width="8.8984375" customWidth="1"/>
    <col min="66" max="68" width="10.69921875" customWidth="1"/>
    <col min="69" max="70" width="8.8984375" customWidth="1"/>
    <col min="72" max="79" width="9.69921875" customWidth="1"/>
    <col min="81" max="81" width="11.09765625" customWidth="1"/>
    <col min="83" max="83" width="14.09765625" customWidth="1"/>
    <col min="87" max="87" width="13.296875" bestFit="1" customWidth="1"/>
    <col min="88" max="89" width="13.296875" customWidth="1"/>
    <col min="90" max="90" width="21.296875" bestFit="1" customWidth="1"/>
    <col min="91" max="91" width="8.3984375" customWidth="1"/>
    <col min="92" max="92" width="8.59765625" customWidth="1"/>
    <col min="93" max="93" width="9.09765625" customWidth="1"/>
    <col min="94" max="94" width="5.69921875" bestFit="1" customWidth="1"/>
    <col min="95" max="95" width="4.8984375" bestFit="1" customWidth="1"/>
    <col min="96" max="96" width="10.3984375" bestFit="1" customWidth="1"/>
    <col min="97" max="97" width="7.59765625" bestFit="1" customWidth="1"/>
    <col min="98" max="98" width="9.8984375" bestFit="1" customWidth="1"/>
    <col min="99" max="99" width="9.69921875" bestFit="1" customWidth="1"/>
    <col min="100" max="100" width="9" customWidth="1"/>
    <col min="101" max="101" width="7.3984375" customWidth="1"/>
    <col min="102" max="102" width="11" bestFit="1" customWidth="1"/>
    <col min="103" max="103" width="12" customWidth="1"/>
    <col min="108" max="108" width="13.69921875" customWidth="1"/>
    <col min="109" max="109" width="16.296875" customWidth="1"/>
    <col min="117" max="117" width="11.5" customWidth="1"/>
    <col min="129" max="129" width="10.3984375" bestFit="1" customWidth="1"/>
    <col min="139" max="139" width="10.09765625" customWidth="1"/>
    <col min="144" max="144" width="10.5" customWidth="1"/>
    <col min="145" max="145" width="14.59765625" customWidth="1"/>
    <col min="146" max="146" width="10.19921875" customWidth="1"/>
    <col min="151" max="151" width="10.09765625" customWidth="1"/>
  </cols>
  <sheetData>
    <row r="1" spans="1:151" x14ac:dyDescent="0.25">
      <c r="A1" s="74" t="s">
        <v>84</v>
      </c>
      <c r="B1" s="5" t="s">
        <v>8</v>
      </c>
      <c r="C1" s="5"/>
      <c r="D1" s="5" t="s">
        <v>9</v>
      </c>
      <c r="F1" s="66" t="s">
        <v>21</v>
      </c>
      <c r="H1" s="65" t="s">
        <v>32</v>
      </c>
      <c r="J1" s="64" t="s">
        <v>33</v>
      </c>
      <c r="L1" s="53" t="s">
        <v>75</v>
      </c>
      <c r="M1" s="54" t="s">
        <v>34</v>
      </c>
      <c r="N1" s="30" t="s">
        <v>46</v>
      </c>
      <c r="P1" s="52" t="s">
        <v>75</v>
      </c>
      <c r="Q1" s="55" t="s">
        <v>35</v>
      </c>
      <c r="R1" s="31" t="s">
        <v>46</v>
      </c>
      <c r="T1" s="50" t="s">
        <v>75</v>
      </c>
      <c r="U1" s="56" t="s">
        <v>36</v>
      </c>
      <c r="V1" s="32" t="s">
        <v>46</v>
      </c>
      <c r="X1" s="51" t="s">
        <v>75</v>
      </c>
      <c r="Y1" s="57" t="s">
        <v>37</v>
      </c>
      <c r="Z1" s="33" t="s">
        <v>46</v>
      </c>
      <c r="AB1" s="49" t="s">
        <v>75</v>
      </c>
      <c r="AC1" s="58" t="s">
        <v>38</v>
      </c>
      <c r="AD1" s="35" t="s">
        <v>46</v>
      </c>
      <c r="AF1" s="48" t="s">
        <v>75</v>
      </c>
      <c r="AG1" s="59" t="s">
        <v>39</v>
      </c>
      <c r="AH1" s="36" t="s">
        <v>46</v>
      </c>
      <c r="AI1" s="5"/>
      <c r="AJ1" s="47" t="s">
        <v>75</v>
      </c>
      <c r="AK1" s="60" t="s">
        <v>40</v>
      </c>
      <c r="AL1" s="37" t="s">
        <v>46</v>
      </c>
      <c r="AN1" s="46" t="s">
        <v>75</v>
      </c>
      <c r="AO1" s="61" t="s">
        <v>41</v>
      </c>
      <c r="AP1" s="38" t="s">
        <v>46</v>
      </c>
      <c r="AR1" s="45" t="s">
        <v>75</v>
      </c>
      <c r="AS1" s="62" t="s">
        <v>42</v>
      </c>
      <c r="AT1" s="39" t="s">
        <v>46</v>
      </c>
      <c r="AV1" s="44" t="s">
        <v>75</v>
      </c>
      <c r="AW1" s="63" t="s">
        <v>44</v>
      </c>
      <c r="AX1" s="40" t="s">
        <v>46</v>
      </c>
      <c r="AY1" s="5"/>
      <c r="AZ1" s="5" t="s">
        <v>10</v>
      </c>
      <c r="BA1" s="5" t="s">
        <v>11</v>
      </c>
      <c r="BB1" s="5" t="s">
        <v>45</v>
      </c>
      <c r="BC1" s="5" t="s">
        <v>46</v>
      </c>
      <c r="BE1" t="s">
        <v>8</v>
      </c>
      <c r="BF1" t="s">
        <v>22</v>
      </c>
      <c r="BG1" t="s">
        <v>17</v>
      </c>
      <c r="BH1" t="s">
        <v>23</v>
      </c>
      <c r="BI1" t="s">
        <v>24</v>
      </c>
      <c r="BJ1" t="s">
        <v>25</v>
      </c>
      <c r="BK1" t="s">
        <v>26</v>
      </c>
      <c r="BL1" t="s">
        <v>27</v>
      </c>
      <c r="BM1" t="s">
        <v>58</v>
      </c>
      <c r="BN1" t="s">
        <v>28</v>
      </c>
      <c r="BO1" t="s">
        <v>29</v>
      </c>
      <c r="BP1" t="s">
        <v>30</v>
      </c>
      <c r="BQ1" t="s">
        <v>31</v>
      </c>
      <c r="BR1" t="s">
        <v>46</v>
      </c>
      <c r="BS1" t="s">
        <v>50</v>
      </c>
      <c r="BT1" t="s">
        <v>235</v>
      </c>
      <c r="BU1" t="s">
        <v>236</v>
      </c>
      <c r="BW1" t="s">
        <v>51</v>
      </c>
      <c r="BX1" t="s">
        <v>52</v>
      </c>
      <c r="BY1" t="s">
        <v>53</v>
      </c>
      <c r="BZ1" t="s">
        <v>54</v>
      </c>
      <c r="CA1" t="s">
        <v>55</v>
      </c>
      <c r="CB1" t="s">
        <v>56</v>
      </c>
      <c r="CC1" t="s">
        <v>74</v>
      </c>
      <c r="CD1" t="s">
        <v>80</v>
      </c>
      <c r="CE1" t="s">
        <v>81</v>
      </c>
      <c r="CF1" t="s">
        <v>57</v>
      </c>
      <c r="CG1" t="s">
        <v>59</v>
      </c>
      <c r="CH1" t="s">
        <v>77</v>
      </c>
      <c r="CI1" s="5" t="s">
        <v>85</v>
      </c>
      <c r="CJ1" s="5" t="s">
        <v>129</v>
      </c>
      <c r="CK1" s="5" t="s">
        <v>135</v>
      </c>
      <c r="CM1" t="s">
        <v>105</v>
      </c>
      <c r="CN1" t="s">
        <v>190</v>
      </c>
      <c r="CO1" s="5" t="s">
        <v>189</v>
      </c>
      <c r="CT1" s="5" t="s">
        <v>200</v>
      </c>
      <c r="CU1" s="5" t="s">
        <v>199</v>
      </c>
      <c r="CV1" s="5" t="s">
        <v>201</v>
      </c>
      <c r="CW1" s="5" t="s">
        <v>202</v>
      </c>
      <c r="CX1" s="5" t="s">
        <v>198</v>
      </c>
      <c r="CY1" s="5" t="s">
        <v>203</v>
      </c>
      <c r="CZ1" s="5" t="s">
        <v>204</v>
      </c>
      <c r="DA1" s="5" t="s">
        <v>205</v>
      </c>
      <c r="DB1" s="5" t="s">
        <v>206</v>
      </c>
      <c r="DC1" s="5" t="s">
        <v>209</v>
      </c>
      <c r="DD1" s="5" t="s">
        <v>207</v>
      </c>
      <c r="DE1" s="5" t="s">
        <v>208</v>
      </c>
      <c r="DH1" s="126" cm="1">
        <f t="array" ref="DH1">Data_Ep[R3]</f>
        <v>0.1</v>
      </c>
      <c r="DM1" s="5" t="s">
        <v>217</v>
      </c>
      <c r="DN1" s="5" t="s">
        <v>213</v>
      </c>
      <c r="DO1" s="5" t="s">
        <v>212</v>
      </c>
      <c r="DP1" s="5" t="s">
        <v>211</v>
      </c>
      <c r="DQ1" s="5" t="s">
        <v>214</v>
      </c>
      <c r="DR1" s="5" t="s">
        <v>210</v>
      </c>
      <c r="DS1" s="5" t="s">
        <v>216</v>
      </c>
      <c r="DT1" s="5" t="s">
        <v>215</v>
      </c>
      <c r="DU1" s="5" t="s">
        <v>218</v>
      </c>
      <c r="DV1" s="5" t="s">
        <v>219</v>
      </c>
      <c r="DW1" s="5" t="s">
        <v>220</v>
      </c>
      <c r="DX1" s="5" t="s">
        <v>221</v>
      </c>
      <c r="DY1" s="5" t="s">
        <v>222</v>
      </c>
      <c r="DZ1" s="5" t="s">
        <v>230</v>
      </c>
      <c r="EA1" s="5" t="s">
        <v>231</v>
      </c>
      <c r="EB1" s="5" t="s">
        <v>232</v>
      </c>
      <c r="EF1" t="s">
        <v>13</v>
      </c>
      <c r="EG1" t="s">
        <v>1119</v>
      </c>
      <c r="EI1" t="s">
        <v>237</v>
      </c>
      <c r="EJ1" t="s">
        <v>242</v>
      </c>
      <c r="EK1" t="s">
        <v>431</v>
      </c>
      <c r="EL1" t="s">
        <v>432</v>
      </c>
      <c r="EM1" t="s">
        <v>1122</v>
      </c>
      <c r="EN1" s="5" t="s">
        <v>262</v>
      </c>
      <c r="EO1" s="5" t="s">
        <v>1352</v>
      </c>
      <c r="EP1" t="s">
        <v>1357</v>
      </c>
      <c r="EU1" s="5"/>
    </row>
    <row r="2" spans="1:151" x14ac:dyDescent="0.25">
      <c r="B2" s="5">
        <v>2025</v>
      </c>
      <c r="C2" s="5"/>
      <c r="D2" s="5" t="str">
        <f ca="1">Library!R2</f>
        <v>January</v>
      </c>
      <c r="F2" s="42" t="s">
        <v>14</v>
      </c>
      <c r="H2" s="30" t="s">
        <v>1401</v>
      </c>
      <c r="J2" s="38" t="s">
        <v>1332</v>
      </c>
      <c r="M2" s="5" t="s">
        <v>1408</v>
      </c>
      <c r="N2" s="5">
        <f>VLOOKUP(Category1[[#This Row],[C211]],Refund[C224]:Refund[Row],2,FALSE)</f>
        <v>4</v>
      </c>
      <c r="Q2" s="5" t="s">
        <v>1409</v>
      </c>
      <c r="R2" s="5">
        <f>VLOOKUP(Category2[[#This Row],[C212]],Refund[C224]:Refund[Row],2,FALSE)</f>
        <v>5</v>
      </c>
      <c r="U2" s="5" t="s">
        <v>1410</v>
      </c>
      <c r="V2" s="5">
        <f>VLOOKUP(Category3[[#This Row],[C213]],Refund[C224]:Refund[Row],2,FALSE)</f>
        <v>6</v>
      </c>
      <c r="Y2" s="22" t="s">
        <v>1411</v>
      </c>
      <c r="Z2" s="22">
        <f>VLOOKUP(Category4[[#This Row],[C214]],Refund[C224]:Refund[Row],2,FALSE)</f>
        <v>7</v>
      </c>
      <c r="AC2" s="5" t="s">
        <v>1412</v>
      </c>
      <c r="AD2" s="5">
        <f>VLOOKUP(Category5[[#This Row],[C215]],Refund[C224]:Refund[Row],2,FALSE)</f>
        <v>8</v>
      </c>
      <c r="AG2" s="5" t="s">
        <v>1414</v>
      </c>
      <c r="AH2" s="5">
        <f>VLOOKUP(Category6[[#This Row],[C216]],Refund[C224]:Refund[Row],2,FALSE)</f>
        <v>9</v>
      </c>
      <c r="AI2" s="5"/>
      <c r="AJ2" s="5"/>
      <c r="AK2" s="5" t="s">
        <v>1413</v>
      </c>
      <c r="AL2" s="5">
        <f>VLOOKUP(Category7[[#This Row],[C217]],Refund[C224]:Refund[Row],2,FALSE)</f>
        <v>10</v>
      </c>
      <c r="AO2" s="5" t="s">
        <v>1415</v>
      </c>
      <c r="AP2" s="5">
        <f>VLOOKUP(i1_Income1[[#This Row],[C221]],Refund[C224]:Refund[Row],2,FALSE)</f>
        <v>1</v>
      </c>
      <c r="AS2" s="5" t="s">
        <v>659</v>
      </c>
      <c r="AT2" s="5">
        <f>VLOOKUP(i2_Savings[[#This Row],[C222]],Refund[C224]:Refund[Row],2,FALSE)</f>
        <v>2</v>
      </c>
      <c r="AW2" s="5" t="s">
        <v>1416</v>
      </c>
      <c r="AX2" s="5">
        <f>VLOOKUP(i3_Income3[[#This Row],[C223]],Refund[C224]:Refund[Row],2,FALSE)</f>
        <v>3</v>
      </c>
      <c r="AY2" s="5"/>
      <c r="AZ2" s="5" t="s">
        <v>13</v>
      </c>
      <c r="BA2" s="5" t="s">
        <v>1332</v>
      </c>
      <c r="BB2" s="5" t="s">
        <v>1415</v>
      </c>
      <c r="BC2" s="5">
        <v>1</v>
      </c>
      <c r="BE2">
        <v>2025</v>
      </c>
      <c r="BF2">
        <v>1</v>
      </c>
      <c r="BG2">
        <v>10</v>
      </c>
      <c r="BH2">
        <v>21</v>
      </c>
      <c r="BI2">
        <v>31</v>
      </c>
      <c r="BJ2">
        <v>40</v>
      </c>
      <c r="BK2">
        <v>49</v>
      </c>
      <c r="BL2">
        <v>58</v>
      </c>
      <c r="BM2">
        <v>67</v>
      </c>
      <c r="BN2">
        <v>76</v>
      </c>
      <c r="BO2">
        <v>86</v>
      </c>
      <c r="BP2">
        <v>95</v>
      </c>
      <c r="BQ2">
        <v>104</v>
      </c>
      <c r="BR2">
        <f>ROWS(Refund[])</f>
        <v>10</v>
      </c>
      <c r="BS2">
        <f>ROWS(Master[])</f>
        <v>112</v>
      </c>
      <c r="BT2">
        <v>0</v>
      </c>
      <c r="BU2">
        <v>0</v>
      </c>
      <c r="BW2" s="5" t="s">
        <v>8</v>
      </c>
      <c r="BX2" s="5" t="s">
        <v>9</v>
      </c>
      <c r="BY2" s="5" t="s">
        <v>10</v>
      </c>
      <c r="BZ2" s="5" t="s">
        <v>11</v>
      </c>
      <c r="CA2" s="5" t="s">
        <v>12</v>
      </c>
      <c r="CB2" s="5" t="s">
        <v>73</v>
      </c>
      <c r="CC2" s="5" t="s">
        <v>15</v>
      </c>
      <c r="CD2" s="5" t="s">
        <v>79</v>
      </c>
      <c r="CE2" s="5" t="s">
        <v>78</v>
      </c>
      <c r="CF2" s="5">
        <f>ROWS(Master[])</f>
        <v>112</v>
      </c>
      <c r="CG2" s="5">
        <f>ROWS(DataTable[])</f>
        <v>1</v>
      </c>
      <c r="CH2" s="5">
        <f>COUNTA(Data_Line[[janvier]:[décembre]])</f>
        <v>12</v>
      </c>
      <c r="CI2" s="5" t="s">
        <v>86</v>
      </c>
      <c r="CJ2" s="5" t="s">
        <v>19</v>
      </c>
      <c r="CK2" s="5" t="s">
        <v>88</v>
      </c>
      <c r="CM2" t="s">
        <v>106</v>
      </c>
      <c r="CN2" s="190">
        <v>1</v>
      </c>
      <c r="CO2" s="190">
        <v>1</v>
      </c>
      <c r="CT2" s="191"/>
      <c r="CU2" s="191"/>
      <c r="CV2" s="191"/>
      <c r="CW2" s="191"/>
      <c r="CX2" s="191">
        <v>0.03</v>
      </c>
      <c r="CY2" s="191">
        <v>0.05</v>
      </c>
      <c r="CZ2" s="191">
        <v>7.0000000000000007E-2</v>
      </c>
      <c r="DA2" s="191">
        <v>0.1</v>
      </c>
      <c r="DB2" s="191">
        <v>2</v>
      </c>
      <c r="DC2" s="191"/>
      <c r="DD2" s="191"/>
      <c r="DE2" s="191"/>
      <c r="DH2" s="126" cm="1">
        <f t="array" ref="DH2">Data_Ep[R2]</f>
        <v>7.0000000000000007E-2</v>
      </c>
      <c r="DM2" s="294"/>
      <c r="DN2" s="191">
        <v>0.05</v>
      </c>
      <c r="DO2" s="191"/>
      <c r="DP2" s="191"/>
      <c r="DQ2" s="191"/>
      <c r="DR2" s="191"/>
      <c r="DS2" s="191"/>
      <c r="DT2" s="191"/>
      <c r="DU2" s="191">
        <v>0.04</v>
      </c>
      <c r="DV2" s="191">
        <v>0.03</v>
      </c>
      <c r="DW2" s="191"/>
      <c r="DX2" s="191"/>
      <c r="DY2" s="294"/>
      <c r="DZ2" s="191">
        <f>2025+TbDataEP[[#This Row],[tf]]-TbDataEP[[#This Row],[tc]]+1</f>
        <v>2026</v>
      </c>
      <c r="EA2" s="191">
        <v>0</v>
      </c>
      <c r="EB2" s="191">
        <v>1</v>
      </c>
      <c r="EF2" t="s">
        <v>48</v>
      </c>
      <c r="EG2" s="190" t="s">
        <v>523</v>
      </c>
      <c r="EI2" s="5" t="s">
        <v>238</v>
      </c>
      <c r="EJ2" s="191" t="s">
        <v>238</v>
      </c>
      <c r="EK2" s="5" t="s">
        <v>263</v>
      </c>
      <c r="EL2" s="191" t="s">
        <v>264</v>
      </c>
      <c r="EM2" s="191"/>
      <c r="EN2" s="5" t="s">
        <v>1123</v>
      </c>
      <c r="EO2" s="5" t="s">
        <v>1355</v>
      </c>
      <c r="EP2" s="191"/>
      <c r="EU2" s="5"/>
    </row>
    <row r="3" spans="1:151" x14ac:dyDescent="0.25">
      <c r="C3" s="5"/>
      <c r="D3" s="5" t="str">
        <f ca="1">Library!R3</f>
        <v>February</v>
      </c>
      <c r="F3" s="41" t="s">
        <v>13</v>
      </c>
      <c r="H3" s="31" t="s">
        <v>1402</v>
      </c>
      <c r="J3" s="39" t="s">
        <v>1331</v>
      </c>
      <c r="M3" s="5"/>
      <c r="N3" s="5"/>
      <c r="Q3" s="5"/>
      <c r="R3" s="5"/>
      <c r="AG3" s="5"/>
      <c r="AH3" s="5"/>
      <c r="AK3" s="5"/>
      <c r="AL3" s="5"/>
      <c r="AY3" s="5"/>
      <c r="AZ3" s="5" t="s">
        <v>13</v>
      </c>
      <c r="BA3" s="5" t="s">
        <v>1331</v>
      </c>
      <c r="BB3" s="5" t="s">
        <v>659</v>
      </c>
      <c r="BC3" s="5">
        <v>2</v>
      </c>
      <c r="CM3" t="s">
        <v>188</v>
      </c>
      <c r="CN3" s="190">
        <v>1</v>
      </c>
      <c r="CO3" s="190">
        <v>0</v>
      </c>
      <c r="DH3" s="126" cm="1">
        <f t="array" ref="DH3">Data_Ep[R1]</f>
        <v>0.05</v>
      </c>
      <c r="DM3" s="294"/>
      <c r="DN3" s="191">
        <v>7.0000000000000007E-2</v>
      </c>
      <c r="DO3" s="191"/>
      <c r="DP3" s="191"/>
      <c r="DQ3" s="191"/>
      <c r="DR3" s="191"/>
      <c r="DS3" s="191"/>
      <c r="DT3" s="191"/>
      <c r="DU3" s="191">
        <v>0.04</v>
      </c>
      <c r="DV3" s="191">
        <v>0.03</v>
      </c>
      <c r="DW3" s="191"/>
      <c r="DX3" s="191"/>
      <c r="DY3" s="294"/>
      <c r="DZ3" s="191"/>
      <c r="EA3" s="191">
        <v>0</v>
      </c>
      <c r="EB3" s="191">
        <v>1</v>
      </c>
      <c r="EF3" t="s">
        <v>49</v>
      </c>
      <c r="EG3" s="190" t="s">
        <v>13</v>
      </c>
      <c r="EI3" s="5" t="s">
        <v>239</v>
      </c>
      <c r="EJ3" s="5"/>
      <c r="EK3" s="5" t="s">
        <v>264</v>
      </c>
      <c r="EL3" s="5"/>
      <c r="EM3" s="191"/>
      <c r="EN3" s="5" t="s">
        <v>1162</v>
      </c>
      <c r="EO3" s="5" t="s">
        <v>1353</v>
      </c>
      <c r="EP3" s="5"/>
      <c r="EU3" s="5"/>
    </row>
    <row r="4" spans="1:151" x14ac:dyDescent="0.25">
      <c r="C4" s="5"/>
      <c r="D4" s="5" t="str">
        <f ca="1">Library!R4</f>
        <v>March</v>
      </c>
      <c r="H4" s="32" t="s">
        <v>1403</v>
      </c>
      <c r="J4" s="40" t="s">
        <v>1333</v>
      </c>
      <c r="Q4" s="5"/>
      <c r="R4" s="5"/>
      <c r="AY4" s="5"/>
      <c r="AZ4" s="5" t="s">
        <v>13</v>
      </c>
      <c r="BA4" s="5" t="s">
        <v>1333</v>
      </c>
      <c r="BB4" s="5" t="s">
        <v>1416</v>
      </c>
      <c r="BC4" s="5">
        <v>3</v>
      </c>
      <c r="DH4" s="9" t="str" cm="1">
        <f t="array" ref="DH4">Data_Ep[AgeR] &amp; " Ans"</f>
        <v xml:space="preserve"> Ans</v>
      </c>
      <c r="DM4" s="294"/>
      <c r="DN4" s="191">
        <v>0.1</v>
      </c>
      <c r="DO4" s="191"/>
      <c r="DP4" s="191"/>
      <c r="DQ4" s="191"/>
      <c r="DR4" s="191"/>
      <c r="DS4" s="191"/>
      <c r="DT4" s="191"/>
      <c r="DU4" s="191">
        <v>0.04</v>
      </c>
      <c r="DV4" s="191">
        <v>0.03</v>
      </c>
      <c r="DW4" s="191"/>
      <c r="DX4" s="191"/>
      <c r="DY4" s="294"/>
      <c r="DZ4" s="191"/>
      <c r="EA4" s="191">
        <v>0</v>
      </c>
      <c r="EB4" s="191">
        <v>1</v>
      </c>
      <c r="EF4" t="s">
        <v>47</v>
      </c>
      <c r="EI4" s="5" t="s">
        <v>240</v>
      </c>
      <c r="EJ4" s="5"/>
      <c r="EK4" s="5" t="s">
        <v>469</v>
      </c>
      <c r="EL4" s="5"/>
      <c r="EM4" s="191">
        <v>3</v>
      </c>
      <c r="EN4" s="5" t="s">
        <v>1341</v>
      </c>
      <c r="EO4" s="5" t="s">
        <v>1356</v>
      </c>
      <c r="EP4" s="5"/>
      <c r="EU4" s="5"/>
    </row>
    <row r="5" spans="1:151" x14ac:dyDescent="0.25">
      <c r="D5" s="5" t="str">
        <f ca="1">Library!R5</f>
        <v>April</v>
      </c>
      <c r="H5" s="34" t="s">
        <v>1404</v>
      </c>
      <c r="J5" s="5"/>
      <c r="Q5" s="5"/>
      <c r="R5" s="5"/>
      <c r="AZ5" s="5" t="s">
        <v>14</v>
      </c>
      <c r="BA5" s="5" t="s">
        <v>1401</v>
      </c>
      <c r="BB5" s="5" t="s">
        <v>1408</v>
      </c>
      <c r="BC5" s="5">
        <v>4</v>
      </c>
      <c r="DH5" s="9" t="str" cm="1">
        <f t="array" ref="DH5">Data_Ep[AgeM] &amp; " Ans"</f>
        <v xml:space="preserve"> Ans</v>
      </c>
      <c r="EI5" s="5" t="s">
        <v>241</v>
      </c>
      <c r="EJ5" s="5"/>
      <c r="EK5" s="5" t="s">
        <v>1093</v>
      </c>
      <c r="EL5" s="5"/>
      <c r="EM5" s="191"/>
      <c r="EN5" s="5"/>
      <c r="EO5" s="5" t="s">
        <v>1354</v>
      </c>
      <c r="EP5" s="5"/>
      <c r="EU5" s="5"/>
    </row>
    <row r="6" spans="1:151" x14ac:dyDescent="0.25">
      <c r="D6" s="5" t="str">
        <f ca="1">Library!R6</f>
        <v>May</v>
      </c>
      <c r="H6" s="35" t="s">
        <v>1405</v>
      </c>
      <c r="AZ6" s="5" t="s">
        <v>14</v>
      </c>
      <c r="BA6" s="5" t="s">
        <v>1402</v>
      </c>
      <c r="BB6" s="22" t="s">
        <v>1409</v>
      </c>
      <c r="BC6" s="5">
        <v>5</v>
      </c>
      <c r="EI6" s="5"/>
      <c r="EJ6" s="5"/>
      <c r="EK6" s="136" t="s">
        <v>470</v>
      </c>
      <c r="EL6" s="5"/>
      <c r="EM6" s="5"/>
      <c r="EN6" s="5"/>
      <c r="EO6" s="5"/>
      <c r="EP6" s="5"/>
      <c r="EU6" s="5"/>
    </row>
    <row r="7" spans="1:151" x14ac:dyDescent="0.25">
      <c r="D7" s="5" t="str">
        <f ca="1">Library!R7</f>
        <v>June</v>
      </c>
      <c r="H7" s="36" t="s">
        <v>1406</v>
      </c>
      <c r="AZ7" s="5" t="s">
        <v>14</v>
      </c>
      <c r="BA7" s="5" t="s">
        <v>1403</v>
      </c>
      <c r="BB7" s="5" t="s">
        <v>1410</v>
      </c>
      <c r="BC7" s="5">
        <v>6</v>
      </c>
      <c r="EU7" s="5"/>
    </row>
    <row r="8" spans="1:151" x14ac:dyDescent="0.25">
      <c r="D8" s="5" t="str">
        <f ca="1">Library!R8</f>
        <v>July</v>
      </c>
      <c r="H8" s="37" t="s">
        <v>1407</v>
      </c>
      <c r="AZ8" s="5" t="s">
        <v>14</v>
      </c>
      <c r="BA8" s="5" t="s">
        <v>1404</v>
      </c>
      <c r="BB8" s="22" t="s">
        <v>1411</v>
      </c>
      <c r="BC8" s="5">
        <v>7</v>
      </c>
      <c r="EU8" s="5"/>
    </row>
    <row r="9" spans="1:151" x14ac:dyDescent="0.25">
      <c r="D9" s="5" t="str">
        <f ca="1">Library!R9</f>
        <v>August</v>
      </c>
      <c r="AZ9" s="5" t="s">
        <v>14</v>
      </c>
      <c r="BA9" s="5" t="s">
        <v>1405</v>
      </c>
      <c r="BB9" s="5" t="s">
        <v>1412</v>
      </c>
      <c r="BC9" s="5">
        <v>8</v>
      </c>
      <c r="DM9" s="216"/>
    </row>
    <row r="10" spans="1:151" x14ac:dyDescent="0.25">
      <c r="D10" s="5" t="str">
        <f ca="1">Library!R10</f>
        <v>September</v>
      </c>
      <c r="AZ10" s="5" t="s">
        <v>14</v>
      </c>
      <c r="BA10" s="5" t="s">
        <v>1406</v>
      </c>
      <c r="BB10" s="5" t="s">
        <v>1414</v>
      </c>
      <c r="BC10" s="5">
        <v>9</v>
      </c>
    </row>
    <row r="11" spans="1:151" x14ac:dyDescent="0.25">
      <c r="D11" s="5" t="str">
        <f ca="1">Library!R11</f>
        <v>October</v>
      </c>
      <c r="AZ11" s="5" t="s">
        <v>14</v>
      </c>
      <c r="BA11" s="5" t="s">
        <v>1407</v>
      </c>
      <c r="BB11" s="5" t="s">
        <v>1413</v>
      </c>
      <c r="BC11" s="5">
        <v>10</v>
      </c>
    </row>
    <row r="12" spans="1:151" x14ac:dyDescent="0.25">
      <c r="D12" s="5" t="str">
        <f ca="1">Library!R12</f>
        <v>November</v>
      </c>
      <c r="AZ12" s="5"/>
      <c r="BA12" s="5"/>
      <c r="BB12" s="5"/>
      <c r="BC12" s="5"/>
    </row>
    <row r="13" spans="1:151" x14ac:dyDescent="0.25">
      <c r="D13" s="5" t="str">
        <f ca="1">Library!R13</f>
        <v>December</v>
      </c>
      <c r="AZ13" s="5"/>
      <c r="BA13" s="5"/>
      <c r="BB13" s="5"/>
      <c r="BC13" s="5"/>
    </row>
    <row r="14" spans="1:151" x14ac:dyDescent="0.25">
      <c r="AZ14" s="5"/>
      <c r="BA14" s="5"/>
      <c r="BB14" s="5"/>
      <c r="BC14" s="5"/>
    </row>
  </sheetData>
  <sheetProtection algorithmName="SHA-512" hashValue="WbvNi4sgeoksJOgumIAyC2CXjvaQYgjxh9IwlJmIsQ7QBvIKZJEMjQcAKWcWRIp+bSk5X2eOXzUst3WPDecJFQ==" saltValue="A67ycqGpP5j2ADYACa3ovQ==" spinCount="100000" sheet="1" objects="1" scenarios="1"/>
  <sortState xmlns:xlrd2="http://schemas.microsoft.com/office/spreadsheetml/2017/richdata2" ref="BB3:BB8">
    <sortCondition ref="BB2:BB8"/>
  </sortState>
  <phoneticPr fontId="5" type="noConversion"/>
  <pageMargins left="0.7" right="0.7" top="0.75" bottom="0.75" header="0.3" footer="0.3"/>
  <pageSetup orientation="portrait" r:id="rId1"/>
  <ignoredErrors>
    <ignoredError sqref="DZ2" unlockedFormula="1"/>
  </ignoredErrors>
  <drawing r:id="rId2"/>
  <legacyDrawing r:id="rId3"/>
  <controls>
    <mc:AlternateContent xmlns:mc="http://schemas.openxmlformats.org/markup-compatibility/2006">
      <mc:Choice Requires="x14">
        <control shapeId="3104" r:id="rId4" name="CommandButton1">
          <controlPr defaultSize="0" autoLine="0" r:id="rId5">
            <anchor moveWithCells="1">
              <from>
                <xdr:col>9</xdr:col>
                <xdr:colOff>393700</xdr:colOff>
                <xdr:row>10</xdr:row>
                <xdr:rowOff>25400</xdr:rowOff>
              </from>
              <to>
                <xdr:col>11</xdr:col>
                <xdr:colOff>800100</xdr:colOff>
                <xdr:row>13</xdr:row>
                <xdr:rowOff>107950</xdr:rowOff>
              </to>
            </anchor>
          </controlPr>
        </control>
      </mc:Choice>
      <mc:Fallback>
        <control shapeId="3104" r:id="rId4" name="CommandButton1"/>
      </mc:Fallback>
    </mc:AlternateContent>
    <mc:AlternateContent xmlns:mc="http://schemas.openxmlformats.org/markup-compatibility/2006">
      <mc:Choice Requires="x14">
        <control shapeId="3089" r:id="rId6" name="Btn Category1">
          <controlPr defaultSize="0" print="0" autoFill="0" autoPict="0" macro="[0]!btnS">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3094" r:id="rId7" name="Btn Category2">
          <controlPr defaultSize="0" print="0" autoFill="0" autoPict="0" macro="[0]!btnS">
            <anchor moveWithCells="1" sizeWithCells="1">
              <from>
                <xdr:col>15</xdr:col>
                <xdr:colOff>0</xdr:colOff>
                <xdr:row>1</xdr:row>
                <xdr:rowOff>0</xdr:rowOff>
              </from>
              <to>
                <xdr:col>16</xdr:col>
                <xdr:colOff>0</xdr:colOff>
                <xdr:row>2</xdr:row>
                <xdr:rowOff>0</xdr:rowOff>
              </to>
            </anchor>
          </controlPr>
        </control>
      </mc:Choice>
    </mc:AlternateContent>
    <mc:AlternateContent xmlns:mc="http://schemas.openxmlformats.org/markup-compatibility/2006">
      <mc:Choice Requires="x14">
        <control shapeId="3095" r:id="rId8" name="Btn Category3">
          <controlPr defaultSize="0" print="0" autoFill="0" autoPict="0" macro="[0]!btnS">
            <anchor moveWithCells="1" sizeWithCells="1">
              <from>
                <xdr:col>19</xdr:col>
                <xdr:colOff>0</xdr:colOff>
                <xdr:row>1</xdr:row>
                <xdr:rowOff>0</xdr:rowOff>
              </from>
              <to>
                <xdr:col>20</xdr:col>
                <xdr:colOff>0</xdr:colOff>
                <xdr:row>2</xdr:row>
                <xdr:rowOff>0</xdr:rowOff>
              </to>
            </anchor>
          </controlPr>
        </control>
      </mc:Choice>
    </mc:AlternateContent>
    <mc:AlternateContent xmlns:mc="http://schemas.openxmlformats.org/markup-compatibility/2006">
      <mc:Choice Requires="x14">
        <control shapeId="3096" r:id="rId9" name="Btn Category4">
          <controlPr defaultSize="0" print="0" autoFill="0" autoPict="0" macro="[0]!btnS">
            <anchor moveWithCells="1" sizeWithCells="1">
              <from>
                <xdr:col>23</xdr:col>
                <xdr:colOff>0</xdr:colOff>
                <xdr:row>1</xdr:row>
                <xdr:rowOff>0</xdr:rowOff>
              </from>
              <to>
                <xdr:col>24</xdr:col>
                <xdr:colOff>0</xdr:colOff>
                <xdr:row>2</xdr:row>
                <xdr:rowOff>0</xdr:rowOff>
              </to>
            </anchor>
          </controlPr>
        </control>
      </mc:Choice>
    </mc:AlternateContent>
    <mc:AlternateContent xmlns:mc="http://schemas.openxmlformats.org/markup-compatibility/2006">
      <mc:Choice Requires="x14">
        <control shapeId="3097" r:id="rId10" name="Btn Category5">
          <controlPr defaultSize="0" print="0" autoFill="0" autoPict="0" macro="[0]!btnS">
            <anchor moveWithCells="1" sizeWithCells="1">
              <from>
                <xdr:col>27</xdr:col>
                <xdr:colOff>0</xdr:colOff>
                <xdr:row>1</xdr:row>
                <xdr:rowOff>0</xdr:rowOff>
              </from>
              <to>
                <xdr:col>28</xdr:col>
                <xdr:colOff>0</xdr:colOff>
                <xdr:row>2</xdr:row>
                <xdr:rowOff>0</xdr:rowOff>
              </to>
            </anchor>
          </controlPr>
        </control>
      </mc:Choice>
    </mc:AlternateContent>
    <mc:AlternateContent xmlns:mc="http://schemas.openxmlformats.org/markup-compatibility/2006">
      <mc:Choice Requires="x14">
        <control shapeId="3098" r:id="rId11" name="Btn Category6">
          <controlPr defaultSize="0" print="0" autoFill="0" autoPict="0" macro="[0]!btnS">
            <anchor moveWithCells="1" sizeWithCells="1">
              <from>
                <xdr:col>31</xdr:col>
                <xdr:colOff>0</xdr:colOff>
                <xdr:row>1</xdr:row>
                <xdr:rowOff>0</xdr:rowOff>
              </from>
              <to>
                <xdr:col>32</xdr:col>
                <xdr:colOff>0</xdr:colOff>
                <xdr:row>2</xdr:row>
                <xdr:rowOff>0</xdr:rowOff>
              </to>
            </anchor>
          </controlPr>
        </control>
      </mc:Choice>
    </mc:AlternateContent>
    <mc:AlternateContent xmlns:mc="http://schemas.openxmlformats.org/markup-compatibility/2006">
      <mc:Choice Requires="x14">
        <control shapeId="3099" r:id="rId12" name="Btn Category7">
          <controlPr defaultSize="0" print="0" autoFill="0" autoPict="0" macro="[0]!btnS">
            <anchor moveWithCells="1" sizeWithCells="1">
              <from>
                <xdr:col>35</xdr:col>
                <xdr:colOff>0</xdr:colOff>
                <xdr:row>1</xdr:row>
                <xdr:rowOff>0</xdr:rowOff>
              </from>
              <to>
                <xdr:col>36</xdr:col>
                <xdr:colOff>0</xdr:colOff>
                <xdr:row>2</xdr:row>
                <xdr:rowOff>0</xdr:rowOff>
              </to>
            </anchor>
          </controlPr>
        </control>
      </mc:Choice>
    </mc:AlternateContent>
    <mc:AlternateContent xmlns:mc="http://schemas.openxmlformats.org/markup-compatibility/2006">
      <mc:Choice Requires="x14">
        <control shapeId="3100" r:id="rId13" name="Btn i1_Income1">
          <controlPr defaultSize="0" print="0" autoFill="0" autoPict="0" macro="[0]!btnS">
            <anchor moveWithCells="1" sizeWithCells="1">
              <from>
                <xdr:col>39</xdr:col>
                <xdr:colOff>0</xdr:colOff>
                <xdr:row>1</xdr:row>
                <xdr:rowOff>0</xdr:rowOff>
              </from>
              <to>
                <xdr:col>40</xdr:col>
                <xdr:colOff>0</xdr:colOff>
                <xdr:row>2</xdr:row>
                <xdr:rowOff>0</xdr:rowOff>
              </to>
            </anchor>
          </controlPr>
        </control>
      </mc:Choice>
    </mc:AlternateContent>
    <mc:AlternateContent xmlns:mc="http://schemas.openxmlformats.org/markup-compatibility/2006">
      <mc:Choice Requires="x14">
        <control shapeId="3101" r:id="rId14" name="Btn i2_Savings">
          <controlPr defaultSize="0" print="0" autoFill="0" autoPict="0" macro="[0]!btnS">
            <anchor moveWithCells="1" sizeWithCells="1">
              <from>
                <xdr:col>43</xdr:col>
                <xdr:colOff>0</xdr:colOff>
                <xdr:row>1</xdr:row>
                <xdr:rowOff>0</xdr:rowOff>
              </from>
              <to>
                <xdr:col>44</xdr:col>
                <xdr:colOff>0</xdr:colOff>
                <xdr:row>2</xdr:row>
                <xdr:rowOff>0</xdr:rowOff>
              </to>
            </anchor>
          </controlPr>
        </control>
      </mc:Choice>
    </mc:AlternateContent>
    <mc:AlternateContent xmlns:mc="http://schemas.openxmlformats.org/markup-compatibility/2006">
      <mc:Choice Requires="x14">
        <control shapeId="3102" r:id="rId15" name="Btn i3_Income3">
          <controlPr defaultSize="0" print="0" autoFill="0" autoPict="0" macro="[0]!btnS">
            <anchor moveWithCells="1" sizeWithCells="1">
              <from>
                <xdr:col>47</xdr:col>
                <xdr:colOff>0</xdr:colOff>
                <xdr:row>1</xdr:row>
                <xdr:rowOff>0</xdr:rowOff>
              </from>
              <to>
                <xdr:col>48</xdr:col>
                <xdr:colOff>0</xdr:colOff>
                <xdr:row>2</xdr:row>
                <xdr:rowOff>0</xdr:rowOff>
              </to>
            </anchor>
          </controlPr>
        </control>
      </mc:Choice>
    </mc:AlternateContent>
    <mc:AlternateContent xmlns:mc="http://schemas.openxmlformats.org/markup-compatibility/2006">
      <mc:Choice Requires="x14">
        <control shapeId="3103" r:id="rId16" name="Btn Année">
          <controlPr defaultSize="0" print="0" autoFill="0" autoPict="0" macro="[0]!btnA">
            <anchor moveWithCells="1" sizeWithCells="1">
              <from>
                <xdr:col>0</xdr:col>
                <xdr:colOff>0</xdr:colOff>
                <xdr:row>1</xdr:row>
                <xdr:rowOff>0</xdr:rowOff>
              </from>
              <to>
                <xdr:col>1</xdr:col>
                <xdr:colOff>0</xdr:colOff>
                <xdr:row>2</xdr:row>
                <xdr:rowOff>0</xdr:rowOff>
              </to>
            </anchor>
          </controlPr>
        </control>
      </mc:Choice>
    </mc:AlternateContent>
  </controls>
  <tableParts count="23">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E7EBB-19B7-47E9-9C37-33DE3BC9C357}">
  <sheetPr codeName="Sheet19">
    <tabColor theme="1" tint="0.14999847407452621"/>
  </sheetPr>
  <dimension ref="A10:AA346"/>
  <sheetViews>
    <sheetView workbookViewId="0">
      <selection activeCell="C32" sqref="C32"/>
    </sheetView>
  </sheetViews>
  <sheetFormatPr defaultRowHeight="11.5" x14ac:dyDescent="0.25"/>
  <cols>
    <col min="1" max="1" width="14.69921875" bestFit="1" customWidth="1"/>
    <col min="2" max="2" width="16.296875" bestFit="1" customWidth="1"/>
    <col min="3" max="3" width="15.69921875" bestFit="1" customWidth="1"/>
    <col min="4" max="4" width="11" bestFit="1" customWidth="1"/>
    <col min="6" max="6" width="13.296875" bestFit="1" customWidth="1"/>
    <col min="7" max="7" width="14.69921875" bestFit="1" customWidth="1"/>
    <col min="17" max="17" width="14.69921875" bestFit="1" customWidth="1"/>
    <col min="18" max="18" width="16.296875" bestFit="1" customWidth="1"/>
    <col min="19" max="25" width="14" bestFit="1" customWidth="1"/>
    <col min="26" max="27" width="12.3984375" bestFit="1" customWidth="1"/>
    <col min="28" max="28" width="11" bestFit="1" customWidth="1"/>
  </cols>
  <sheetData>
    <row r="10" spans="1:2" x14ac:dyDescent="0.25">
      <c r="A10" s="21" t="s">
        <v>20</v>
      </c>
      <c r="B10" s="21" t="s">
        <v>69</v>
      </c>
    </row>
    <row r="11" spans="1:2" x14ac:dyDescent="0.25">
      <c r="A11" s="21" t="s">
        <v>18</v>
      </c>
      <c r="B11">
        <v>2025</v>
      </c>
    </row>
    <row r="12" spans="1:2" x14ac:dyDescent="0.25">
      <c r="A12" s="7" t="s">
        <v>471</v>
      </c>
      <c r="B12" s="70">
        <v>1E-4</v>
      </c>
    </row>
    <row r="13" spans="1:2" x14ac:dyDescent="0.25">
      <c r="A13" s="7" t="s">
        <v>474</v>
      </c>
      <c r="B13" s="70">
        <v>1E-4</v>
      </c>
    </row>
    <row r="14" spans="1:2" x14ac:dyDescent="0.25">
      <c r="A14" s="7" t="s">
        <v>477</v>
      </c>
      <c r="B14" s="70">
        <v>1E-4</v>
      </c>
    </row>
    <row r="15" spans="1:2" x14ac:dyDescent="0.25">
      <c r="A15" s="7" t="s">
        <v>480</v>
      </c>
      <c r="B15" s="70">
        <v>9.0000000000000006E-5</v>
      </c>
    </row>
    <row r="16" spans="1:2" x14ac:dyDescent="0.25">
      <c r="A16" s="7" t="s">
        <v>437</v>
      </c>
      <c r="B16" s="70">
        <v>9.0000000000000006E-5</v>
      </c>
    </row>
    <row r="17" spans="1:3" x14ac:dyDescent="0.25">
      <c r="A17" s="7" t="s">
        <v>485</v>
      </c>
      <c r="B17" s="70">
        <v>9.0000000000000006E-5</v>
      </c>
    </row>
    <row r="18" spans="1:3" x14ac:dyDescent="0.25">
      <c r="A18" s="7" t="s">
        <v>488</v>
      </c>
      <c r="B18" s="70">
        <v>9.0000000000000006E-5</v>
      </c>
    </row>
    <row r="19" spans="1:3" x14ac:dyDescent="0.25">
      <c r="A19" s="7" t="s">
        <v>491</v>
      </c>
      <c r="B19" s="70">
        <v>9.0000000000000006E-5</v>
      </c>
    </row>
    <row r="20" spans="1:3" x14ac:dyDescent="0.25">
      <c r="A20" s="7" t="s">
        <v>494</v>
      </c>
      <c r="B20" s="70">
        <v>1E-4</v>
      </c>
    </row>
    <row r="21" spans="1:3" x14ac:dyDescent="0.25">
      <c r="A21" s="7" t="s">
        <v>497</v>
      </c>
      <c r="B21" s="70">
        <v>9.0000000000000006E-5</v>
      </c>
      <c r="C21" s="311"/>
    </row>
    <row r="22" spans="1:3" x14ac:dyDescent="0.25">
      <c r="A22" s="7" t="s">
        <v>499</v>
      </c>
      <c r="B22" s="70">
        <v>9.0000000000000006E-5</v>
      </c>
    </row>
    <row r="23" spans="1:3" x14ac:dyDescent="0.25">
      <c r="A23" s="7" t="s">
        <v>501</v>
      </c>
      <c r="B23" s="70">
        <v>9.0000000000000006E-5</v>
      </c>
    </row>
    <row r="24" spans="1:3" x14ac:dyDescent="0.25">
      <c r="A24" s="7" t="s">
        <v>19</v>
      </c>
      <c r="B24" s="70">
        <v>1.1200000000000001E-3</v>
      </c>
    </row>
    <row r="27" spans="1:3" x14ac:dyDescent="0.25">
      <c r="A27" s="12" t="s">
        <v>128</v>
      </c>
      <c r="B27" s="9" cm="1">
        <f t="array" ref="B27">12 - (COUNTIF(B12:B23,"")+COUNTIF(A12:A23,TbHead[GrandT]))</f>
        <v>12</v>
      </c>
      <c r="C27" s="9" cm="1">
        <f t="array" ref="C27">12 - (COUNTIF(C12:C23,"")+COUNTIF(A12:A23,TbHead[GrandT]))</f>
        <v>0</v>
      </c>
    </row>
    <row r="28" spans="1:3" x14ac:dyDescent="0.25">
      <c r="A28" s="289" t="s">
        <v>124</v>
      </c>
      <c r="B28" s="296" t="str">
        <f>IFERROR(IF(B31="","",CONCATENATE("("&amp;B31&amp;WB_Data!EJ2&amp;")")),"")</f>
        <v>(0.00$)</v>
      </c>
      <c r="C28" s="296" t="str">
        <f>IFERROR(IF(C31="","",CONCATENATE("("&amp;C31&amp;WB_Data!EJ2&amp;")")),"")</f>
        <v/>
      </c>
    </row>
    <row r="29" spans="1:3" x14ac:dyDescent="0.25">
      <c r="A29" s="8">
        <f>IFERROR(B37,"-")</f>
        <v>2025</v>
      </c>
      <c r="B29" s="9">
        <f>IFERROR(IF(B11="","-",B11),"-")</f>
        <v>2025</v>
      </c>
      <c r="C29" s="9" t="str">
        <f>IFERROR(IF(C11="","-",C11),"-")</f>
        <v>-</v>
      </c>
    </row>
    <row r="30" spans="1:3" x14ac:dyDescent="0.25">
      <c r="B30" s="315">
        <f>IFERROR(GETPIVOTDATA("[Measures].[Sum of Montant]",$A$10,"[Master_1].[Année]","[Master_1].[Année].&amp;["&amp; $B$11 &amp;"]")/$B$27,"")</f>
        <v>9.3333333333333343E-5</v>
      </c>
      <c r="C30" s="8" t="str">
        <f>IFERROR(GETPIVOTDATA("[Measures].[Sum of Montant]",$A$10,"[Master_1].[Année]","[Master_1].[Année].&amp;["&amp; $C$11 &amp;"]")/$C$27,"")</f>
        <v/>
      </c>
    </row>
    <row r="31" spans="1:3" x14ac:dyDescent="0.25">
      <c r="B31" s="9" t="str">
        <f>TEXT(B30,"# ##0.00")</f>
        <v>0.00</v>
      </c>
      <c r="C31" s="8" t="str">
        <f>TEXT(C30,"# ##0.00")</f>
        <v/>
      </c>
    </row>
    <row r="36" spans="1:2" x14ac:dyDescent="0.25">
      <c r="A36" s="21" t="s">
        <v>20</v>
      </c>
      <c r="B36" s="21" t="s">
        <v>69</v>
      </c>
    </row>
    <row r="37" spans="1:2" x14ac:dyDescent="0.25">
      <c r="A37" s="21" t="s">
        <v>18</v>
      </c>
      <c r="B37">
        <v>2025</v>
      </c>
    </row>
    <row r="38" spans="1:2" x14ac:dyDescent="0.25">
      <c r="A38" s="7" t="s">
        <v>471</v>
      </c>
      <c r="B38" s="70">
        <v>1E-4</v>
      </c>
    </row>
    <row r="39" spans="1:2" x14ac:dyDescent="0.25">
      <c r="A39" s="7" t="s">
        <v>474</v>
      </c>
      <c r="B39" s="70">
        <v>1E-4</v>
      </c>
    </row>
    <row r="40" spans="1:2" x14ac:dyDescent="0.25">
      <c r="A40" s="7" t="s">
        <v>477</v>
      </c>
      <c r="B40" s="70">
        <v>1E-4</v>
      </c>
    </row>
    <row r="41" spans="1:2" x14ac:dyDescent="0.25">
      <c r="A41" s="7" t="s">
        <v>480</v>
      </c>
      <c r="B41" s="70">
        <v>9.0000000000000006E-5</v>
      </c>
    </row>
    <row r="42" spans="1:2" x14ac:dyDescent="0.25">
      <c r="A42" s="7" t="s">
        <v>437</v>
      </c>
      <c r="B42" s="70">
        <v>9.0000000000000006E-5</v>
      </c>
    </row>
    <row r="43" spans="1:2" x14ac:dyDescent="0.25">
      <c r="A43" s="7" t="s">
        <v>485</v>
      </c>
      <c r="B43" s="70">
        <v>9.0000000000000006E-5</v>
      </c>
    </row>
    <row r="44" spans="1:2" x14ac:dyDescent="0.25">
      <c r="A44" s="7" t="s">
        <v>488</v>
      </c>
      <c r="B44" s="70">
        <v>9.0000000000000006E-5</v>
      </c>
    </row>
    <row r="45" spans="1:2" x14ac:dyDescent="0.25">
      <c r="A45" s="7" t="s">
        <v>491</v>
      </c>
      <c r="B45" s="70">
        <v>9.0000000000000006E-5</v>
      </c>
    </row>
    <row r="46" spans="1:2" x14ac:dyDescent="0.25">
      <c r="A46" s="7" t="s">
        <v>494</v>
      </c>
      <c r="B46" s="70">
        <v>1E-4</v>
      </c>
    </row>
    <row r="47" spans="1:2" x14ac:dyDescent="0.25">
      <c r="A47" s="7" t="s">
        <v>497</v>
      </c>
      <c r="B47" s="70">
        <v>9.0000000000000006E-5</v>
      </c>
    </row>
    <row r="48" spans="1:2" x14ac:dyDescent="0.25">
      <c r="A48" s="7" t="s">
        <v>499</v>
      </c>
      <c r="B48" s="70">
        <v>9.0000000000000006E-5</v>
      </c>
    </row>
    <row r="49" spans="1:2" x14ac:dyDescent="0.25">
      <c r="A49" s="7" t="s">
        <v>501</v>
      </c>
      <c r="B49" s="70">
        <v>9.0000000000000006E-5</v>
      </c>
    </row>
    <row r="50" spans="1:2" x14ac:dyDescent="0.25">
      <c r="A50" s="7" t="s">
        <v>19</v>
      </c>
      <c r="B50" s="70">
        <v>1.1200000000000001E-3</v>
      </c>
    </row>
    <row r="58" spans="1:2" x14ac:dyDescent="0.25">
      <c r="A58" s="21" t="s">
        <v>20</v>
      </c>
      <c r="B58" s="21" t="s">
        <v>69</v>
      </c>
    </row>
    <row r="59" spans="1:2" x14ac:dyDescent="0.25">
      <c r="A59" s="21" t="s">
        <v>18</v>
      </c>
      <c r="B59">
        <v>2025</v>
      </c>
    </row>
    <row r="60" spans="1:2" x14ac:dyDescent="0.25">
      <c r="A60" s="7" t="s">
        <v>471</v>
      </c>
      <c r="B60" s="70">
        <v>1E-4</v>
      </c>
    </row>
    <row r="61" spans="1:2" x14ac:dyDescent="0.25">
      <c r="A61" s="7" t="s">
        <v>474</v>
      </c>
      <c r="B61" s="70">
        <v>1E-4</v>
      </c>
    </row>
    <row r="62" spans="1:2" x14ac:dyDescent="0.25">
      <c r="A62" s="7" t="s">
        <v>477</v>
      </c>
      <c r="B62" s="70">
        <v>1E-4</v>
      </c>
    </row>
    <row r="63" spans="1:2" x14ac:dyDescent="0.25">
      <c r="A63" s="7" t="s">
        <v>480</v>
      </c>
      <c r="B63" s="70">
        <v>9.0000000000000006E-5</v>
      </c>
    </row>
    <row r="64" spans="1:2" x14ac:dyDescent="0.25">
      <c r="A64" s="7" t="s">
        <v>437</v>
      </c>
      <c r="B64" s="70">
        <v>9.0000000000000006E-5</v>
      </c>
    </row>
    <row r="65" spans="1:2" x14ac:dyDescent="0.25">
      <c r="A65" s="7" t="s">
        <v>485</v>
      </c>
      <c r="B65" s="70">
        <v>9.0000000000000006E-5</v>
      </c>
    </row>
    <row r="66" spans="1:2" x14ac:dyDescent="0.25">
      <c r="A66" s="7" t="s">
        <v>488</v>
      </c>
      <c r="B66" s="70">
        <v>9.0000000000000006E-5</v>
      </c>
    </row>
    <row r="67" spans="1:2" x14ac:dyDescent="0.25">
      <c r="A67" s="7" t="s">
        <v>491</v>
      </c>
      <c r="B67" s="70">
        <v>9.0000000000000006E-5</v>
      </c>
    </row>
    <row r="68" spans="1:2" x14ac:dyDescent="0.25">
      <c r="A68" s="7" t="s">
        <v>494</v>
      </c>
      <c r="B68" s="70">
        <v>1E-4</v>
      </c>
    </row>
    <row r="69" spans="1:2" x14ac:dyDescent="0.25">
      <c r="A69" s="7" t="s">
        <v>497</v>
      </c>
      <c r="B69" s="70">
        <v>9.0000000000000006E-5</v>
      </c>
    </row>
    <row r="70" spans="1:2" x14ac:dyDescent="0.25">
      <c r="A70" s="7" t="s">
        <v>499</v>
      </c>
      <c r="B70" s="70">
        <v>9.0000000000000006E-5</v>
      </c>
    </row>
    <row r="71" spans="1:2" x14ac:dyDescent="0.25">
      <c r="A71" s="7" t="s">
        <v>501</v>
      </c>
      <c r="B71" s="70">
        <v>9.0000000000000006E-5</v>
      </c>
    </row>
    <row r="72" spans="1:2" x14ac:dyDescent="0.25">
      <c r="A72" s="7" t="s">
        <v>19</v>
      </c>
      <c r="B72" s="70">
        <v>1.1200000000000001E-3</v>
      </c>
    </row>
    <row r="80" spans="1:2" x14ac:dyDescent="0.25">
      <c r="A80" s="21" t="s">
        <v>10</v>
      </c>
      <c r="B80" t="s" vm="5">
        <v>13</v>
      </c>
    </row>
    <row r="82" spans="1:2" x14ac:dyDescent="0.25">
      <c r="A82" s="21" t="s">
        <v>18</v>
      </c>
      <c r="B82" t="s">
        <v>20</v>
      </c>
    </row>
    <row r="83" spans="1:2" x14ac:dyDescent="0.25">
      <c r="A83" s="7" t="s">
        <v>1332</v>
      </c>
      <c r="B83">
        <v>1.2000000000000002E-4</v>
      </c>
    </row>
    <row r="84" spans="1:2" x14ac:dyDescent="0.25">
      <c r="A84" s="7" t="s">
        <v>1331</v>
      </c>
      <c r="B84">
        <v>1.2000000000000002E-4</v>
      </c>
    </row>
    <row r="85" spans="1:2" x14ac:dyDescent="0.25">
      <c r="A85" s="7" t="s">
        <v>1333</v>
      </c>
      <c r="B85">
        <v>4.0000000000000003E-5</v>
      </c>
    </row>
    <row r="86" spans="1:2" x14ac:dyDescent="0.25">
      <c r="A86" s="7" t="s">
        <v>19</v>
      </c>
      <c r="B86">
        <v>2.8000000000000003E-4</v>
      </c>
    </row>
    <row r="99" spans="1:3" x14ac:dyDescent="0.25">
      <c r="A99" s="21" t="s">
        <v>10</v>
      </c>
      <c r="B99" t="s" vm="6">
        <v>14</v>
      </c>
    </row>
    <row r="101" spans="1:3" x14ac:dyDescent="0.25">
      <c r="B101" s="21" t="s">
        <v>1365</v>
      </c>
    </row>
    <row r="102" spans="1:3" x14ac:dyDescent="0.25">
      <c r="A102" s="21" t="s">
        <v>18</v>
      </c>
      <c r="B102" t="s">
        <v>71</v>
      </c>
      <c r="C102" t="s">
        <v>70</v>
      </c>
    </row>
    <row r="103" spans="1:3" x14ac:dyDescent="0.25">
      <c r="A103" s="7" t="s">
        <v>1403</v>
      </c>
      <c r="B103" s="28"/>
      <c r="C103" s="70"/>
    </row>
    <row r="104" spans="1:3" x14ac:dyDescent="0.25">
      <c r="A104" s="26" t="s">
        <v>1410</v>
      </c>
      <c r="B104" s="28">
        <v>1</v>
      </c>
      <c r="C104" s="70">
        <v>1.2000000000000002E-4</v>
      </c>
    </row>
    <row r="105" spans="1:3" x14ac:dyDescent="0.25">
      <c r="A105" s="290" t="s">
        <v>1418</v>
      </c>
      <c r="B105" s="28">
        <v>1</v>
      </c>
      <c r="C105" s="70">
        <v>1.2000000000000002E-4</v>
      </c>
    </row>
    <row r="106" spans="1:3" x14ac:dyDescent="0.25">
      <c r="A106" s="290" t="s">
        <v>19</v>
      </c>
      <c r="B106" s="28"/>
      <c r="C106" s="70">
        <v>8.4000000000000003E-4</v>
      </c>
    </row>
    <row r="113" spans="17:18" x14ac:dyDescent="0.25">
      <c r="Q113" s="21" t="s">
        <v>20</v>
      </c>
      <c r="R113" s="21" t="s">
        <v>69</v>
      </c>
    </row>
    <row r="114" spans="17:18" x14ac:dyDescent="0.25">
      <c r="R114">
        <v>2025</v>
      </c>
    </row>
    <row r="115" spans="17:18" x14ac:dyDescent="0.25">
      <c r="Q115" s="21" t="s">
        <v>18</v>
      </c>
      <c r="R115" t="s">
        <v>1410</v>
      </c>
    </row>
    <row r="116" spans="17:18" x14ac:dyDescent="0.25">
      <c r="Q116" s="7" t="s">
        <v>471</v>
      </c>
      <c r="R116" s="70">
        <v>1.0000000000000001E-5</v>
      </c>
    </row>
    <row r="117" spans="17:18" x14ac:dyDescent="0.25">
      <c r="Q117" s="7" t="s">
        <v>474</v>
      </c>
      <c r="R117" s="70">
        <v>1.0000000000000001E-5</v>
      </c>
    </row>
    <row r="118" spans="17:18" x14ac:dyDescent="0.25">
      <c r="Q118" s="7" t="s">
        <v>477</v>
      </c>
      <c r="R118" s="70">
        <v>1.0000000000000001E-5</v>
      </c>
    </row>
    <row r="119" spans="17:18" x14ac:dyDescent="0.25">
      <c r="Q119" s="7" t="s">
        <v>480</v>
      </c>
      <c r="R119" s="70">
        <v>1.0000000000000001E-5</v>
      </c>
    </row>
    <row r="120" spans="17:18" x14ac:dyDescent="0.25">
      <c r="Q120" s="7" t="s">
        <v>437</v>
      </c>
      <c r="R120" s="70">
        <v>1.0000000000000001E-5</v>
      </c>
    </row>
    <row r="121" spans="17:18" x14ac:dyDescent="0.25">
      <c r="Q121" s="7" t="s">
        <v>485</v>
      </c>
      <c r="R121" s="70">
        <v>1.0000000000000001E-5</v>
      </c>
    </row>
    <row r="122" spans="17:18" x14ac:dyDescent="0.25">
      <c r="Q122" s="7" t="s">
        <v>488</v>
      </c>
      <c r="R122" s="70">
        <v>1.0000000000000001E-5</v>
      </c>
    </row>
    <row r="123" spans="17:18" x14ac:dyDescent="0.25">
      <c r="Q123" s="7" t="s">
        <v>491</v>
      </c>
      <c r="R123" s="70">
        <v>1.0000000000000001E-5</v>
      </c>
    </row>
    <row r="124" spans="17:18" x14ac:dyDescent="0.25">
      <c r="Q124" s="7" t="s">
        <v>494</v>
      </c>
      <c r="R124" s="70">
        <v>1.0000000000000001E-5</v>
      </c>
    </row>
    <row r="125" spans="17:18" x14ac:dyDescent="0.25">
      <c r="Q125" s="7" t="s">
        <v>497</v>
      </c>
      <c r="R125" s="70">
        <v>1.0000000000000001E-5</v>
      </c>
    </row>
    <row r="126" spans="17:18" x14ac:dyDescent="0.25">
      <c r="Q126" s="7" t="s">
        <v>499</v>
      </c>
      <c r="R126" s="70">
        <v>1.0000000000000001E-5</v>
      </c>
    </row>
    <row r="127" spans="17:18" x14ac:dyDescent="0.25">
      <c r="Q127" s="7" t="s">
        <v>501</v>
      </c>
      <c r="R127" s="70">
        <v>1.0000000000000001E-5</v>
      </c>
    </row>
    <row r="128" spans="17:18" x14ac:dyDescent="0.25">
      <c r="Q128" s="7" t="s">
        <v>19</v>
      </c>
      <c r="R128" s="70">
        <v>1.2000000000000002E-4</v>
      </c>
    </row>
    <row r="137" spans="17:18" x14ac:dyDescent="0.25">
      <c r="Q137" s="21" t="s">
        <v>20</v>
      </c>
      <c r="R137" s="21" t="s">
        <v>69</v>
      </c>
    </row>
    <row r="138" spans="17:18" x14ac:dyDescent="0.25">
      <c r="R138">
        <v>2025</v>
      </c>
    </row>
    <row r="139" spans="17:18" x14ac:dyDescent="0.25">
      <c r="Q139" s="21" t="s">
        <v>18</v>
      </c>
      <c r="R139" t="s">
        <v>1410</v>
      </c>
    </row>
    <row r="140" spans="17:18" x14ac:dyDescent="0.25">
      <c r="Q140" s="7" t="s">
        <v>471</v>
      </c>
      <c r="R140" s="70">
        <v>1.0000000000000001E-5</v>
      </c>
    </row>
    <row r="141" spans="17:18" x14ac:dyDescent="0.25">
      <c r="Q141" s="7" t="s">
        <v>474</v>
      </c>
      <c r="R141" s="70">
        <v>1.0000000000000001E-5</v>
      </c>
    </row>
    <row r="142" spans="17:18" x14ac:dyDescent="0.25">
      <c r="Q142" s="7" t="s">
        <v>477</v>
      </c>
      <c r="R142" s="70">
        <v>1.0000000000000001E-5</v>
      </c>
    </row>
    <row r="143" spans="17:18" x14ac:dyDescent="0.25">
      <c r="Q143" s="7" t="s">
        <v>480</v>
      </c>
      <c r="R143" s="70">
        <v>1.0000000000000001E-5</v>
      </c>
    </row>
    <row r="144" spans="17:18" x14ac:dyDescent="0.25">
      <c r="Q144" s="7" t="s">
        <v>437</v>
      </c>
      <c r="R144" s="70">
        <v>1.0000000000000001E-5</v>
      </c>
    </row>
    <row r="145" spans="17:18" x14ac:dyDescent="0.25">
      <c r="Q145" s="7" t="s">
        <v>485</v>
      </c>
      <c r="R145" s="70">
        <v>1.0000000000000001E-5</v>
      </c>
    </row>
    <row r="146" spans="17:18" x14ac:dyDescent="0.25">
      <c r="Q146" s="7" t="s">
        <v>488</v>
      </c>
      <c r="R146" s="70">
        <v>1.0000000000000001E-5</v>
      </c>
    </row>
    <row r="147" spans="17:18" x14ac:dyDescent="0.25">
      <c r="Q147" s="7" t="s">
        <v>491</v>
      </c>
      <c r="R147" s="70">
        <v>1.0000000000000001E-5</v>
      </c>
    </row>
    <row r="148" spans="17:18" x14ac:dyDescent="0.25">
      <c r="Q148" s="7" t="s">
        <v>494</v>
      </c>
      <c r="R148" s="70">
        <v>1.0000000000000001E-5</v>
      </c>
    </row>
    <row r="149" spans="17:18" x14ac:dyDescent="0.25">
      <c r="Q149" s="7" t="s">
        <v>497</v>
      </c>
      <c r="R149" s="70">
        <v>1.0000000000000001E-5</v>
      </c>
    </row>
    <row r="150" spans="17:18" x14ac:dyDescent="0.25">
      <c r="Q150" s="7" t="s">
        <v>499</v>
      </c>
      <c r="R150" s="70">
        <v>1.0000000000000001E-5</v>
      </c>
    </row>
    <row r="151" spans="17:18" x14ac:dyDescent="0.25">
      <c r="Q151" s="7" t="s">
        <v>501</v>
      </c>
      <c r="R151" s="70">
        <v>1.0000000000000001E-5</v>
      </c>
    </row>
    <row r="152" spans="17:18" x14ac:dyDescent="0.25">
      <c r="Q152" s="7" t="s">
        <v>19</v>
      </c>
      <c r="R152" s="70">
        <v>1.2000000000000002E-4</v>
      </c>
    </row>
    <row r="162" spans="17:18" x14ac:dyDescent="0.25">
      <c r="Q162" s="21" t="s">
        <v>20</v>
      </c>
      <c r="R162" s="21" t="s">
        <v>69</v>
      </c>
    </row>
    <row r="163" spans="17:18" x14ac:dyDescent="0.25">
      <c r="R163">
        <v>2025</v>
      </c>
    </row>
    <row r="164" spans="17:18" x14ac:dyDescent="0.25">
      <c r="Q164" s="21" t="s">
        <v>18</v>
      </c>
      <c r="R164" t="s">
        <v>1410</v>
      </c>
    </row>
    <row r="165" spans="17:18" x14ac:dyDescent="0.25">
      <c r="Q165" s="7" t="s">
        <v>471</v>
      </c>
      <c r="R165" s="70">
        <v>1.0000000000000001E-5</v>
      </c>
    </row>
    <row r="166" spans="17:18" x14ac:dyDescent="0.25">
      <c r="Q166" s="7" t="s">
        <v>474</v>
      </c>
      <c r="R166" s="70">
        <v>1.0000000000000001E-5</v>
      </c>
    </row>
    <row r="167" spans="17:18" x14ac:dyDescent="0.25">
      <c r="Q167" s="7" t="s">
        <v>477</v>
      </c>
      <c r="R167" s="70">
        <v>1.0000000000000001E-5</v>
      </c>
    </row>
    <row r="168" spans="17:18" x14ac:dyDescent="0.25">
      <c r="Q168" s="7" t="s">
        <v>480</v>
      </c>
      <c r="R168" s="70">
        <v>1.0000000000000001E-5</v>
      </c>
    </row>
    <row r="169" spans="17:18" x14ac:dyDescent="0.25">
      <c r="Q169" s="7" t="s">
        <v>437</v>
      </c>
      <c r="R169" s="70">
        <v>1.0000000000000001E-5</v>
      </c>
    </row>
    <row r="170" spans="17:18" x14ac:dyDescent="0.25">
      <c r="Q170" s="7" t="s">
        <v>485</v>
      </c>
      <c r="R170" s="70">
        <v>1.0000000000000001E-5</v>
      </c>
    </row>
    <row r="171" spans="17:18" x14ac:dyDescent="0.25">
      <c r="Q171" s="7" t="s">
        <v>488</v>
      </c>
      <c r="R171" s="70">
        <v>1.0000000000000001E-5</v>
      </c>
    </row>
    <row r="172" spans="17:18" x14ac:dyDescent="0.25">
      <c r="Q172" s="7" t="s">
        <v>491</v>
      </c>
      <c r="R172" s="70">
        <v>1.0000000000000001E-5</v>
      </c>
    </row>
    <row r="173" spans="17:18" x14ac:dyDescent="0.25">
      <c r="Q173" s="7" t="s">
        <v>494</v>
      </c>
      <c r="R173" s="70">
        <v>1.0000000000000001E-5</v>
      </c>
    </row>
    <row r="174" spans="17:18" x14ac:dyDescent="0.25">
      <c r="Q174" s="7" t="s">
        <v>497</v>
      </c>
      <c r="R174" s="70">
        <v>1.0000000000000001E-5</v>
      </c>
    </row>
    <row r="175" spans="17:18" x14ac:dyDescent="0.25">
      <c r="Q175" s="7" t="s">
        <v>499</v>
      </c>
      <c r="R175" s="70">
        <v>1.0000000000000001E-5</v>
      </c>
    </row>
    <row r="176" spans="17:18" x14ac:dyDescent="0.25">
      <c r="Q176" s="7" t="s">
        <v>501</v>
      </c>
      <c r="R176" s="70">
        <v>1.0000000000000001E-5</v>
      </c>
    </row>
    <row r="177" spans="17:18" x14ac:dyDescent="0.25">
      <c r="Q177" s="7" t="s">
        <v>19</v>
      </c>
      <c r="R177" s="70">
        <v>1.2000000000000002E-4</v>
      </c>
    </row>
    <row r="188" spans="17:18" x14ac:dyDescent="0.25">
      <c r="Q188" s="21" t="s">
        <v>20</v>
      </c>
      <c r="R188" s="21" t="s">
        <v>69</v>
      </c>
    </row>
    <row r="189" spans="17:18" x14ac:dyDescent="0.25">
      <c r="R189">
        <v>2025</v>
      </c>
    </row>
    <row r="190" spans="17:18" x14ac:dyDescent="0.25">
      <c r="Q190" s="21" t="s">
        <v>18</v>
      </c>
      <c r="R190" t="s">
        <v>1410</v>
      </c>
    </row>
    <row r="191" spans="17:18" x14ac:dyDescent="0.25">
      <c r="Q191" s="7" t="s">
        <v>471</v>
      </c>
      <c r="R191" s="70">
        <v>1.0000000000000001E-5</v>
      </c>
    </row>
    <row r="192" spans="17:18" x14ac:dyDescent="0.25">
      <c r="Q192" s="7" t="s">
        <v>474</v>
      </c>
      <c r="R192" s="70">
        <v>1.0000000000000001E-5</v>
      </c>
    </row>
    <row r="193" spans="17:18" x14ac:dyDescent="0.25">
      <c r="Q193" s="7" t="s">
        <v>477</v>
      </c>
      <c r="R193" s="70">
        <v>1.0000000000000001E-5</v>
      </c>
    </row>
    <row r="194" spans="17:18" x14ac:dyDescent="0.25">
      <c r="Q194" s="7" t="s">
        <v>480</v>
      </c>
      <c r="R194" s="70">
        <v>1.0000000000000001E-5</v>
      </c>
    </row>
    <row r="195" spans="17:18" x14ac:dyDescent="0.25">
      <c r="Q195" s="7" t="s">
        <v>437</v>
      </c>
      <c r="R195" s="70">
        <v>1.0000000000000001E-5</v>
      </c>
    </row>
    <row r="196" spans="17:18" x14ac:dyDescent="0.25">
      <c r="Q196" s="7" t="s">
        <v>485</v>
      </c>
      <c r="R196" s="70">
        <v>1.0000000000000001E-5</v>
      </c>
    </row>
    <row r="197" spans="17:18" x14ac:dyDescent="0.25">
      <c r="Q197" s="7" t="s">
        <v>488</v>
      </c>
      <c r="R197" s="70">
        <v>1.0000000000000001E-5</v>
      </c>
    </row>
    <row r="198" spans="17:18" x14ac:dyDescent="0.25">
      <c r="Q198" s="7" t="s">
        <v>491</v>
      </c>
      <c r="R198" s="70">
        <v>1.0000000000000001E-5</v>
      </c>
    </row>
    <row r="199" spans="17:18" x14ac:dyDescent="0.25">
      <c r="Q199" s="7" t="s">
        <v>494</v>
      </c>
      <c r="R199" s="70">
        <v>1.0000000000000001E-5</v>
      </c>
    </row>
    <row r="200" spans="17:18" x14ac:dyDescent="0.25">
      <c r="Q200" s="7" t="s">
        <v>497</v>
      </c>
      <c r="R200" s="70">
        <v>1.0000000000000001E-5</v>
      </c>
    </row>
    <row r="201" spans="17:18" x14ac:dyDescent="0.25">
      <c r="Q201" s="7" t="s">
        <v>499</v>
      </c>
      <c r="R201" s="70">
        <v>1.0000000000000001E-5</v>
      </c>
    </row>
    <row r="202" spans="17:18" x14ac:dyDescent="0.25">
      <c r="Q202" s="7" t="s">
        <v>501</v>
      </c>
      <c r="R202" s="70">
        <v>1.0000000000000001E-5</v>
      </c>
    </row>
    <row r="203" spans="17:18" x14ac:dyDescent="0.25">
      <c r="Q203" s="7" t="s">
        <v>19</v>
      </c>
      <c r="R203" s="70">
        <v>1.2000000000000002E-4</v>
      </c>
    </row>
    <row r="213" spans="17:18" x14ac:dyDescent="0.25">
      <c r="Q213" s="21" t="s">
        <v>20</v>
      </c>
      <c r="R213" s="21" t="s">
        <v>69</v>
      </c>
    </row>
    <row r="214" spans="17:18" x14ac:dyDescent="0.25">
      <c r="R214">
        <v>2025</v>
      </c>
    </row>
    <row r="215" spans="17:18" x14ac:dyDescent="0.25">
      <c r="Q215" s="21" t="s">
        <v>18</v>
      </c>
      <c r="R215" t="s">
        <v>1410</v>
      </c>
    </row>
    <row r="216" spans="17:18" x14ac:dyDescent="0.25">
      <c r="Q216" s="7" t="s">
        <v>471</v>
      </c>
      <c r="R216" s="70">
        <v>1.0000000000000001E-5</v>
      </c>
    </row>
    <row r="217" spans="17:18" x14ac:dyDescent="0.25">
      <c r="Q217" s="7" t="s">
        <v>474</v>
      </c>
      <c r="R217" s="70">
        <v>1.0000000000000001E-5</v>
      </c>
    </row>
    <row r="218" spans="17:18" x14ac:dyDescent="0.25">
      <c r="Q218" s="7" t="s">
        <v>477</v>
      </c>
      <c r="R218" s="70">
        <v>1.0000000000000001E-5</v>
      </c>
    </row>
    <row r="219" spans="17:18" x14ac:dyDescent="0.25">
      <c r="Q219" s="7" t="s">
        <v>480</v>
      </c>
      <c r="R219" s="70">
        <v>1.0000000000000001E-5</v>
      </c>
    </row>
    <row r="220" spans="17:18" x14ac:dyDescent="0.25">
      <c r="Q220" s="7" t="s">
        <v>437</v>
      </c>
      <c r="R220" s="70">
        <v>1.0000000000000001E-5</v>
      </c>
    </row>
    <row r="221" spans="17:18" x14ac:dyDescent="0.25">
      <c r="Q221" s="7" t="s">
        <v>485</v>
      </c>
      <c r="R221" s="70">
        <v>1.0000000000000001E-5</v>
      </c>
    </row>
    <row r="222" spans="17:18" x14ac:dyDescent="0.25">
      <c r="Q222" s="7" t="s">
        <v>488</v>
      </c>
      <c r="R222" s="70">
        <v>1.0000000000000001E-5</v>
      </c>
    </row>
    <row r="223" spans="17:18" x14ac:dyDescent="0.25">
      <c r="Q223" s="7" t="s">
        <v>491</v>
      </c>
      <c r="R223" s="70">
        <v>1.0000000000000001E-5</v>
      </c>
    </row>
    <row r="224" spans="17:18" x14ac:dyDescent="0.25">
      <c r="Q224" s="7" t="s">
        <v>494</v>
      </c>
      <c r="R224" s="70">
        <v>1.0000000000000001E-5</v>
      </c>
    </row>
    <row r="225" spans="17:18" x14ac:dyDescent="0.25">
      <c r="Q225" s="7" t="s">
        <v>497</v>
      </c>
      <c r="R225" s="70">
        <v>1.0000000000000001E-5</v>
      </c>
    </row>
    <row r="226" spans="17:18" x14ac:dyDescent="0.25">
      <c r="Q226" s="7" t="s">
        <v>499</v>
      </c>
      <c r="R226" s="70">
        <v>1.0000000000000001E-5</v>
      </c>
    </row>
    <row r="227" spans="17:18" x14ac:dyDescent="0.25">
      <c r="Q227" s="7" t="s">
        <v>501</v>
      </c>
      <c r="R227" s="70">
        <v>1.0000000000000001E-5</v>
      </c>
    </row>
    <row r="228" spans="17:18" x14ac:dyDescent="0.25">
      <c r="Q228" s="7" t="s">
        <v>19</v>
      </c>
      <c r="R228" s="70">
        <v>1.2000000000000002E-4</v>
      </c>
    </row>
    <row r="243" spans="17:27" x14ac:dyDescent="0.25">
      <c r="Q243" s="21" t="s">
        <v>20</v>
      </c>
      <c r="R243" s="21" t="s">
        <v>69</v>
      </c>
    </row>
    <row r="244" spans="17:27" x14ac:dyDescent="0.25">
      <c r="R244">
        <v>2025</v>
      </c>
    </row>
    <row r="245" spans="17:27" x14ac:dyDescent="0.25">
      <c r="Q245" s="21" t="s">
        <v>18</v>
      </c>
      <c r="R245" t="s">
        <v>659</v>
      </c>
      <c r="S245" t="s">
        <v>1408</v>
      </c>
      <c r="T245" t="s">
        <v>1409</v>
      </c>
      <c r="U245" t="s">
        <v>1410</v>
      </c>
      <c r="V245" t="s">
        <v>1411</v>
      </c>
      <c r="W245" t="s">
        <v>1412</v>
      </c>
      <c r="X245" t="s">
        <v>1414</v>
      </c>
      <c r="Y245" t="s">
        <v>1413</v>
      </c>
      <c r="Z245" t="s">
        <v>1415</v>
      </c>
      <c r="AA245" t="s">
        <v>1416</v>
      </c>
    </row>
    <row r="246" spans="17:27" x14ac:dyDescent="0.25">
      <c r="Q246" s="7" t="s">
        <v>471</v>
      </c>
      <c r="R246" s="70">
        <v>1.0000000000000001E-5</v>
      </c>
      <c r="S246" s="70">
        <v>1.0000000000000001E-5</v>
      </c>
      <c r="T246" s="70">
        <v>1.0000000000000001E-5</v>
      </c>
      <c r="U246" s="70">
        <v>1.0000000000000001E-5</v>
      </c>
      <c r="V246" s="70">
        <v>1.0000000000000001E-5</v>
      </c>
      <c r="W246" s="70">
        <v>1.0000000000000001E-5</v>
      </c>
      <c r="X246" s="70">
        <v>1.0000000000000001E-5</v>
      </c>
      <c r="Y246" s="70">
        <v>1.0000000000000001E-5</v>
      </c>
      <c r="Z246" s="70">
        <v>1.0000000000000001E-5</v>
      </c>
      <c r="AA246" s="70">
        <v>1.0000000000000001E-5</v>
      </c>
    </row>
    <row r="247" spans="17:27" x14ac:dyDescent="0.25">
      <c r="Q247" s="7" t="s">
        <v>474</v>
      </c>
      <c r="R247" s="70">
        <v>1.0000000000000001E-5</v>
      </c>
      <c r="S247" s="70">
        <v>1.0000000000000001E-5</v>
      </c>
      <c r="T247" s="70">
        <v>1.0000000000000001E-5</v>
      </c>
      <c r="U247" s="70">
        <v>1.0000000000000001E-5</v>
      </c>
      <c r="V247" s="70">
        <v>1.0000000000000001E-5</v>
      </c>
      <c r="W247" s="70">
        <v>1.0000000000000001E-5</v>
      </c>
      <c r="X247" s="70">
        <v>1.0000000000000001E-5</v>
      </c>
      <c r="Y247" s="70">
        <v>1.0000000000000001E-5</v>
      </c>
      <c r="Z247" s="70">
        <v>1.0000000000000001E-5</v>
      </c>
      <c r="AA247" s="70">
        <v>1.0000000000000001E-5</v>
      </c>
    </row>
    <row r="248" spans="17:27" x14ac:dyDescent="0.25">
      <c r="Q248" s="7" t="s">
        <v>477</v>
      </c>
      <c r="R248" s="70">
        <v>1.0000000000000001E-5</v>
      </c>
      <c r="S248" s="70">
        <v>1.0000000000000001E-5</v>
      </c>
      <c r="T248" s="70">
        <v>1.0000000000000001E-5</v>
      </c>
      <c r="U248" s="70">
        <v>1.0000000000000001E-5</v>
      </c>
      <c r="V248" s="70">
        <v>1.0000000000000001E-5</v>
      </c>
      <c r="W248" s="70">
        <v>1.0000000000000001E-5</v>
      </c>
      <c r="X248" s="70">
        <v>1.0000000000000001E-5</v>
      </c>
      <c r="Y248" s="70">
        <v>1.0000000000000001E-5</v>
      </c>
      <c r="Z248" s="70">
        <v>1.0000000000000001E-5</v>
      </c>
      <c r="AA248" s="70">
        <v>1.0000000000000001E-5</v>
      </c>
    </row>
    <row r="249" spans="17:27" x14ac:dyDescent="0.25">
      <c r="Q249" s="7" t="s">
        <v>480</v>
      </c>
      <c r="R249" s="70">
        <v>1.0000000000000001E-5</v>
      </c>
      <c r="S249" s="70">
        <v>1.0000000000000001E-5</v>
      </c>
      <c r="T249" s="70">
        <v>1.0000000000000001E-5</v>
      </c>
      <c r="U249" s="70">
        <v>1.0000000000000001E-5</v>
      </c>
      <c r="V249" s="70">
        <v>1.0000000000000001E-5</v>
      </c>
      <c r="W249" s="70">
        <v>1.0000000000000001E-5</v>
      </c>
      <c r="X249" s="70">
        <v>1.0000000000000001E-5</v>
      </c>
      <c r="Y249" s="70">
        <v>1.0000000000000001E-5</v>
      </c>
      <c r="Z249" s="70">
        <v>1.0000000000000001E-5</v>
      </c>
      <c r="AA249" s="70">
        <v>0</v>
      </c>
    </row>
    <row r="250" spans="17:27" x14ac:dyDescent="0.25">
      <c r="Q250" s="7" t="s">
        <v>437</v>
      </c>
      <c r="R250" s="70">
        <v>1.0000000000000001E-5</v>
      </c>
      <c r="S250" s="70">
        <v>1.0000000000000001E-5</v>
      </c>
      <c r="T250" s="70">
        <v>1.0000000000000001E-5</v>
      </c>
      <c r="U250" s="70">
        <v>1.0000000000000001E-5</v>
      </c>
      <c r="V250" s="70">
        <v>1.0000000000000001E-5</v>
      </c>
      <c r="W250" s="70">
        <v>1.0000000000000001E-5</v>
      </c>
      <c r="X250" s="70">
        <v>1.0000000000000001E-5</v>
      </c>
      <c r="Y250" s="70">
        <v>1.0000000000000001E-5</v>
      </c>
      <c r="Z250" s="70">
        <v>1.0000000000000001E-5</v>
      </c>
      <c r="AA250" s="70">
        <v>0</v>
      </c>
    </row>
    <row r="251" spans="17:27" x14ac:dyDescent="0.25">
      <c r="Q251" s="7" t="s">
        <v>485</v>
      </c>
      <c r="R251" s="70">
        <v>1.0000000000000001E-5</v>
      </c>
      <c r="S251" s="70">
        <v>1.0000000000000001E-5</v>
      </c>
      <c r="T251" s="70">
        <v>1.0000000000000001E-5</v>
      </c>
      <c r="U251" s="70">
        <v>1.0000000000000001E-5</v>
      </c>
      <c r="V251" s="70">
        <v>1.0000000000000001E-5</v>
      </c>
      <c r="W251" s="70">
        <v>1.0000000000000001E-5</v>
      </c>
      <c r="X251" s="70">
        <v>1.0000000000000001E-5</v>
      </c>
      <c r="Y251" s="70">
        <v>1.0000000000000001E-5</v>
      </c>
      <c r="Z251" s="70">
        <v>1.0000000000000001E-5</v>
      </c>
      <c r="AA251" s="70">
        <v>0</v>
      </c>
    </row>
    <row r="252" spans="17:27" x14ac:dyDescent="0.25">
      <c r="Q252" s="7" t="s">
        <v>488</v>
      </c>
      <c r="R252" s="70">
        <v>1.0000000000000001E-5</v>
      </c>
      <c r="S252" s="70">
        <v>1.0000000000000001E-5</v>
      </c>
      <c r="T252" s="70">
        <v>1.0000000000000001E-5</v>
      </c>
      <c r="U252" s="70">
        <v>1.0000000000000001E-5</v>
      </c>
      <c r="V252" s="70">
        <v>1.0000000000000001E-5</v>
      </c>
      <c r="W252" s="70">
        <v>1.0000000000000001E-5</v>
      </c>
      <c r="X252" s="70">
        <v>1.0000000000000001E-5</v>
      </c>
      <c r="Y252" s="70">
        <v>1.0000000000000001E-5</v>
      </c>
      <c r="Z252" s="70">
        <v>1.0000000000000001E-5</v>
      </c>
      <c r="AA252" s="70">
        <v>0</v>
      </c>
    </row>
    <row r="253" spans="17:27" x14ac:dyDescent="0.25">
      <c r="Q253" s="7" t="s">
        <v>491</v>
      </c>
      <c r="R253" s="70">
        <v>1.0000000000000001E-5</v>
      </c>
      <c r="S253" s="70">
        <v>1.0000000000000001E-5</v>
      </c>
      <c r="T253" s="70">
        <v>1.0000000000000001E-5</v>
      </c>
      <c r="U253" s="70">
        <v>1.0000000000000001E-5</v>
      </c>
      <c r="V253" s="70">
        <v>1.0000000000000001E-5</v>
      </c>
      <c r="W253" s="70">
        <v>1.0000000000000001E-5</v>
      </c>
      <c r="X253" s="70">
        <v>1.0000000000000001E-5</v>
      </c>
      <c r="Y253" s="70">
        <v>1.0000000000000001E-5</v>
      </c>
      <c r="Z253" s="70">
        <v>1.0000000000000001E-5</v>
      </c>
      <c r="AA253" s="70">
        <v>0</v>
      </c>
    </row>
    <row r="254" spans="17:27" x14ac:dyDescent="0.25">
      <c r="Q254" s="7" t="s">
        <v>494</v>
      </c>
      <c r="R254" s="70">
        <v>1.0000000000000001E-5</v>
      </c>
      <c r="S254" s="70">
        <v>1.0000000000000001E-5</v>
      </c>
      <c r="T254" s="70">
        <v>1.0000000000000001E-5</v>
      </c>
      <c r="U254" s="70">
        <v>1.0000000000000001E-5</v>
      </c>
      <c r="V254" s="70">
        <v>1.0000000000000001E-5</v>
      </c>
      <c r="W254" s="70">
        <v>1.0000000000000001E-5</v>
      </c>
      <c r="X254" s="70">
        <v>1.0000000000000001E-5</v>
      </c>
      <c r="Y254" s="70">
        <v>1.0000000000000001E-5</v>
      </c>
      <c r="Z254" s="70">
        <v>1.0000000000000001E-5</v>
      </c>
      <c r="AA254" s="70">
        <v>1.0000000000000001E-5</v>
      </c>
    </row>
    <row r="255" spans="17:27" x14ac:dyDescent="0.25">
      <c r="Q255" s="7" t="s">
        <v>497</v>
      </c>
      <c r="R255" s="70">
        <v>1.0000000000000001E-5</v>
      </c>
      <c r="S255" s="70">
        <v>1.0000000000000001E-5</v>
      </c>
      <c r="T255" s="70">
        <v>1.0000000000000001E-5</v>
      </c>
      <c r="U255" s="70">
        <v>1.0000000000000001E-5</v>
      </c>
      <c r="V255" s="70">
        <v>1.0000000000000001E-5</v>
      </c>
      <c r="W255" s="70">
        <v>1.0000000000000001E-5</v>
      </c>
      <c r="X255" s="70">
        <v>1.0000000000000001E-5</v>
      </c>
      <c r="Y255" s="70">
        <v>1.0000000000000001E-5</v>
      </c>
      <c r="Z255" s="70">
        <v>1.0000000000000001E-5</v>
      </c>
      <c r="AA255" s="70">
        <v>0</v>
      </c>
    </row>
    <row r="256" spans="17:27" x14ac:dyDescent="0.25">
      <c r="Q256" s="7" t="s">
        <v>499</v>
      </c>
      <c r="R256" s="70">
        <v>1.0000000000000001E-5</v>
      </c>
      <c r="S256" s="70">
        <v>1.0000000000000001E-5</v>
      </c>
      <c r="T256" s="70">
        <v>1.0000000000000001E-5</v>
      </c>
      <c r="U256" s="70">
        <v>1.0000000000000001E-5</v>
      </c>
      <c r="V256" s="70">
        <v>1.0000000000000001E-5</v>
      </c>
      <c r="W256" s="70">
        <v>1.0000000000000001E-5</v>
      </c>
      <c r="X256" s="70">
        <v>1.0000000000000001E-5</v>
      </c>
      <c r="Y256" s="70">
        <v>1.0000000000000001E-5</v>
      </c>
      <c r="Z256" s="70">
        <v>1.0000000000000001E-5</v>
      </c>
      <c r="AA256" s="70">
        <v>0</v>
      </c>
    </row>
    <row r="257" spans="1:27" x14ac:dyDescent="0.25">
      <c r="Q257" s="7" t="s">
        <v>501</v>
      </c>
      <c r="R257" s="70">
        <v>1.0000000000000001E-5</v>
      </c>
      <c r="S257" s="70">
        <v>1.0000000000000001E-5</v>
      </c>
      <c r="T257" s="70">
        <v>1.0000000000000001E-5</v>
      </c>
      <c r="U257" s="70">
        <v>1.0000000000000001E-5</v>
      </c>
      <c r="V257" s="70">
        <v>1.0000000000000001E-5</v>
      </c>
      <c r="W257" s="70">
        <v>1.0000000000000001E-5</v>
      </c>
      <c r="X257" s="70">
        <v>1.0000000000000001E-5</v>
      </c>
      <c r="Y257" s="70">
        <v>1.0000000000000001E-5</v>
      </c>
      <c r="Z257" s="70">
        <v>1.0000000000000001E-5</v>
      </c>
      <c r="AA257" s="70">
        <v>0</v>
      </c>
    </row>
    <row r="258" spans="1:27" x14ac:dyDescent="0.25">
      <c r="Q258" s="7" t="s">
        <v>19</v>
      </c>
      <c r="R258" s="70">
        <v>1.2000000000000002E-4</v>
      </c>
      <c r="S258" s="70">
        <v>1.2000000000000002E-4</v>
      </c>
      <c r="T258" s="70">
        <v>1.2000000000000002E-4</v>
      </c>
      <c r="U258" s="70">
        <v>1.2000000000000002E-4</v>
      </c>
      <c r="V258" s="70">
        <v>1.2000000000000002E-4</v>
      </c>
      <c r="W258" s="70">
        <v>1.2000000000000002E-4</v>
      </c>
      <c r="X258" s="70">
        <v>1.2000000000000002E-4</v>
      </c>
      <c r="Y258" s="70">
        <v>1.2000000000000002E-4</v>
      </c>
      <c r="Z258" s="70">
        <v>1.2000000000000002E-4</v>
      </c>
      <c r="AA258" s="70">
        <v>4.0000000000000003E-5</v>
      </c>
    </row>
    <row r="271" spans="1:27" x14ac:dyDescent="0.25">
      <c r="A271" s="21" t="s">
        <v>10</v>
      </c>
      <c r="B271" t="s" vm="6">
        <v>14</v>
      </c>
    </row>
    <row r="273" spans="1:3" x14ac:dyDescent="0.25">
      <c r="A273" s="21" t="s">
        <v>18</v>
      </c>
      <c r="B273" t="s">
        <v>20</v>
      </c>
      <c r="C273" t="s">
        <v>1366</v>
      </c>
    </row>
    <row r="274" spans="1:3" x14ac:dyDescent="0.25">
      <c r="A274" s="7" t="s">
        <v>1401</v>
      </c>
      <c r="B274" s="28">
        <v>0.14285714285714288</v>
      </c>
      <c r="C274" s="70">
        <v>1.2000000000000002E-4</v>
      </c>
    </row>
    <row r="275" spans="1:3" x14ac:dyDescent="0.25">
      <c r="A275" s="7" t="s">
        <v>1402</v>
      </c>
      <c r="B275" s="28">
        <v>0.14285714285714288</v>
      </c>
      <c r="C275" s="70">
        <v>1.2000000000000002E-4</v>
      </c>
    </row>
    <row r="276" spans="1:3" x14ac:dyDescent="0.25">
      <c r="A276" s="7" t="s">
        <v>1403</v>
      </c>
      <c r="B276" s="28">
        <v>0.14285714285714288</v>
      </c>
      <c r="C276" s="70">
        <v>1.2000000000000002E-4</v>
      </c>
    </row>
    <row r="277" spans="1:3" x14ac:dyDescent="0.25">
      <c r="A277" s="7" t="s">
        <v>1404</v>
      </c>
      <c r="B277" s="28">
        <v>0.14285714285714288</v>
      </c>
      <c r="C277" s="70">
        <v>1.2000000000000002E-4</v>
      </c>
    </row>
    <row r="278" spans="1:3" x14ac:dyDescent="0.25">
      <c r="A278" s="7" t="s">
        <v>1405</v>
      </c>
      <c r="B278" s="28">
        <v>0.14285714285714288</v>
      </c>
      <c r="C278" s="70">
        <v>1.2000000000000002E-4</v>
      </c>
    </row>
    <row r="279" spans="1:3" x14ac:dyDescent="0.25">
      <c r="A279" s="7" t="s">
        <v>1406</v>
      </c>
      <c r="B279" s="28">
        <v>0.14285714285714288</v>
      </c>
      <c r="C279" s="70">
        <v>1.2000000000000002E-4</v>
      </c>
    </row>
    <row r="280" spans="1:3" x14ac:dyDescent="0.25">
      <c r="A280" s="7" t="s">
        <v>1407</v>
      </c>
      <c r="B280" s="28">
        <v>0.14285714285714288</v>
      </c>
      <c r="C280" s="70">
        <v>1.2000000000000002E-4</v>
      </c>
    </row>
    <row r="281" spans="1:3" x14ac:dyDescent="0.25">
      <c r="A281" s="7" t="s">
        <v>19</v>
      </c>
      <c r="B281" s="28">
        <v>1</v>
      </c>
      <c r="C281" s="70">
        <v>8.4000000000000003E-4</v>
      </c>
    </row>
    <row r="293" spans="1:7" x14ac:dyDescent="0.25">
      <c r="A293" s="21" t="s">
        <v>10</v>
      </c>
      <c r="B293" t="s" vm="5">
        <v>13</v>
      </c>
    </row>
    <row r="295" spans="1:7" x14ac:dyDescent="0.25">
      <c r="A295" s="21" t="s">
        <v>18</v>
      </c>
      <c r="B295" t="s">
        <v>20</v>
      </c>
      <c r="F295" s="21" t="s">
        <v>18</v>
      </c>
      <c r="G295" t="s">
        <v>20</v>
      </c>
    </row>
    <row r="296" spans="1:7" x14ac:dyDescent="0.25">
      <c r="A296" s="7" t="s">
        <v>1332</v>
      </c>
      <c r="B296" s="70">
        <v>1.2000000000000002E-4</v>
      </c>
      <c r="F296" s="7" t="s">
        <v>14</v>
      </c>
      <c r="G296" s="70">
        <v>8.4000000000000003E-4</v>
      </c>
    </row>
    <row r="297" spans="1:7" x14ac:dyDescent="0.25">
      <c r="A297" s="7" t="s">
        <v>1331</v>
      </c>
      <c r="B297" s="70">
        <v>1.2000000000000002E-4</v>
      </c>
      <c r="F297" s="7" t="s">
        <v>19</v>
      </c>
      <c r="G297" s="70">
        <v>8.4000000000000003E-4</v>
      </c>
    </row>
    <row r="298" spans="1:7" x14ac:dyDescent="0.25">
      <c r="A298" s="7" t="s">
        <v>1333</v>
      </c>
      <c r="B298" s="70">
        <v>4.0000000000000003E-5</v>
      </c>
    </row>
    <row r="299" spans="1:7" x14ac:dyDescent="0.25">
      <c r="A299" s="7" t="s">
        <v>19</v>
      </c>
      <c r="B299" s="70">
        <v>2.8000000000000003E-4</v>
      </c>
    </row>
    <row r="333" spans="1:2" x14ac:dyDescent="0.25">
      <c r="A333" s="21" t="s">
        <v>18</v>
      </c>
      <c r="B333" t="s">
        <v>20</v>
      </c>
    </row>
    <row r="334" spans="1:2" x14ac:dyDescent="0.25">
      <c r="A334" s="7" t="s">
        <v>471</v>
      </c>
      <c r="B334" s="70">
        <v>1E-4</v>
      </c>
    </row>
    <row r="335" spans="1:2" x14ac:dyDescent="0.25">
      <c r="A335" s="7" t="s">
        <v>474</v>
      </c>
      <c r="B335" s="70">
        <v>1E-4</v>
      </c>
    </row>
    <row r="336" spans="1:2" x14ac:dyDescent="0.25">
      <c r="A336" s="7" t="s">
        <v>477</v>
      </c>
      <c r="B336" s="70">
        <v>1E-4</v>
      </c>
    </row>
    <row r="337" spans="1:2" x14ac:dyDescent="0.25">
      <c r="A337" s="7" t="s">
        <v>480</v>
      </c>
      <c r="B337" s="70">
        <v>9.0000000000000006E-5</v>
      </c>
    </row>
    <row r="338" spans="1:2" x14ac:dyDescent="0.25">
      <c r="A338" s="7" t="s">
        <v>437</v>
      </c>
      <c r="B338" s="70">
        <v>9.0000000000000006E-5</v>
      </c>
    </row>
    <row r="339" spans="1:2" x14ac:dyDescent="0.25">
      <c r="A339" s="7" t="s">
        <v>485</v>
      </c>
      <c r="B339" s="70">
        <v>9.0000000000000006E-5</v>
      </c>
    </row>
    <row r="340" spans="1:2" x14ac:dyDescent="0.25">
      <c r="A340" s="7" t="s">
        <v>488</v>
      </c>
      <c r="B340" s="70">
        <v>9.0000000000000006E-5</v>
      </c>
    </row>
    <row r="341" spans="1:2" x14ac:dyDescent="0.25">
      <c r="A341" s="7" t="s">
        <v>491</v>
      </c>
      <c r="B341" s="70">
        <v>9.0000000000000006E-5</v>
      </c>
    </row>
    <row r="342" spans="1:2" x14ac:dyDescent="0.25">
      <c r="A342" s="7" t="s">
        <v>494</v>
      </c>
      <c r="B342" s="70">
        <v>1E-4</v>
      </c>
    </row>
    <row r="343" spans="1:2" x14ac:dyDescent="0.25">
      <c r="A343" s="7" t="s">
        <v>497</v>
      </c>
      <c r="B343" s="70">
        <v>9.0000000000000006E-5</v>
      </c>
    </row>
    <row r="344" spans="1:2" x14ac:dyDescent="0.25">
      <c r="A344" s="7" t="s">
        <v>499</v>
      </c>
      <c r="B344" s="70">
        <v>9.0000000000000006E-5</v>
      </c>
    </row>
    <row r="345" spans="1:2" x14ac:dyDescent="0.25">
      <c r="A345" s="7" t="s">
        <v>501</v>
      </c>
      <c r="B345" s="70">
        <v>9.0000000000000006E-5</v>
      </c>
    </row>
    <row r="346" spans="1:2" x14ac:dyDescent="0.25">
      <c r="A346" s="7" t="s">
        <v>19</v>
      </c>
      <c r="B346" s="70">
        <v>1.1200000000000001E-3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0B673-FC29-4E04-8AE8-56C0F3C08A4E}">
  <sheetPr codeName="Sheet11">
    <tabColor theme="1" tint="0.14999847407452621"/>
  </sheetPr>
  <dimension ref="A1:FU127"/>
  <sheetViews>
    <sheetView showGridLines="0" showRowColHeaders="0" topLeftCell="CC1" zoomScale="85" zoomScaleNormal="85" workbookViewId="0">
      <selection activeCell="CI17" sqref="CI17"/>
    </sheetView>
  </sheetViews>
  <sheetFormatPr defaultRowHeight="11.5" x14ac:dyDescent="0.25"/>
  <cols>
    <col min="1" max="1" width="12.69921875" customWidth="1"/>
    <col min="2" max="2" width="15.8984375" customWidth="1"/>
    <col min="3" max="3" width="14.09765625" customWidth="1"/>
    <col min="4" max="4" width="12.8984375" customWidth="1"/>
    <col min="7" max="7" width="12.09765625" customWidth="1"/>
    <col min="10" max="10" width="12.3984375" customWidth="1"/>
    <col min="11" max="11" width="15.09765625" customWidth="1"/>
    <col min="13" max="13" width="12.3984375" customWidth="1"/>
    <col min="14" max="14" width="11.69921875" customWidth="1"/>
    <col min="15" max="15" width="15.8984375" style="86" customWidth="1"/>
    <col min="18" max="18" width="11.8984375" style="88" customWidth="1"/>
    <col min="20" max="20" width="8.8984375" style="5"/>
    <col min="22" max="22" width="12" customWidth="1"/>
    <col min="23" max="23" width="12.8984375" customWidth="1"/>
    <col min="26" max="26" width="10.3984375" bestFit="1" customWidth="1"/>
    <col min="30" max="30" width="14.3984375" customWidth="1"/>
    <col min="35" max="35" width="9" customWidth="1"/>
    <col min="37" max="37" width="10" bestFit="1" customWidth="1"/>
    <col min="38" max="38" width="9.8984375" bestFit="1" customWidth="1"/>
    <col min="49" max="50" width="10.3984375" bestFit="1" customWidth="1"/>
    <col min="52" max="52" width="9.3984375" bestFit="1" customWidth="1"/>
    <col min="54" max="54" width="11.8984375" customWidth="1"/>
    <col min="67" max="67" width="12.69921875" style="108" bestFit="1" customWidth="1"/>
    <col min="70" max="70" width="8.8984375" style="5"/>
    <col min="75" max="75" width="11.8984375" bestFit="1" customWidth="1"/>
    <col min="76" max="76" width="10.3984375" style="5" bestFit="1" customWidth="1"/>
    <col min="77" max="77" width="11.8984375" style="5" customWidth="1"/>
    <col min="78" max="78" width="10.09765625" style="5" customWidth="1"/>
    <col min="79" max="79" width="10.296875" customWidth="1"/>
    <col min="82" max="82" width="12.59765625" bestFit="1" customWidth="1"/>
    <col min="85" max="85" width="18.296875" bestFit="1" customWidth="1"/>
    <col min="91" max="91" width="11.59765625" bestFit="1" customWidth="1"/>
    <col min="92" max="92" width="10.3984375" bestFit="1" customWidth="1"/>
    <col min="93" max="93" width="10.8984375" bestFit="1" customWidth="1"/>
    <col min="117" max="117" width="10" customWidth="1"/>
    <col min="118" max="118" width="10.09765625" bestFit="1" customWidth="1"/>
    <col min="119" max="119" width="10.296875" customWidth="1"/>
    <col min="153" max="153" width="10.09765625" customWidth="1"/>
    <col min="155" max="155" width="11" customWidth="1"/>
    <col min="156" max="156" width="14.3984375" customWidth="1"/>
    <col min="157" max="159" width="13" bestFit="1" customWidth="1"/>
    <col min="170" max="170" width="10.3984375" bestFit="1" customWidth="1"/>
    <col min="172" max="172" width="10.296875" customWidth="1"/>
  </cols>
  <sheetData>
    <row r="1" spans="1:177" x14ac:dyDescent="0.25">
      <c r="A1" s="9"/>
      <c r="B1" s="9" t="s">
        <v>109</v>
      </c>
      <c r="C1" s="9" t="s">
        <v>110</v>
      </c>
      <c r="D1" s="9" t="s">
        <v>114</v>
      </c>
      <c r="E1" s="9" t="s">
        <v>118</v>
      </c>
      <c r="F1" s="9" t="s">
        <v>119</v>
      </c>
      <c r="G1" s="9" t="s">
        <v>120</v>
      </c>
      <c r="I1" s="9">
        <f>IFERROR(IF(J1&lt;&gt;"",1,""),"")</f>
        <v>1</v>
      </c>
      <c r="J1" s="9" t="str" cm="1">
        <f t="array" ref="J1">_xlfn.IFS(RIGHT(Analyse!A104,5)="Total","",Analyse!A104="","",Analyse!A104&lt;&gt;"",Analyse!A104)</f>
        <v>Sub-Category3</v>
      </c>
      <c r="K1" s="9" cm="1">
        <f t="array" ref="K1">IFERROR(IF(AF1=TbHead[SmallT],100000000,ABS(GETPIVOTDATA("[__Xl2].[Measures].[Sum of Montant]",Analyse!$A$101,"[Master_1].[Cat_2]","[Master_1].[Cat_2].&amp;["&amp;$M$17&amp;"]","[Master_1].[Cat_3]","[Master_1].[Cat_3].&amp;["&amp;J1&amp;"]"))/GETPIVOTDATA("[Measures].[Sum of Montant]",Analyse!$A$82,"[Master_1].[Cat_2]","[Master_1].[Cat_2].&amp;["&amp; WB_Data!$J$2 &amp; "]")),"")</f>
        <v>1</v>
      </c>
      <c r="L1" s="9"/>
      <c r="M1" s="9">
        <f>ROWS(N1:N16)-(COUNTIF(N1:N16,""))</f>
        <v>1</v>
      </c>
      <c r="N1" s="9">
        <f t="shared" ref="N1:N16" si="0">I1</f>
        <v>1</v>
      </c>
      <c r="O1" s="87">
        <f>K1</f>
        <v>1</v>
      </c>
      <c r="P1" s="9" t="str">
        <f t="shared" ref="P1:P16" si="1">J1</f>
        <v>Sub-Category3</v>
      </c>
      <c r="Q1" s="9" t="str" cm="1">
        <f t="array" aca="1" ref="Q1" ca="1">IFERROR(INDEX(INDIRECT($M$3),SMALL(IF(INDIRECT($M$2)=R1,ROW(INDIRECT($M$2))),COUNTIF($R$1:R1,R1))),"")</f>
        <v>Sub-Category3</v>
      </c>
      <c r="R1" s="104">
        <f ca="1">IFERROR(LARGE(INDIRECT($M$2),N1),"")</f>
        <v>1</v>
      </c>
      <c r="S1" s="9" t="str" cm="1">
        <f t="array" aca="1" ref="S1" ca="1">IFERROR(INDEX(INDIRECT($L$17),T1,0),"")</f>
        <v/>
      </c>
      <c r="T1" s="5">
        <f t="shared" ref="T1:T16" ca="1" si="2">MATCH(R1,INDIRECT($K$17),0)</f>
        <v>1</v>
      </c>
      <c r="U1" s="9" t="str">
        <f>"X1:X"&amp; $M$1</f>
        <v>X1:X1</v>
      </c>
      <c r="V1" s="97">
        <f>N1</f>
        <v>1</v>
      </c>
      <c r="W1" s="9">
        <f>L1</f>
        <v>0</v>
      </c>
      <c r="X1" s="9" t="str">
        <f>J1</f>
        <v>Sub-Category3</v>
      </c>
      <c r="Y1" s="9" t="str" cm="1">
        <f t="array" aca="1" ref="Y1" ca="1">IFERROR(INDEX(INDIRECT($U$1),SMALL(IF(INDIRECT($U$2)=Z1,ROW(INDIRECT($U$2))),COUNTIF($Z$1:Z1,Z1))),"")</f>
        <v>Sub-Category3</v>
      </c>
      <c r="Z1" s="9">
        <f t="shared" ref="Z1:Z16" ca="1" si="3">IFERROR(LARGE(INDIRECT($U$2),V1),"")</f>
        <v>0</v>
      </c>
      <c r="AA1" s="9" cm="1">
        <f t="array" aca="1" ref="AA1" ca="1">IFERROR(INDEX(INDIRECT($K$17),AB1,0),"")</f>
        <v>1</v>
      </c>
      <c r="AB1" s="5">
        <f t="shared" ref="AB1:AB16" ca="1" si="4">MATCH(Z1,INDIRECT($U$2),0)</f>
        <v>1</v>
      </c>
      <c r="AC1" s="105"/>
      <c r="AD1" s="8" t="str">
        <f>Analyse!B102</f>
        <v>Analyse/Catégorie</v>
      </c>
      <c r="AE1" s="96">
        <f>V1</f>
        <v>1</v>
      </c>
      <c r="AF1" s="8" t="str" cm="1">
        <f t="array" ref="AF1">_xlfn.IFS(RIGHT(Analyse!A104,5)="Total","",Analyse!A104="","",Analyse!A104&lt;&gt;"",Analyse!A104)</f>
        <v>Sub-Category3</v>
      </c>
      <c r="AG1" s="8" cm="1">
        <f t="array" ref="AG1">IFERROR(IF(AF1=TbHead[SmallT],100,GETPIVOTDATA("[Measures].[Sum of Montant]",Analyse!$A$101,"[Master_1].[Cat_2]","[Master_1].[Cat_2].&amp;["&amp; $M$17 &amp; "]","[Master_1].[Cat_3]","[Master_1].[Cat_3].&amp;[" &amp; AF1 &amp; "]")),"")</f>
        <v>1</v>
      </c>
      <c r="AH1" s="8" cm="1">
        <f t="array" ref="AH1">IFERROR(IF(AF1=TbHead[SmallT],100000000,ABS(GETPIVOTDATA("[__Xl2].[Measures].[Sum of Montant]",Analyse!$A$101,"[Master_1].[Cat_2]","[Master_1].[Cat_2].&amp;["&amp;$M$17&amp;"]","[Master_1].[Cat_3]","[Master_1].[Cat_3].&amp;["&amp;ControlChart!AF1&amp;"]"))),"")</f>
        <v>1.2000000000000002E-4</v>
      </c>
      <c r="AI1" s="9">
        <f>ROWS(AE1:AE16)-(COUNTIF(AE1:AE16,""))</f>
        <v>1</v>
      </c>
      <c r="AJ1" s="8" t="str" cm="1">
        <f t="array" ref="AJ1">IFERROR(INDEX($AF$1:$AF$16,SMALL(IF($AG$1:$AG$16=AK1,ROW($AG$1:$AG$16)),COUNTIF($AK$1:AK1,AK1))),"")</f>
        <v>Sub-Category3</v>
      </c>
      <c r="AK1" s="107">
        <f>IFERROR(LARGE($AG$1:$AG$16,AE1),"")</f>
        <v>1</v>
      </c>
      <c r="AL1" s="106">
        <f>IFERROR(LARGE($AH$1:$AH$16,AE1),"")</f>
        <v>1.2000000000000002E-4</v>
      </c>
      <c r="AM1" s="8" t="str">
        <f>IF(AND(AF1&lt;&gt;"",AG1=""),AF1,"")</f>
        <v/>
      </c>
      <c r="AN1" s="98" t="str">
        <f>_xlfn.CONCAT(AM1:AM16)</f>
        <v/>
      </c>
      <c r="AR1" s="12" t="s">
        <v>107</v>
      </c>
      <c r="AS1" s="9" t="str">
        <f>Analyse!R115</f>
        <v>Sub-Category3</v>
      </c>
      <c r="AT1" s="9" t="s">
        <v>138</v>
      </c>
      <c r="AU1" s="9" t="str">
        <f>IF(Analyse!S114="","-",Analyse!S114)</f>
        <v>-</v>
      </c>
      <c r="AV1" s="9">
        <f>IF(Analyse!R114="","",Analyse!R114)</f>
        <v>2025</v>
      </c>
      <c r="AW1" s="9" t="s">
        <v>138</v>
      </c>
      <c r="AX1" s="9" t="str">
        <f>AU1</f>
        <v>-</v>
      </c>
      <c r="AY1" s="9" t="s">
        <v>139</v>
      </c>
      <c r="AZ1" s="9" t="s">
        <v>140</v>
      </c>
      <c r="BA1" t="str">
        <f ca="1">IFERROR(IF(BH1&gt;0,BC1,""),"")</f>
        <v/>
      </c>
      <c r="BB1" t="str">
        <f ca="1">_xlfn.CONCAT(BA1,"  ",BA3,"  ",BA4,"  ",BA5,"  ",BA6,"  ",BA7,"  ",BA8,"  ",BA9,"  ",BA10,"  ",BA11,"  ",BA12,"  ",BA13)</f>
        <v xml:space="preserve">                      </v>
      </c>
      <c r="BC1" s="16" t="str" cm="1">
        <f t="array" ref="BC1">IF(Analyse!A274=TbHead[GrandT],NA(),Analyse!A274)</f>
        <v>Category1</v>
      </c>
      <c r="BD1" s="16" cm="1">
        <f t="array" ref="BD1">_xlfn.IFS(ISNA(BC1),0,BC1=0,0,BC1&lt;&gt;"",1)</f>
        <v>1</v>
      </c>
      <c r="BE1" s="16">
        <f>IFERROR(IF(BD1=0,NA(),GETPIVOTDATA("[Measures].[Sum of Montant]",Analyse!$A$273,"[Master_1].[Cat_2]","[Master_1].[Cat_2].&amp;["&amp;ControlChart!BC1&amp;"]")),NA())</f>
        <v>0.14285714285714288</v>
      </c>
      <c r="BF1" s="16" t="str" cm="1">
        <f t="array" aca="1" ref="BF1" ca="1">IFERROR(INDEX(INDIRECT($BF$14),SMALL(IF(INDIRECT($BE$14)=BG1,ROW(INDIRECT($BE$14))),COUNTIF($BG$1:BG1,BG1))),0)</f>
        <v>Category1</v>
      </c>
      <c r="BG1" s="111">
        <f ca="1">IF(ISNA(BE1),NA(),LARGE(INDIRECT($BE$14),SUM($BD$1:BD1)))</f>
        <v>0.14285714285714288</v>
      </c>
      <c r="BH1" s="16">
        <f t="shared" ref="BH1:BH13" ca="1" si="5">IFERROR(IF(AND(BF1&lt;&gt;"0",BG1&lt;0.1),BG1,0),0)</f>
        <v>0</v>
      </c>
      <c r="BI1" s="16">
        <f ca="1">IFERROR(IF(BH1=0,BG1,$BH$14),NA())</f>
        <v>0.14285714285714288</v>
      </c>
      <c r="BJ1" s="16" t="str" cm="1">
        <f t="array" aca="1" ref="BJ1:BJ7" ca="1">INDIRECT("BF1:BF"&amp;($BC$14-$BD$14))</f>
        <v>Category1</v>
      </c>
      <c r="BK1" s="16" t="str">
        <f ca="1">IF(BL1="",NA(),IF(AND(BL1&lt;&gt;"",BJ1=""),Library!$A$227,BJ1))</f>
        <v>Category1</v>
      </c>
      <c r="BL1" s="111" cm="1">
        <f t="array" aca="1" ref="BL1:BL8" ca="1">INDIRECT(BI14)</f>
        <v>0.14285714285714288</v>
      </c>
      <c r="BM1" s="111" cm="1">
        <f t="array" aca="1" ref="BM1" ca="1">IFERROR(_xlfn.IFS(BL1="",NA(),BL1&gt;1,1,BL1&gt;=0,BL1),NA())</f>
        <v>0.14285714285714288</v>
      </c>
      <c r="BN1" s="16">
        <f ca="1">IF(BM1&lt;&gt;"",IF(SUM($BM$1:BM1)&gt;100%,"",SUM($BM$1:BM1)),NA())</f>
        <v>0.14285714285714288</v>
      </c>
      <c r="BO1" s="16">
        <f ca="1">IFERROR(100%-BN1,NA())</f>
        <v>0.8571428571428571</v>
      </c>
      <c r="BP1" s="110">
        <f ca="1">IFERROR(IF(BM1=0,NA(),SIN(BN1*2*PI())),NA())</f>
        <v>0.7818314824680298</v>
      </c>
      <c r="BQ1" s="112">
        <f ca="1">IFERROR(IF(BM1=0,NA(),COS(BN1*2*PI())),NA())</f>
        <v>0.62348980185873348</v>
      </c>
      <c r="BR1" s="267"/>
      <c r="BS1" s="8">
        <f>Analyse!B29</f>
        <v>2025</v>
      </c>
      <c r="BT1" s="8">
        <f>Analyse!B27</f>
        <v>12</v>
      </c>
      <c r="BU1" s="217">
        <f>IFERROR(ABS(BW1)/$CG$2,0)</f>
        <v>1</v>
      </c>
      <c r="BV1" s="8" t="str">
        <f>IFERROR(WB_Data!H2,NA())</f>
        <v>Category1</v>
      </c>
      <c r="BW1" s="304">
        <f>IFERROR(ABS(GETPIVOTDATA("[__Xl2].[Measures].[Sum of Montant]",Analyse!$A$273,"[Master_1].[Cat_2]","[Master_1].[Cat_2].&amp;["&amp;BV1&amp;"]")),0)</f>
        <v>1.2000000000000002E-4</v>
      </c>
      <c r="BX1" s="116" cm="1">
        <f t="array" ref="BX1">IFERROR(_xlfn.IFS(BU1="",0,BU1&gt;1,1,BU1&gt;=0,BU1),0)</f>
        <v>1</v>
      </c>
      <c r="BY1" s="116">
        <f>100%-BX1</f>
        <v>0</v>
      </c>
      <c r="BZ1" s="116">
        <f>BX1+100%/(360/30)</f>
        <v>1.0833333333333333</v>
      </c>
      <c r="CA1" s="116">
        <f>IFERROR(IF(100%-BZ1&gt;=0,100%-BZ1,0),0)</f>
        <v>0</v>
      </c>
      <c r="CB1" s="8">
        <f>SIN(BZ1*2*PI())</f>
        <v>0.49999999999999928</v>
      </c>
      <c r="CC1" s="8">
        <f>COS(BZ1*2*PI())</f>
        <v>0.86602540378443904</v>
      </c>
      <c r="CD1" s="305">
        <f>IFERROR(BW1/$BT$3,0)</f>
        <v>1.0000000000000001E-5</v>
      </c>
      <c r="CF1" s="8" t="str">
        <f>WB_Data!F2</f>
        <v>Dépense</v>
      </c>
      <c r="CG1" s="304">
        <f>IFERROR(ABS(GETPIVOTDATA("[Measures].[Sum of Montant]",Analyse!$F$295,"[Master_1].[Cat_1]","[Master_1].[Cat_1].&amp;["&amp;CF1&amp;"]")),0)</f>
        <v>8.4000000000000003E-4</v>
      </c>
      <c r="CH1" s="8">
        <f>IFERROR(ABS(GETPIVOTDATA("[Measures].[Sum of Montant]",Analyse!$F$295,"[Master_1].[Cat_1]","[Master_1].[Cat_1].&amp;["&amp;CF1&amp;"]")),0)</f>
        <v>8.4000000000000003E-4</v>
      </c>
      <c r="CI1" s="218">
        <f>IFERROR($CG$1/$CG$2,0)</f>
        <v>6.9999999999999991</v>
      </c>
      <c r="CJ1" s="136"/>
      <c r="CK1" s="136"/>
      <c r="CL1" s="14"/>
      <c r="CM1" s="8">
        <f>B20</f>
        <v>2025</v>
      </c>
      <c r="CN1" s="144">
        <f ca="1">CG2/A20</f>
        <v>1.0000000000000001E-5</v>
      </c>
      <c r="CO1" s="141">
        <f ca="1">IFERROR(CN3/CN2,0)</f>
        <v>0</v>
      </c>
      <c r="CP1" s="9" t="s">
        <v>171</v>
      </c>
      <c r="CQ1" s="8" cm="1">
        <f t="array" aca="1" ref="CQ1" ca="1">IFERROR(_xlfn.SEQUENCE(1,CN4,0,CO1),0)</f>
        <v>0</v>
      </c>
      <c r="CR1" s="8"/>
      <c r="CS1" s="9"/>
      <c r="CT1" s="8"/>
      <c r="CU1" s="8"/>
      <c r="CV1" s="8"/>
      <c r="CW1" s="8"/>
      <c r="CX1" s="8"/>
      <c r="CY1" s="8"/>
      <c r="CZ1" s="8"/>
      <c r="DA1" s="8"/>
      <c r="DB1" s="8"/>
      <c r="DC1" s="8"/>
      <c r="DD1" s="8"/>
      <c r="DE1" s="8"/>
      <c r="EV1" s="5" t="s">
        <v>8</v>
      </c>
      <c r="EW1" t="s">
        <v>223</v>
      </c>
      <c r="EX1" t="s">
        <v>224</v>
      </c>
      <c r="EY1" t="s">
        <v>225</v>
      </c>
      <c r="EZ1" t="s">
        <v>233</v>
      </c>
      <c r="FA1" s="43" t="s">
        <v>226</v>
      </c>
      <c r="FB1" t="s">
        <v>227</v>
      </c>
      <c r="FC1" t="s">
        <v>228</v>
      </c>
      <c r="FD1" t="s">
        <v>229</v>
      </c>
      <c r="FG1" s="302" t="str" cm="1">
        <f t="array" ref="FG1">IFERROR(LOOKUP(2,1/(DTEP[TTEP]&lt;&gt;0),DTEP[TTEP]),"")</f>
        <v/>
      </c>
      <c r="FH1" s="9" t="s">
        <v>211</v>
      </c>
      <c r="FI1" s="9" t="s">
        <v>214</v>
      </c>
      <c r="FJ1" s="9" t="s">
        <v>213</v>
      </c>
      <c r="FK1" s="9" t="s">
        <v>216</v>
      </c>
      <c r="FL1" s="9" t="s">
        <v>220</v>
      </c>
      <c r="FM1" s="9" t="s">
        <v>221</v>
      </c>
      <c r="FN1" s="9" t="s">
        <v>217</v>
      </c>
      <c r="FO1" s="5"/>
    </row>
    <row r="2" spans="1:177" x14ac:dyDescent="0.25">
      <c r="A2" s="9" t="s">
        <v>108</v>
      </c>
      <c r="B2" s="9" t="s">
        <v>112</v>
      </c>
      <c r="C2" s="9" t="s">
        <v>111</v>
      </c>
      <c r="D2" s="9"/>
      <c r="E2" s="9">
        <v>45</v>
      </c>
      <c r="F2" s="9"/>
      <c r="G2" s="9"/>
      <c r="I2" s="9" t="str">
        <f>IFERROR(IF(J2&lt;&gt;"",I1+1,""),"")</f>
        <v/>
      </c>
      <c r="J2" s="9" t="str" cm="1">
        <f t="array" ref="J2">_xlfn.IFS(RIGHT(Analyse!A105,5)="Total","",Analyse!A105="","",Analyse!A105&lt;&gt;"",Analyse!A105)</f>
        <v/>
      </c>
      <c r="K2" s="9" t="str" cm="1">
        <f t="array" ref="K2">IFERROR(IF(AF2=TbHead[SmallT],100000000,ABS(GETPIVOTDATA("[__Xl2].[Measures].[Sum of Montant]",Analyse!$A$101,"[Master_1].[Cat_2]","[Master_1].[Cat_2].&amp;["&amp;$M$17&amp;"]","[Master_1].[Cat_3]","[Master_1].[Cat_3].&amp;["&amp;J2&amp;"]"))/GETPIVOTDATA("[Measures].[Sum of Montant]",Analyse!$A$82,"[Master_1].[Cat_2]","[Master_1].[Cat_2].&amp;["&amp; WB_Data!$J$2 &amp; "]")),"")</f>
        <v/>
      </c>
      <c r="L2" s="9"/>
      <c r="M2" s="9" t="str">
        <f>"O1:O" &amp; $M$1</f>
        <v>O1:O1</v>
      </c>
      <c r="N2" s="9" t="str">
        <f t="shared" si="0"/>
        <v/>
      </c>
      <c r="O2" s="87" t="str">
        <f t="shared" ref="O2:O16" si="6">K2</f>
        <v/>
      </c>
      <c r="P2" s="9" t="str">
        <f t="shared" si="1"/>
        <v/>
      </c>
      <c r="Q2" s="9" t="str" cm="1">
        <f t="array" aca="1" ref="Q2" ca="1">IFERROR(INDEX(INDIRECT($M$3),SMALL(IF(INDIRECT($M$2)=R2,ROW(INDIRECT($M$2))),COUNTIF($R$1:R2,R2))),"")</f>
        <v>Sub-Category3</v>
      </c>
      <c r="R2" s="104" t="str">
        <f t="shared" ref="R2:R16" ca="1" si="7">IFERROR(LARGE(INDIRECT($M$2),N2),"")</f>
        <v/>
      </c>
      <c r="S2" s="9" t="str" cm="1">
        <f t="array" aca="1" ref="S2" ca="1">IFERROR(INDEX(INDIRECT($L$17),T2,0),"")</f>
        <v/>
      </c>
      <c r="T2" s="5" t="e">
        <f t="shared" ca="1" si="2"/>
        <v>#N/A</v>
      </c>
      <c r="U2" s="9" t="str">
        <f>CONCATENATE("W",$I$17,":W",$J$17)</f>
        <v>W1:W1</v>
      </c>
      <c r="V2" s="97" t="str">
        <f t="shared" ref="V2:V16" si="8">N2</f>
        <v/>
      </c>
      <c r="W2" s="9">
        <f t="shared" ref="W2:W16" si="9">L2</f>
        <v>0</v>
      </c>
      <c r="X2" s="9" t="str">
        <f t="shared" ref="X2:X16" si="10">J2</f>
        <v/>
      </c>
      <c r="Y2" s="9" t="str" cm="1">
        <f t="array" aca="1" ref="Y2" ca="1">IFERROR(INDEX(INDIRECT($U$1),SMALL(IF(INDIRECT($U$2)=Z2,ROW(INDIRECT($U$2))),COUNTIF($Z$1:Z2,Z2))),"")</f>
        <v>Sub-Category3</v>
      </c>
      <c r="Z2" s="9" t="str">
        <f t="shared" ca="1" si="3"/>
        <v/>
      </c>
      <c r="AA2" s="9" t="str" cm="1">
        <f t="array" aca="1" ref="AA2" ca="1">IFERROR(INDEX(INDIRECT($K$17),AB2,0),"")</f>
        <v/>
      </c>
      <c r="AB2" s="5" t="e">
        <f t="shared" ca="1" si="4"/>
        <v>#N/A</v>
      </c>
      <c r="AC2" s="105"/>
      <c r="AD2" s="8" t="str">
        <f>Analyse!C102</f>
        <v>Analyse/Total dépense</v>
      </c>
      <c r="AE2" s="96" t="str">
        <f t="shared" ref="AE2:AE16" si="11">V2</f>
        <v/>
      </c>
      <c r="AF2" s="8" t="str" cm="1">
        <f t="array" ref="AF2">_xlfn.IFS(RIGHT(Analyse!A105,5)="Total","",Analyse!A105="","",Analyse!A105&lt;&gt;"",Analyse!A105)</f>
        <v/>
      </c>
      <c r="AG2" s="8" t="str" cm="1">
        <f t="array" ref="AG2">IFERROR(IF(AF2=TbHead[SmallT],100,GETPIVOTDATA("[Measures].[Sum of Montant]",Analyse!$A$101,"[Master_1].[Cat_2]","[Master_1].[Cat_2].&amp;["&amp; $M$17 &amp; "]","[Master_1].[Cat_3]","[Master_1].[Cat_3].&amp;[" &amp; AF2 &amp; "]")),"")</f>
        <v/>
      </c>
      <c r="AH2" s="8" t="str" cm="1">
        <f t="array" ref="AH2">IFERROR(IF(AF2=TbHead[SmallT],100000000,ABS(GETPIVOTDATA("[__Xl2].[Measures].[Sum of Montant]",Analyse!$A$101,"[Master_1].[Cat_2]","[Master_1].[Cat_2].&amp;["&amp;$M$17&amp;"]","[Master_1].[Cat_3]","[Master_1].[Cat_3].&amp;["&amp;ControlChart!AF2&amp;"]"))),"")</f>
        <v/>
      </c>
      <c r="AI2" s="9" t="str">
        <f>"AG1:AG" &amp; $AI$1</f>
        <v>AG1:AG1</v>
      </c>
      <c r="AJ2" s="8" t="str" cm="1">
        <f t="array" ref="AJ2">IFERROR(INDEX($AF$1:$AF$16,SMALL(IF($AG$1:$AG$16=AK2,ROW($AG$1:$AG$16)),COUNTIF($AK$1:AK2,AK2))),"")</f>
        <v/>
      </c>
      <c r="AK2" s="107" t="str">
        <f t="shared" ref="AK2:AK16" si="12">IFERROR(LARGE($AG$1:$AG$16,AE2),"")</f>
        <v/>
      </c>
      <c r="AL2" s="106" t="str">
        <f t="shared" ref="AL2:AL16" si="13">IFERROR(LARGE($AH$1:$AH$16,AE2),"")</f>
        <v/>
      </c>
      <c r="AM2" s="8" t="str">
        <f t="shared" ref="AM2:AM16" si="14">IF(AND(AF2&lt;&gt;"",AG2=""),AF2,"")</f>
        <v/>
      </c>
      <c r="AN2" s="8"/>
      <c r="AR2" s="9" t="str">
        <f ca="1">Library!R18</f>
        <v>Jan</v>
      </c>
      <c r="AS2" s="302">
        <f ca="1">IFERROR(GETPIVOTDATA("[Measures].[Sum of Montant]",Analyse!$Q$113,"[Master_1].[Année]","[Master_1].[Année].&amp;["&amp;$AV$1&amp;"]","[Master_1].[Cat_3]","[Master_1].[Cat_3].&amp;["&amp;$AS$1&amp;"]","[Master_1].[Mois (Name)]","[Master_1].[Mois (Name)].&amp;["&amp;AR2&amp;"]"),NA())</f>
        <v>1.0000000000000001E-5</v>
      </c>
      <c r="AT2" s="302">
        <f ca="1">IFERROR(GETPIVOTDATA("[Measures].[Sum of Montant]",Analyse!$Q$137,"[Master_1].[Année]","[Master_1].[Année].&amp;["&amp;ControlChart!$AV$1&amp;"]","[Master_1].[Cat_3]","[Master_1].[Cat_3].&amp;["&amp;ControlChart!$AS$1&amp;"]","[Master_1].[Mois (Name)]","[Master_1].[Mois (Name)].&amp;["&amp;ControlChart!AR2&amp;"]"),NA())</f>
        <v>1.0000000000000001E-5</v>
      </c>
      <c r="AU2" s="302" t="e">
        <f ca="1">IFERROR(GETPIVOTDATA("[Measures].[Sum of Montant]",Analyse!$Q$113,"[Master_1].[Année]","[Master_1].[Année].&amp;["&amp;$AU$1&amp;"]","[Master_1].[Cat_3]","[Master_1].[Cat_3].&amp;["&amp;$AS$1&amp;"]","[Master_1].[Mois (Name)]","[Master_1].[Mois (Name)].&amp;["&amp;AR2&amp;"]"),NA())</f>
        <v>#N/A</v>
      </c>
      <c r="AV2" s="302">
        <f ca="1">IF(AS2=0,NA(),ABS(AS2))</f>
        <v>1.0000000000000001E-5</v>
      </c>
      <c r="AW2" s="302">
        <f ca="1">IF(AT2=0,NA(),ABS(AT2))</f>
        <v>1.0000000000000001E-5</v>
      </c>
      <c r="AX2" s="302" t="e">
        <f ca="1">ABS(AU2)</f>
        <v>#N/A</v>
      </c>
      <c r="AY2" s="302">
        <f ca="1">IF(ISNA(AW2),AW2,AV2)</f>
        <v>1.0000000000000001E-5</v>
      </c>
      <c r="AZ2" s="302" t="e">
        <f ca="1">IF(ISNA(AW2),NA(),AX2)</f>
        <v>#N/A</v>
      </c>
      <c r="BA2" t="str">
        <f t="shared" ref="BA2:BA13" ca="1" si="15">IFERROR(IF(BH2&gt;0,BC2,""),"")</f>
        <v/>
      </c>
      <c r="BC2" s="16" t="str" cm="1">
        <f t="array" ref="BC2">IF(Analyse!A275=TbHead[GrandT],NA(),Analyse!A275)</f>
        <v>Category2</v>
      </c>
      <c r="BD2" s="16" cm="1">
        <f t="array" ref="BD2">_xlfn.IFS(ISNA(BC2),0,BC2=0,0,BC2&lt;&gt;"",1)</f>
        <v>1</v>
      </c>
      <c r="BE2" s="16">
        <f>IFERROR(IF(BD2=0,NA(),GETPIVOTDATA("[Measures].[Sum of Montant]",Analyse!$A$273,"[Master_1].[Cat_2]","[Master_1].[Cat_2].&amp;["&amp;ControlChart!BC2&amp;"]")),NA())</f>
        <v>0.14285714285714288</v>
      </c>
      <c r="BF2" s="16" t="str" cm="1">
        <f t="array" aca="1" ref="BF2" ca="1">IFERROR(INDEX(INDIRECT($BF$14),SMALL(IF(INDIRECT($BE$14)=BG2,ROW(INDIRECT($BE$14))),COUNTIF($BG$1:BG2,BG2))),0)</f>
        <v>Category2</v>
      </c>
      <c r="BG2" s="111">
        <f ca="1">IF(ISNA(BE2),NA(),LARGE(INDIRECT($BE$14),SUM($BD$1:BD2)))</f>
        <v>0.14285714285714288</v>
      </c>
      <c r="BH2" s="16">
        <f t="shared" ca="1" si="5"/>
        <v>0</v>
      </c>
      <c r="BI2" s="16">
        <f t="shared" ref="BI2:BI13" ca="1" si="16">IFERROR(IF(BH2=0,BG2,$BH$14),NA())</f>
        <v>0.14285714285714288</v>
      </c>
      <c r="BJ2" s="16" t="str">
        <f ca="1"/>
        <v>Category2</v>
      </c>
      <c r="BK2" s="16" t="str">
        <f ca="1">IF(BL2="",NA(),IF(AND(BL2&lt;&gt;"",BJ2=""),Library!$A$227,BJ2))</f>
        <v>Category2</v>
      </c>
      <c r="BL2" s="111">
        <f ca="1"/>
        <v>0.14285714285714288</v>
      </c>
      <c r="BM2" s="111" cm="1">
        <f t="array" aca="1" ref="BM2" ca="1">IFERROR(_xlfn.IFS(BL2="",NA(),BL2&gt;1,1,BL2&gt;=0,BL2),NA())</f>
        <v>0.14285714285714288</v>
      </c>
      <c r="BN2" s="16">
        <f ca="1">IF(BM2&lt;&gt;"",IF(SUM($BM$1:BM2)&gt;100%,"",SUM($BM$1:BM2)),NA())</f>
        <v>0.28571428571428575</v>
      </c>
      <c r="BO2" s="16">
        <f ca="1">IFERROR(100%-BN2,NA())</f>
        <v>0.71428571428571419</v>
      </c>
      <c r="BP2" s="110">
        <f ca="1">IFERROR(IF(BM2=0,NA(),SIN(BN2*2*PI())),NA())</f>
        <v>0.97492791218182362</v>
      </c>
      <c r="BQ2" s="112">
        <f ca="1">IFERROR(IF(BM2=0,NA(),COS(BN2*2*PI())),NA())</f>
        <v>-0.22252093395631456</v>
      </c>
      <c r="BR2" s="268"/>
      <c r="BS2" s="16" t="str">
        <f>Analyse!C29</f>
        <v>-</v>
      </c>
      <c r="BT2" s="8">
        <f>Analyse!C27</f>
        <v>0</v>
      </c>
      <c r="BU2" s="217">
        <f t="shared" ref="BU2:BU7" si="17">IFERROR(ABS(BW2)/$CG$2,0)</f>
        <v>1</v>
      </c>
      <c r="BV2" s="8" t="str">
        <f>IFERROR(WB_Data!H3,NA())</f>
        <v>Category2</v>
      </c>
      <c r="BW2" s="304">
        <f>IFERROR(ABS(GETPIVOTDATA("[__Xl2].[Measures].[Sum of Montant]",Analyse!$A$273,"[Master_1].[Cat_2]","[Master_1].[Cat_2].&amp;["&amp;BV2&amp;"]")),0)</f>
        <v>1.2000000000000002E-4</v>
      </c>
      <c r="BX2" s="116" cm="1">
        <f t="array" ref="BX2">IFERROR(_xlfn.IFS(BU2="",0,BU2&gt;1,1,BU2&gt;=0,BU2),0)</f>
        <v>1</v>
      </c>
      <c r="BY2" s="116">
        <f t="shared" ref="BY2:BY7" si="18">100%-BX2</f>
        <v>0</v>
      </c>
      <c r="BZ2" s="116">
        <f t="shared" ref="BZ2:BZ7" si="19">BX2+100%/(360/30)</f>
        <v>1.0833333333333333</v>
      </c>
      <c r="CA2" s="116">
        <f t="shared" ref="CA2:CA7" si="20">IFERROR(IF(100%-BZ2&gt;=0,100%-BZ2,0),0)</f>
        <v>0</v>
      </c>
      <c r="CB2" s="8">
        <f t="shared" ref="CB2:CB7" si="21">SIN(BZ2*2*PI())</f>
        <v>0.49999999999999928</v>
      </c>
      <c r="CC2" s="8">
        <f t="shared" ref="CC2:CC7" si="22">COS(BZ2*2*PI())</f>
        <v>0.86602540378443904</v>
      </c>
      <c r="CD2" s="305">
        <f t="shared" ref="CD2:CD7" si="23">IFERROR(BW2/$BT$3,0)</f>
        <v>1.0000000000000001E-5</v>
      </c>
      <c r="CF2" s="8" t="str">
        <f>Income[[#This Row],[C22]]</f>
        <v>i1_Income1</v>
      </c>
      <c r="CG2" s="8">
        <f>IFERROR(GETPIVOTDATA("[Measures].[Sum of Montant]",Analyse!$A$295,"[Master_1].[Cat_2]","[Master_1].[Cat_2].&amp;["&amp;CF2&amp;"]"),0)</f>
        <v>1.2000000000000002E-4</v>
      </c>
      <c r="CH2" s="8">
        <f>IFERROR(GETPIVOTDATA("[Measures].[Sum of Montant]",Analyse!$A$295,"[Master_1].[Cat_2]","[Master_1].[Cat_2].&amp;["&amp;CF2&amp;"]"),0)</f>
        <v>1.2000000000000002E-4</v>
      </c>
      <c r="CI2" s="141">
        <f ca="1">IFERROR(($CG$2-$CG$1)/$A$20,0)</f>
        <v>-6.0000000000000002E-5</v>
      </c>
      <c r="CJ2" s="5"/>
      <c r="CK2" s="5"/>
      <c r="CL2" s="144" t="str">
        <f ca="1">Library!R18</f>
        <v>Jan</v>
      </c>
      <c r="CM2" s="9">
        <f ca="1">IFERROR(GETPIVOTDATA("[Measures].[Sum of Montant]",Analyse!$A$333,"[Master_1].[Mois (Name)]","[Master_1].[Mois (Name)].&amp;["&amp;CL2&amp;"]"),"")</f>
        <v>1E-4</v>
      </c>
      <c r="CN2" s="144">
        <f ca="1">3*CN1</f>
        <v>3.0000000000000004E-5</v>
      </c>
      <c r="CO2" cm="1">
        <f t="array" aca="1" ref="CO2" ca="1">IFERROR(_xlfn.IFS((CO4/CN2)&gt;1,NA(),(CO4/CN2)&lt;0,0,(CO4/CN2)&gt;=0,(CO4/CN2)),NA())</f>
        <v>0</v>
      </c>
      <c r="CP2" s="9" t="s">
        <v>169</v>
      </c>
      <c r="CQ2" s="8" cm="1">
        <f t="array" ref="CQ2">IFERROR(_xlfn.SEQUENCE(1,CN4,1,0),0)</f>
        <v>0</v>
      </c>
      <c r="CR2" s="8"/>
      <c r="CS2" s="8"/>
      <c r="CT2" s="8"/>
      <c r="CU2" s="8"/>
      <c r="CV2" s="8"/>
      <c r="CW2" s="8"/>
      <c r="CX2" s="8"/>
      <c r="CY2" s="8"/>
      <c r="CZ2" s="8"/>
      <c r="DA2" s="8"/>
      <c r="DB2" s="8"/>
      <c r="DC2" s="8"/>
      <c r="DD2" s="8"/>
      <c r="DE2" s="8"/>
      <c r="EV2" s="5">
        <v>2025</v>
      </c>
      <c r="EW2" s="311"/>
      <c r="EX2" s="311"/>
      <c r="EY2" s="311"/>
      <c r="EZ2" s="311">
        <v>0</v>
      </c>
      <c r="FA2" s="5">
        <v>2055</v>
      </c>
      <c r="FB2" s="311">
        <v>0</v>
      </c>
      <c r="FC2" s="311">
        <v>0</v>
      </c>
      <c r="FD2" s="311">
        <v>0</v>
      </c>
      <c r="FG2" s="9" cm="1">
        <f t="array" ref="FG2">IFERROR(_xlfn.IFS(AND(WB_Data!EA4=1,WB_Data!EA3=1,WB_Data!EA2,1),0,AND(WB_Data!EA2=1,WB_Data!EA3=0,WB_Data!EA4=0),1,AND(WB_Data!EA2=0,WB_Data!EA3=1,WB_Data!EA4=0),2,AND(WB_Data!EA2=0,WB_Data!EA3=0,WB_Data!EA4=1),3),0)</f>
        <v>0</v>
      </c>
      <c r="FH2" s="9" t="str" cm="1">
        <f t="array" ref="FH2">_xlfn.IFS($FG$2=0,"",$FG$2=1,WB_Data!DP2,$FG$2=2,WB_Data!DP3,$FG$2=3,WB_Data!DP4)</f>
        <v/>
      </c>
      <c r="FI2" s="9" t="str" cm="1">
        <f t="array" ref="FI2">_xlfn.IFS($FG$2=0,"",$FG$2=1,WB_Data!DQ2,$FG$2=2,WB_Data!DQ3,$FG$2=3,WB_Data!DQ4)</f>
        <v/>
      </c>
      <c r="FJ2" s="126" t="str" cm="1">
        <f t="array" ref="FJ2">_xlfn.IFS($FG$2=0,"",$FG$2=1,WB_Data!DN2,$FG$2=2,WB_Data!DN3,$FG$2=3,WB_Data!DN4)</f>
        <v/>
      </c>
      <c r="FK2" s="302" t="str" cm="1">
        <f t="array" ref="FK2">_xlfn.IFS($FG$2=0,"",$FG$2=1,WB_Data!DS2,$FG$2=2,WB_Data!DS3,$FG$2=3,WB_Data!DS4)</f>
        <v/>
      </c>
      <c r="FL2" s="302" t="str" cm="1">
        <f t="array" ref="FL2">_xlfn.IFS($FG$2=0,"",$FG$2=1,WB_Data!DW2,$FG$2=2,WB_Data!DW3,$FG$2=3,WB_Data!DW4)</f>
        <v/>
      </c>
      <c r="FM2" s="9" t="str" cm="1">
        <f t="array" ref="FM2">_xlfn.IFS($FG$2=0,"",$FG$2=1,WB_Data!DX2,$FG$2=2,WB_Data!DX3,$FG$2=3,WB_Data!DX4)</f>
        <v/>
      </c>
      <c r="FN2" s="302" t="str" cm="1">
        <f t="array" ref="FN2">_xlfn.IFS($FG$2=0,"",$FG$2=1,WB_Data!DM2,$FG$2=2,WB_Data!DM3,$FG$2=3,WB_Data!DM4)</f>
        <v/>
      </c>
      <c r="FO2" s="126">
        <f>IFERROR(IF(FG1=0,0,(FG1/FN2)),0)</f>
        <v>0</v>
      </c>
      <c r="FP2" s="126">
        <f>IFERROR(IF(FO2&gt;100,100,FO2),0)</f>
        <v>0</v>
      </c>
      <c r="FQ2" s="116">
        <f>100%-FP2</f>
        <v>1</v>
      </c>
      <c r="FR2" s="116">
        <f>FP2+100%/(360/30)</f>
        <v>8.3333333333333329E-2</v>
      </c>
      <c r="FS2" s="116">
        <f>IFERROR(IF(100%-FR2&gt;=0,100%-FR2,0),0)</f>
        <v>0.91666666666666663</v>
      </c>
      <c r="FT2" s="8">
        <f>SIN(FR2*2*PI())</f>
        <v>0.49999999999999994</v>
      </c>
      <c r="FU2" s="8">
        <f>COS(FR2*2*PI())</f>
        <v>0.86602540378443871</v>
      </c>
    </row>
    <row r="3" spans="1:177" ht="12" thickBot="1" x14ac:dyDescent="0.3">
      <c r="A3" s="9" t="s">
        <v>113</v>
      </c>
      <c r="B3" s="9"/>
      <c r="C3" s="9"/>
      <c r="D3" s="9" t="s">
        <v>115</v>
      </c>
      <c r="E3" s="9"/>
      <c r="F3" s="9"/>
      <c r="G3" s="9"/>
      <c r="I3" s="9" t="str">
        <f t="shared" ref="I3:I16" si="24">IFERROR(IF(J3&lt;&gt;"",I2+1,""),"")</f>
        <v/>
      </c>
      <c r="J3" s="9" t="str" cm="1">
        <f t="array" ref="J3">_xlfn.IFS(RIGHT(Analyse!A106,5)="Total","",Analyse!A106="","",Analyse!A106&lt;&gt;"",Analyse!A106)</f>
        <v/>
      </c>
      <c r="K3" s="9" t="str" cm="1">
        <f t="array" ref="K3">IFERROR(IF(AF3=TbHead[SmallT],100000000,ABS(GETPIVOTDATA("[__Xl2].[Measures].[Sum of Montant]",Analyse!$A$101,"[Master_1].[Cat_2]","[Master_1].[Cat_2].&amp;["&amp;$M$17&amp;"]","[Master_1].[Cat_3]","[Master_1].[Cat_3].&amp;["&amp;J3&amp;"]"))/GETPIVOTDATA("[Measures].[Sum of Montant]",Analyse!$A$82,"[Master_1].[Cat_2]","[Master_1].[Cat_2].&amp;["&amp; WB_Data!$J$2 &amp; "]")),"")</f>
        <v/>
      </c>
      <c r="L3" s="9"/>
      <c r="M3" s="9" t="str">
        <f>"P1:P"&amp; $M$1</f>
        <v>P1:P1</v>
      </c>
      <c r="N3" s="9" t="str">
        <f t="shared" si="0"/>
        <v/>
      </c>
      <c r="O3" s="87" t="str">
        <f t="shared" si="6"/>
        <v/>
      </c>
      <c r="P3" s="9" t="str">
        <f t="shared" si="1"/>
        <v/>
      </c>
      <c r="Q3" s="9" t="str" cm="1">
        <f t="array" aca="1" ref="Q3" ca="1">IFERROR(INDEX(INDIRECT($M$3),SMALL(IF(INDIRECT($M$2)=R3,ROW(INDIRECT($M$2))),COUNTIF($R$1:R3,R3))),"")</f>
        <v/>
      </c>
      <c r="R3" s="104" t="str">
        <f t="shared" ca="1" si="7"/>
        <v/>
      </c>
      <c r="S3" s="9" t="str" cm="1">
        <f t="array" aca="1" ref="S3" ca="1">IFERROR(INDEX(INDIRECT($L$17),T3,0),"")</f>
        <v/>
      </c>
      <c r="T3" s="5" t="e">
        <f t="shared" ca="1" si="2"/>
        <v>#N/A</v>
      </c>
      <c r="V3" s="97" t="str">
        <f t="shared" si="8"/>
        <v/>
      </c>
      <c r="W3" s="9">
        <f t="shared" si="9"/>
        <v>0</v>
      </c>
      <c r="X3" s="9" t="str">
        <f t="shared" si="10"/>
        <v/>
      </c>
      <c r="Y3" s="9" t="str" cm="1">
        <f t="array" aca="1" ref="Y3" ca="1">IFERROR(INDEX(INDIRECT($U$1),SMALL(IF(INDIRECT($U$2)=Z3,ROW(INDIRECT($U$2))),COUNTIF($Z$1:Z3,Z3))),"")</f>
        <v/>
      </c>
      <c r="Z3" s="9" t="str">
        <f t="shared" ca="1" si="3"/>
        <v/>
      </c>
      <c r="AA3" s="9" t="str" cm="1">
        <f t="array" aca="1" ref="AA3" ca="1">IFERROR(INDEX(INDIRECT($K$17),AB3,0),"")</f>
        <v/>
      </c>
      <c r="AB3" s="5" t="e">
        <f t="shared" ca="1" si="4"/>
        <v>#N/A</v>
      </c>
      <c r="AC3" s="105"/>
      <c r="AD3" s="8"/>
      <c r="AE3" s="96" t="str">
        <f t="shared" si="11"/>
        <v/>
      </c>
      <c r="AF3" s="8" t="str" cm="1">
        <f t="array" ref="AF3">_xlfn.IFS(RIGHT(Analyse!A106,5)="Total","",Analyse!A106="","",Analyse!A106&lt;&gt;"",Analyse!A106)</f>
        <v/>
      </c>
      <c r="AG3" s="8" t="str" cm="1">
        <f t="array" ref="AG3">IFERROR(IF(AF3=TbHead[SmallT],100,GETPIVOTDATA("[Measures].[Sum of Montant]",Analyse!$A$101,"[Master_1].[Cat_2]","[Master_1].[Cat_2].&amp;["&amp; $M$17 &amp; "]","[Master_1].[Cat_3]","[Master_1].[Cat_3].&amp;[" &amp; AF3 &amp; "]")),"")</f>
        <v/>
      </c>
      <c r="AH3" s="8" t="str" cm="1">
        <f t="array" ref="AH3">IFERROR(IF(AF3=TbHead[SmallT],100000000,ABS(GETPIVOTDATA("[__Xl2].[Measures].[Sum of Montant]",Analyse!$A$101,"[Master_1].[Cat_2]","[Master_1].[Cat_2].&amp;["&amp;$M$17&amp;"]","[Master_1].[Cat_3]","[Master_1].[Cat_3].&amp;["&amp;ControlChart!AF3&amp;"]"))),"")</f>
        <v/>
      </c>
      <c r="AI3" s="9" t="str">
        <f>"AF1:AF" &amp; $AI$1</f>
        <v>AF1:AF1</v>
      </c>
      <c r="AJ3" s="8" t="str" cm="1">
        <f t="array" ref="AJ3">IFERROR(INDEX($AF$1:$AF$16,SMALL(IF($AG$1:$AG$16=AK3,ROW($AG$1:$AG$16)),COUNTIF($AK$1:AK3,AK3))),"")</f>
        <v/>
      </c>
      <c r="AK3" s="107" t="str">
        <f>IFERROR(LARGE($AG$1:$AG$16,AE3),"")</f>
        <v/>
      </c>
      <c r="AL3" s="106" t="str">
        <f t="shared" si="13"/>
        <v/>
      </c>
      <c r="AM3" s="8" t="str">
        <f t="shared" si="14"/>
        <v/>
      </c>
      <c r="AN3" s="8"/>
      <c r="AR3" s="9" t="str">
        <f ca="1">Library!R19</f>
        <v>Feb</v>
      </c>
      <c r="AS3" s="302">
        <f ca="1">IFERROR(GETPIVOTDATA("[Measures].[Sum of Montant]",Analyse!$Q$113,"[Master_1].[Année]","[Master_1].[Année].&amp;["&amp;$AV$1&amp;"]","[Master_1].[Cat_3]","[Master_1].[Cat_3].&amp;["&amp;$AS$1&amp;"]","[Master_1].[Mois (Name)]","[Master_1].[Mois (Name)].&amp;["&amp;AR3&amp;"]"),NA())</f>
        <v>1.0000000000000001E-5</v>
      </c>
      <c r="AT3" s="302">
        <f ca="1">IFERROR(GETPIVOTDATA("[Measures].[Sum of Montant]",Analyse!$Q$137,"[Master_1].[Année]","[Master_1].[Année].&amp;["&amp;ControlChart!$AV$1&amp;"]","[Master_1].[Cat_3]","[Master_1].[Cat_3].&amp;["&amp;ControlChart!$AS$1&amp;"]","[Master_1].[Mois (Name)]","[Master_1].[Mois (Name)].&amp;["&amp;ControlChart!AR3&amp;"]"),NA())</f>
        <v>1.0000000000000001E-5</v>
      </c>
      <c r="AU3" s="302" t="e">
        <f ca="1">IFERROR(GETPIVOTDATA("[Measures].[Sum of Montant]",Analyse!$Q$113,"[Master_1].[Année]","[Master_1].[Année].&amp;["&amp;$AU$1&amp;"]","[Master_1].[Cat_3]","[Master_1].[Cat_3].&amp;["&amp;$AS$1&amp;"]","[Master_1].[Mois (Name)]","[Master_1].[Mois (Name)].&amp;["&amp;AR3&amp;"]"),NA())</f>
        <v>#N/A</v>
      </c>
      <c r="AV3" s="302">
        <f t="shared" ref="AV3:AV13" ca="1" si="25">IF(AS3=0,NA(),ABS(AS3))</f>
        <v>1.0000000000000001E-5</v>
      </c>
      <c r="AW3" s="302">
        <f t="shared" ref="AW3:AW13" ca="1" si="26">IF(AT3=0,NA(),ABS(AT3))</f>
        <v>1.0000000000000001E-5</v>
      </c>
      <c r="AX3" s="302" t="e">
        <f t="shared" ref="AX3:AX13" ca="1" si="27">ABS(AU3)</f>
        <v>#N/A</v>
      </c>
      <c r="AY3" s="302">
        <f t="shared" ref="AY3:AY13" ca="1" si="28">IF(ISNA(AW3),AW3,AV3)</f>
        <v>1.0000000000000001E-5</v>
      </c>
      <c r="AZ3" s="302" t="e">
        <f t="shared" ref="AZ3:AZ13" ca="1" si="29">IF(ISNA(AW3),NA(),AX3)</f>
        <v>#N/A</v>
      </c>
      <c r="BA3" t="str">
        <f t="shared" ca="1" si="15"/>
        <v/>
      </c>
      <c r="BC3" s="16" t="str" cm="1">
        <f t="array" ref="BC3">IF(Analyse!A276=TbHead[GrandT],NA(),Analyse!A276)</f>
        <v>Category3</v>
      </c>
      <c r="BD3" s="16" cm="1">
        <f t="array" ref="BD3">_xlfn.IFS(ISNA(BC3),0,BC3=0,0,BC3&lt;&gt;"",1)</f>
        <v>1</v>
      </c>
      <c r="BE3" s="16">
        <f>IFERROR(IF(BD3=0,NA(),GETPIVOTDATA("[Measures].[Sum of Montant]",Analyse!$A$273,"[Master_1].[Cat_2]","[Master_1].[Cat_2].&amp;["&amp;ControlChart!BC3&amp;"]")),NA())</f>
        <v>0.14285714285714288</v>
      </c>
      <c r="BF3" s="16" t="str" cm="1">
        <f t="array" aca="1" ref="BF3" ca="1">IFERROR(INDEX(INDIRECT($BF$14),SMALL(IF(INDIRECT($BE$14)=BG3,ROW(INDIRECT($BE$14))),COUNTIF($BG$1:BG3,BG3))),0)</f>
        <v>Category3</v>
      </c>
      <c r="BG3" s="111">
        <f ca="1">IF(ISNA(BE3),NA(),LARGE(INDIRECT($BE$14),SUM($BD$1:BD3)))</f>
        <v>0.14285714285714288</v>
      </c>
      <c r="BH3" s="16">
        <f ca="1">IFERROR(IF(AND(BF3&lt;&gt;"0",BG3&lt;0.1),BG3,0),0)</f>
        <v>0</v>
      </c>
      <c r="BI3" s="16">
        <f t="shared" ca="1" si="16"/>
        <v>0.14285714285714288</v>
      </c>
      <c r="BJ3" s="16" t="str">
        <f ca="1"/>
        <v>Category3</v>
      </c>
      <c r="BK3" s="16" t="str">
        <f ca="1">IF(BL3="",NA(),IF(AND(BL3&lt;&gt;"",BJ3=""),Library!$A$227,BJ3))</f>
        <v>Category3</v>
      </c>
      <c r="BL3" s="111">
        <f ca="1"/>
        <v>0.14285714285714288</v>
      </c>
      <c r="BM3" s="111" cm="1">
        <f t="array" aca="1" ref="BM3" ca="1">IFERROR(_xlfn.IFS(BL3="",NA(),BL3&gt;1,1,BL3&gt;=0,BL3),NA())</f>
        <v>0.14285714285714288</v>
      </c>
      <c r="BN3" s="16">
        <f ca="1">IF(BM3&lt;&gt;"",IF(SUM($BM$1:BM3)&gt;100%,"",SUM($BM$1:BM3)),NA())</f>
        <v>0.4285714285714286</v>
      </c>
      <c r="BO3" s="16">
        <f ca="1">IFERROR(100%-BN3,NA())</f>
        <v>0.5714285714285714</v>
      </c>
      <c r="BP3" s="110">
        <f ca="1">IFERROR(IF(BM3=0,NA(),SIN(BN3*2*PI())),NA())</f>
        <v>0.43388373911755823</v>
      </c>
      <c r="BQ3" s="112">
        <f ca="1">IFERROR(IF(BM3=0,NA(),COS(BN3*2*PI())),NA())</f>
        <v>-0.90096886790241903</v>
      </c>
      <c r="BR3" s="269"/>
      <c r="BS3" s="22"/>
      <c r="BT3" s="8" cm="1">
        <f t="array" ref="BT3">IFERROR(_xlfn.IFS(BV13=BS1,BT1,BV13=BS2,BT2),12)</f>
        <v>12</v>
      </c>
      <c r="BU3" s="217">
        <f t="shared" si="17"/>
        <v>1</v>
      </c>
      <c r="BV3" s="8" t="str">
        <f>IFERROR(WB_Data!H4,NA())</f>
        <v>Category3</v>
      </c>
      <c r="BW3" s="304">
        <f>IFERROR(ABS(GETPIVOTDATA("[__Xl2].[Measures].[Sum of Montant]",Analyse!$A$273,"[Master_1].[Cat_2]","[Master_1].[Cat_2].&amp;["&amp;BV3&amp;"]")),0)</f>
        <v>1.2000000000000002E-4</v>
      </c>
      <c r="BX3" s="116" cm="1">
        <f t="array" ref="BX3">IFERROR(_xlfn.IFS(BU3="",0,BU3&gt;1,1,BU3&gt;=0,BU3),0)</f>
        <v>1</v>
      </c>
      <c r="BY3" s="116">
        <f t="shared" si="18"/>
        <v>0</v>
      </c>
      <c r="BZ3" s="116">
        <f t="shared" si="19"/>
        <v>1.0833333333333333</v>
      </c>
      <c r="CA3" s="116">
        <f t="shared" si="20"/>
        <v>0</v>
      </c>
      <c r="CB3" s="8">
        <f t="shared" si="21"/>
        <v>0.49999999999999928</v>
      </c>
      <c r="CC3" s="8">
        <f t="shared" si="22"/>
        <v>0.86602540378443904</v>
      </c>
      <c r="CD3" s="305">
        <f t="shared" si="23"/>
        <v>1.0000000000000001E-5</v>
      </c>
      <c r="CF3" s="8" t="s">
        <v>234</v>
      </c>
      <c r="CG3" s="8" cm="1">
        <f t="array" ref="CG3">IFERROR(VLOOKUP(TbHead[GrandT],Analyse!A296:B299,2,FALSE),0)</f>
        <v>2.8000000000000003E-4</v>
      </c>
      <c r="CH3" s="8"/>
      <c r="CI3" s="141"/>
      <c r="CJ3" s="5"/>
      <c r="CK3" s="5"/>
      <c r="CL3" s="144" t="str">
        <f ca="1">Library!R19</f>
        <v>Feb</v>
      </c>
      <c r="CM3" s="9">
        <f ca="1">IFERROR(GETPIVOTDATA("[Measures].[Sum of Montant]",Analyse!$A$333,"[Master_1].[Mois (Name)]","[Master_1].[Mois (Name)].&amp;["&amp;CL3&amp;"]"),"")</f>
        <v>1E-4</v>
      </c>
      <c r="CN3" s="308">
        <f>VLOOKUP(CM1,Data_Line[],17,FALSE)</f>
        <v>0</v>
      </c>
      <c r="CO3" s="152">
        <f ca="1">IFERROR((CN1/CN2)/2,0)</f>
        <v>0.16666666666666666</v>
      </c>
      <c r="CP3" s="9" t="s">
        <v>100</v>
      </c>
      <c r="CQ3" s="8" cm="1">
        <f t="array" aca="1" ref="CQ3:CT3" ca="1">IFERROR(_xlfn.SEQUENCE(1,CN5+1,0,CO3*2),0)</f>
        <v>0</v>
      </c>
      <c r="CR3" s="8">
        <f ca="1"/>
        <v>0.33333333333333331</v>
      </c>
      <c r="CS3" s="9">
        <f ca="1"/>
        <v>0.66666666666666663</v>
      </c>
      <c r="CT3" s="8">
        <f ca="1"/>
        <v>1</v>
      </c>
      <c r="CU3" s="8"/>
      <c r="CV3" s="8"/>
      <c r="CW3" s="8"/>
      <c r="CX3" s="8"/>
      <c r="CY3" s="8"/>
      <c r="CZ3" s="8"/>
      <c r="DA3" s="8"/>
      <c r="DB3" s="8"/>
      <c r="DC3" s="8"/>
      <c r="DD3" s="8"/>
      <c r="DE3" s="8"/>
      <c r="EV3" s="5">
        <v>2026</v>
      </c>
      <c r="EW3" s="311">
        <v>0.01</v>
      </c>
      <c r="EX3" s="311">
        <v>0.01</v>
      </c>
      <c r="EY3" s="311">
        <v>0.01</v>
      </c>
      <c r="EZ3" s="29"/>
      <c r="FA3" s="5">
        <v>2055</v>
      </c>
      <c r="FB3" s="311">
        <v>0</v>
      </c>
      <c r="FC3" s="311">
        <v>0</v>
      </c>
      <c r="FD3" s="311">
        <v>0</v>
      </c>
      <c r="FG3" s="8" t="str">
        <f ca="1">Library!A210</f>
        <v>year(s)</v>
      </c>
      <c r="FH3" s="9" t="str" cm="1">
        <f t="array" aca="1" ref="FH3" ca="1">_xlfn.IFS($FG$2=0,"",$FG$2&lt;&gt;0,FH2&amp;" " &amp; Library!A153)</f>
        <v/>
      </c>
      <c r="FI3" s="9" t="str" cm="1">
        <f t="array" aca="1" ref="FI3" ca="1">_xlfn.IFS($FG$2=0,"",$FG$2&lt;&gt;0,FI2&amp;" " &amp;Library!A153)</f>
        <v/>
      </c>
      <c r="FJ3" s="8"/>
      <c r="FK3" s="8"/>
      <c r="FL3" s="8"/>
      <c r="FM3" s="8" t="str" cm="1">
        <f t="array" aca="1" ref="FM3" ca="1">_xlfn.IFS($FG$2=0,"",$FG$2&lt;&gt;0,FM2&amp;" "&amp;FG3)</f>
        <v/>
      </c>
      <c r="FN3" s="8"/>
    </row>
    <row r="4" spans="1:177" ht="12" thickBot="1" x14ac:dyDescent="0.3">
      <c r="A4" s="9" t="s">
        <v>116</v>
      </c>
      <c r="B4" s="9" t="s">
        <v>117</v>
      </c>
      <c r="C4" s="9" t="s">
        <v>117</v>
      </c>
      <c r="D4" s="9"/>
      <c r="E4" s="9">
        <v>80</v>
      </c>
      <c r="F4" s="9">
        <v>70</v>
      </c>
      <c r="G4" s="9">
        <v>100</v>
      </c>
      <c r="I4" s="9" t="str">
        <f t="shared" si="24"/>
        <v/>
      </c>
      <c r="J4" s="9" t="str" cm="1">
        <f t="array" ref="J4">_xlfn.IFS(RIGHT(Analyse!A107,5)="Total","",Analyse!A107="","",Analyse!A107&lt;&gt;"",Analyse!A107)</f>
        <v/>
      </c>
      <c r="K4" s="9" t="str" cm="1">
        <f t="array" ref="K4">IFERROR(IF(AF4=TbHead[SmallT],100000000,ABS(GETPIVOTDATA("[__Xl2].[Measures].[Sum of Montant]",Analyse!$A$101,"[Master_1].[Cat_2]","[Master_1].[Cat_2].&amp;["&amp;$M$17&amp;"]","[Master_1].[Cat_3]","[Master_1].[Cat_3].&amp;["&amp;J4&amp;"]"))/GETPIVOTDATA("[Measures].[Sum of Montant]",Analyse!$A$82,"[Master_1].[Cat_2]","[Master_1].[Cat_2].&amp;["&amp; WB_Data!$J$2 &amp; "]")),"")</f>
        <v/>
      </c>
      <c r="L4" s="9"/>
      <c r="M4" s="9"/>
      <c r="N4" s="9" t="str">
        <f t="shared" si="0"/>
        <v/>
      </c>
      <c r="O4" s="87" t="str">
        <f t="shared" si="6"/>
        <v/>
      </c>
      <c r="P4" s="9" t="str">
        <f t="shared" si="1"/>
        <v/>
      </c>
      <c r="Q4" s="9" t="str" cm="1">
        <f t="array" aca="1" ref="Q4" ca="1">IFERROR(INDEX(INDIRECT($M$3),SMALL(IF(INDIRECT($M$2)=R4,ROW(INDIRECT($M$2))),COUNTIF($R$1:R4,R4))),"")</f>
        <v/>
      </c>
      <c r="R4" s="104" t="str">
        <f t="shared" ca="1" si="7"/>
        <v/>
      </c>
      <c r="S4" s="9" t="str" cm="1">
        <f t="array" aca="1" ref="S4" ca="1">IFERROR(INDEX(INDIRECT($L$17),T4,0),"")</f>
        <v/>
      </c>
      <c r="T4" s="5" t="e">
        <f t="shared" ca="1" si="2"/>
        <v>#N/A</v>
      </c>
      <c r="V4" s="97" t="str">
        <f t="shared" si="8"/>
        <v/>
      </c>
      <c r="W4" s="9">
        <f t="shared" si="9"/>
        <v>0</v>
      </c>
      <c r="X4" s="9" t="str">
        <f t="shared" si="10"/>
        <v/>
      </c>
      <c r="Y4" s="9" t="str" cm="1">
        <f t="array" aca="1" ref="Y4" ca="1">IFERROR(INDEX(INDIRECT($U$1),SMALL(IF(INDIRECT($U$2)=Z4,ROW(INDIRECT($U$2))),COUNTIF($Z$1:Z4,Z4))),"")</f>
        <v/>
      </c>
      <c r="Z4" s="9" t="str">
        <f t="shared" ca="1" si="3"/>
        <v/>
      </c>
      <c r="AA4" s="9" t="str" cm="1">
        <f t="array" aca="1" ref="AA4" ca="1">IFERROR(INDEX(INDIRECT($K$17),AB4,0),"")</f>
        <v/>
      </c>
      <c r="AB4" s="5" t="e">
        <f t="shared" ca="1" si="4"/>
        <v>#N/A</v>
      </c>
      <c r="AC4" s="105"/>
      <c r="AD4" s="8"/>
      <c r="AE4" s="96" t="str">
        <f t="shared" si="11"/>
        <v/>
      </c>
      <c r="AF4" s="8" t="str" cm="1">
        <f t="array" ref="AF4">_xlfn.IFS(RIGHT(Analyse!A107,5)="Total","",Analyse!A107="","",Analyse!A107&lt;&gt;"",Analyse!A107)</f>
        <v/>
      </c>
      <c r="AG4" s="8" t="str" cm="1">
        <f t="array" ref="AG4">IFERROR(IF(AF4=TbHead[SmallT],100,GETPIVOTDATA("[Measures].[Sum of Montant]",Analyse!$A$101,"[Master_1].[Cat_2]","[Master_1].[Cat_2].&amp;["&amp; $M$17 &amp; "]","[Master_1].[Cat_3]","[Master_1].[Cat_3].&amp;[" &amp; AF4 &amp; "]")),"")</f>
        <v/>
      </c>
      <c r="AH4" s="8" t="str" cm="1">
        <f t="array" ref="AH4">IFERROR(IF(AF4=TbHead[SmallT],100000000,ABS(GETPIVOTDATA("[__Xl2].[Measures].[Sum of Montant]",Analyse!$A$101,"[Master_1].[Cat_2]","[Master_1].[Cat_2].&amp;["&amp;$M$17&amp;"]","[Master_1].[Cat_3]","[Master_1].[Cat_3].&amp;["&amp;ControlChart!AF4&amp;"]"))),"")</f>
        <v/>
      </c>
      <c r="AI4" s="8" t="str">
        <f>"AK1:AK" &amp; $AI$1</f>
        <v>AK1:AK1</v>
      </c>
      <c r="AJ4" s="8" t="str" cm="1">
        <f t="array" ref="AJ4">IFERROR(INDEX($AF$1:$AF$16,SMALL(IF($AG$1:$AG$16=AK4,ROW($AG$1:$AG$16)),COUNTIF($AK$1:AK4,AK4))),"")</f>
        <v/>
      </c>
      <c r="AK4" s="107" t="str">
        <f t="shared" si="12"/>
        <v/>
      </c>
      <c r="AL4" s="106" t="str">
        <f t="shared" si="13"/>
        <v/>
      </c>
      <c r="AM4" s="8" t="str">
        <f t="shared" si="14"/>
        <v/>
      </c>
      <c r="AN4" s="8"/>
      <c r="AR4" s="9" t="str">
        <f ca="1">Library!R20</f>
        <v>Mar</v>
      </c>
      <c r="AS4" s="302">
        <f ca="1">IFERROR(GETPIVOTDATA("[Measures].[Sum of Montant]",Analyse!$Q$113,"[Master_1].[Année]","[Master_1].[Année].&amp;["&amp;$AV$1&amp;"]","[Master_1].[Cat_3]","[Master_1].[Cat_3].&amp;["&amp;$AS$1&amp;"]","[Master_1].[Mois (Name)]","[Master_1].[Mois (Name)].&amp;["&amp;AR4&amp;"]"),NA())</f>
        <v>1.0000000000000001E-5</v>
      </c>
      <c r="AT4" s="302">
        <f ca="1">IFERROR(GETPIVOTDATA("[Measures].[Sum of Montant]",Analyse!$Q$137,"[Master_1].[Année]","[Master_1].[Année].&amp;["&amp;ControlChart!$AV$1&amp;"]","[Master_1].[Cat_3]","[Master_1].[Cat_3].&amp;["&amp;ControlChart!$AS$1&amp;"]","[Master_1].[Mois (Name)]","[Master_1].[Mois (Name)].&amp;["&amp;ControlChart!AR4&amp;"]"),NA())</f>
        <v>1.0000000000000001E-5</v>
      </c>
      <c r="AU4" s="302" t="e">
        <f ca="1">IFERROR(GETPIVOTDATA("[Measures].[Sum of Montant]",Analyse!$Q$113,"[Master_1].[Année]","[Master_1].[Année].&amp;["&amp;$AU$1&amp;"]","[Master_1].[Cat_3]","[Master_1].[Cat_3].&amp;["&amp;$AS$1&amp;"]","[Master_1].[Mois (Name)]","[Master_1].[Mois (Name)].&amp;["&amp;AR4&amp;"]"),NA())</f>
        <v>#N/A</v>
      </c>
      <c r="AV4" s="302">
        <f t="shared" ca="1" si="25"/>
        <v>1.0000000000000001E-5</v>
      </c>
      <c r="AW4" s="302">
        <f t="shared" ca="1" si="26"/>
        <v>1.0000000000000001E-5</v>
      </c>
      <c r="AX4" s="302" t="e">
        <f t="shared" ca="1" si="27"/>
        <v>#N/A</v>
      </c>
      <c r="AY4" s="302">
        <f t="shared" ca="1" si="28"/>
        <v>1.0000000000000001E-5</v>
      </c>
      <c r="AZ4" s="302" t="e">
        <f t="shared" ca="1" si="29"/>
        <v>#N/A</v>
      </c>
      <c r="BA4" t="str">
        <f t="shared" ca="1" si="15"/>
        <v/>
      </c>
      <c r="BC4" s="16" t="str" cm="1">
        <f t="array" ref="BC4">IF(Analyse!A277=TbHead[GrandT],NA(),Analyse!A277)</f>
        <v>Category4</v>
      </c>
      <c r="BD4" s="16" cm="1">
        <f t="array" ref="BD4">_xlfn.IFS(ISNA(BC4),0,BC4=0,0,BC4&lt;&gt;"",1)</f>
        <v>1</v>
      </c>
      <c r="BE4" s="16">
        <f>IFERROR(IF(BD4=0,NA(),GETPIVOTDATA("[Measures].[Sum of Montant]",Analyse!$A$273,"[Master_1].[Cat_2]","[Master_1].[Cat_2].&amp;["&amp;ControlChart!BC4&amp;"]")),NA())</f>
        <v>0.14285714285714288</v>
      </c>
      <c r="BF4" s="16" t="str" cm="1">
        <f t="array" aca="1" ref="BF4" ca="1">IFERROR(INDEX(INDIRECT($BF$14),SMALL(IF(INDIRECT($BE$14)=BG4,ROW(INDIRECT($BE$14))),COUNTIF($BG$1:BG4,BG4))),0)</f>
        <v>Category4</v>
      </c>
      <c r="BG4" s="111">
        <f ca="1">IF(ISNA(BE4),NA(),LARGE(INDIRECT($BE$14),SUM($BD$1:BD4)))</f>
        <v>0.14285714285714288</v>
      </c>
      <c r="BH4" s="16">
        <f t="shared" ca="1" si="5"/>
        <v>0</v>
      </c>
      <c r="BI4" s="16">
        <f t="shared" ca="1" si="16"/>
        <v>0.14285714285714288</v>
      </c>
      <c r="BJ4" s="16" t="str">
        <f ca="1"/>
        <v>Category4</v>
      </c>
      <c r="BK4" s="16" t="str">
        <f ca="1">IF(BL4="",NA(),IF(AND(BL4&lt;&gt;"",BJ4=""),Library!$A$227,BJ4))</f>
        <v>Category4</v>
      </c>
      <c r="BL4" s="111">
        <f ca="1"/>
        <v>0.14285714285714288</v>
      </c>
      <c r="BM4" s="111" cm="1">
        <f t="array" aca="1" ref="BM4" ca="1">IFERROR(_xlfn.IFS(BL4="",NA(),BL4&gt;1,1,BL4&gt;=0,BL4),NA())</f>
        <v>0.14285714285714288</v>
      </c>
      <c r="BN4" s="16">
        <f ca="1">IF(BM4&lt;&gt;"",IF(SUM($BM$1:BM4)&gt;100%,"",SUM($BM$1:BM4)),NA())</f>
        <v>0.57142857142857151</v>
      </c>
      <c r="BO4" s="16">
        <f ca="1">IFERROR(100%-BN4,NA())</f>
        <v>0.42857142857142849</v>
      </c>
      <c r="BP4" s="110">
        <f ca="1">IFERROR(IF(BM4=0,NA(),SIN(BN4*2*PI())),NA())</f>
        <v>-0.4338837391175584</v>
      </c>
      <c r="BQ4" s="112">
        <f ca="1">IFERROR(IF(BM4=0,NA(),COS(BN4*2*PI())),NA())</f>
        <v>-0.90096886790241903</v>
      </c>
      <c r="BR4" s="270"/>
      <c r="BU4" s="217">
        <f t="shared" si="17"/>
        <v>1</v>
      </c>
      <c r="BV4" s="8" t="str">
        <f>IFERROR(WB_Data!H5,NA())</f>
        <v>Category4</v>
      </c>
      <c r="BW4" s="304">
        <f>IFERROR(ABS(GETPIVOTDATA("[__Xl2].[Measures].[Sum of Montant]",Analyse!$A$273,"[Master_1].[Cat_2]","[Master_1].[Cat_2].&amp;["&amp;BV4&amp;"]")),0)</f>
        <v>1.2000000000000002E-4</v>
      </c>
      <c r="BX4" s="116" cm="1">
        <f t="array" ref="BX4">IFERROR(_xlfn.IFS(BU4="",0,BU4&gt;1,1,BU4&gt;=0,BU4),0)</f>
        <v>1</v>
      </c>
      <c r="BY4" s="116">
        <f t="shared" si="18"/>
        <v>0</v>
      </c>
      <c r="BZ4" s="116">
        <f t="shared" si="19"/>
        <v>1.0833333333333333</v>
      </c>
      <c r="CA4" s="116">
        <f t="shared" si="20"/>
        <v>0</v>
      </c>
      <c r="CB4" s="8">
        <f t="shared" si="21"/>
        <v>0.49999999999999928</v>
      </c>
      <c r="CC4" s="8">
        <f t="shared" si="22"/>
        <v>0.86602540378443904</v>
      </c>
      <c r="CD4" s="305">
        <f t="shared" si="23"/>
        <v>1.0000000000000001E-5</v>
      </c>
      <c r="CF4" t="s">
        <v>191</v>
      </c>
      <c r="CG4" s="27">
        <f>CG3-CG1</f>
        <v>-5.5999999999999995E-4</v>
      </c>
      <c r="CJ4" s="5"/>
      <c r="CK4" s="5"/>
      <c r="CL4" s="144" t="str">
        <f ca="1">Library!R20</f>
        <v>Mar</v>
      </c>
      <c r="CM4" s="9">
        <f ca="1">IFERROR(GETPIVOTDATA("[Measures].[Sum of Montant]",Analyse!$A$333,"[Master_1].[Mois (Name)]","[Master_1].[Mois (Name)].&amp;["&amp;CL4&amp;"]"),"")</f>
        <v>1E-4</v>
      </c>
      <c r="CN4" s="153">
        <f>IF(CN3=0,0,ROUND((CN2/CN3),0))</f>
        <v>0</v>
      </c>
      <c r="CO4" s="309">
        <f>CL14+CG4</f>
        <v>-5.5999999999999995E-4</v>
      </c>
      <c r="CP4" s="151" t="s">
        <v>169</v>
      </c>
      <c r="CQ4" s="142" cm="1">
        <f t="array" aca="1" ref="CQ4:CT4" ca="1">IFERROR(_xlfn.SEQUENCE(1,CN5+1,1,0),0)</f>
        <v>1</v>
      </c>
      <c r="CR4" s="142">
        <f ca="1"/>
        <v>1</v>
      </c>
      <c r="CS4" s="13">
        <f ca="1"/>
        <v>1</v>
      </c>
      <c r="CT4" s="142">
        <f ca="1"/>
        <v>1</v>
      </c>
      <c r="CU4" s="8"/>
      <c r="CV4" s="8"/>
      <c r="CW4" s="8"/>
      <c r="CX4" s="8"/>
      <c r="CY4" s="8"/>
      <c r="CZ4" s="8"/>
      <c r="DA4" s="8"/>
      <c r="DB4" s="8"/>
      <c r="DC4" s="8"/>
      <c r="DD4" s="8"/>
      <c r="DE4" s="8"/>
      <c r="EV4" s="5">
        <v>2027</v>
      </c>
      <c r="EW4" s="311">
        <v>0.01</v>
      </c>
      <c r="EX4" s="311">
        <v>0.01</v>
      </c>
      <c r="EY4" s="311">
        <v>0.01</v>
      </c>
      <c r="EZ4" s="29"/>
      <c r="FA4" s="5">
        <v>2055</v>
      </c>
      <c r="FB4" s="311">
        <v>0</v>
      </c>
      <c r="FC4" s="311">
        <v>0</v>
      </c>
      <c r="FD4" s="311">
        <v>0</v>
      </c>
    </row>
    <row r="5" spans="1:177" x14ac:dyDescent="0.25">
      <c r="A5" s="9" t="s">
        <v>121</v>
      </c>
      <c r="B5" s="9"/>
      <c r="C5" s="9"/>
      <c r="D5" s="9" t="s">
        <v>122</v>
      </c>
      <c r="E5" s="9"/>
      <c r="F5" s="9"/>
      <c r="G5" s="9"/>
      <c r="I5" s="9" t="str">
        <f t="shared" si="24"/>
        <v/>
      </c>
      <c r="J5" s="9" t="str" cm="1">
        <f t="array" ref="J5">_xlfn.IFS(RIGHT(Analyse!A108,5)="Total","",Analyse!A108="","",Analyse!A108&lt;&gt;"",Analyse!A108)</f>
        <v/>
      </c>
      <c r="K5" s="9" t="str" cm="1">
        <f t="array" ref="K5">IFERROR(IF(AF5=TbHead[SmallT],100000000,ABS(GETPIVOTDATA("[__Xl2].[Measures].[Sum of Montant]",Analyse!$A$101,"[Master_1].[Cat_2]","[Master_1].[Cat_2].&amp;["&amp;$M$17&amp;"]","[Master_1].[Cat_3]","[Master_1].[Cat_3].&amp;["&amp;J5&amp;"]"))/GETPIVOTDATA("[Measures].[Sum of Montant]",Analyse!$A$82,"[Master_1].[Cat_2]","[Master_1].[Cat_2].&amp;["&amp; WB_Data!$J$2 &amp; "]")),"")</f>
        <v/>
      </c>
      <c r="L5" s="9"/>
      <c r="M5" s="9"/>
      <c r="N5" s="9" t="str">
        <f t="shared" si="0"/>
        <v/>
      </c>
      <c r="O5" s="87" t="str">
        <f t="shared" si="6"/>
        <v/>
      </c>
      <c r="P5" s="9" t="str">
        <f t="shared" si="1"/>
        <v/>
      </c>
      <c r="Q5" s="9" t="str" cm="1">
        <f t="array" aca="1" ref="Q5" ca="1">IFERROR(INDEX(INDIRECT($M$3),SMALL(IF(INDIRECT($M$2)=R5,ROW(INDIRECT($M$2))),COUNTIF($R$1:R5,R5))),"")</f>
        <v/>
      </c>
      <c r="R5" s="104" t="str">
        <f t="shared" ca="1" si="7"/>
        <v/>
      </c>
      <c r="S5" s="9" t="str" cm="1">
        <f t="array" aca="1" ref="S5" ca="1">IFERROR(INDEX(INDIRECT($L$17),T5,0),"")</f>
        <v/>
      </c>
      <c r="T5" s="5" t="e">
        <f t="shared" ca="1" si="2"/>
        <v>#N/A</v>
      </c>
      <c r="V5" s="97" t="str">
        <f t="shared" si="8"/>
        <v/>
      </c>
      <c r="W5" s="9">
        <f t="shared" si="9"/>
        <v>0</v>
      </c>
      <c r="X5" s="9" t="str">
        <f t="shared" si="10"/>
        <v/>
      </c>
      <c r="Y5" s="9" t="str" cm="1">
        <f t="array" aca="1" ref="Y5" ca="1">IFERROR(INDEX(INDIRECT($U$1),SMALL(IF(INDIRECT($U$2)=Z5,ROW(INDIRECT($U$2))),COUNTIF($Z$1:Z5,Z5))),"")</f>
        <v/>
      </c>
      <c r="Z5" s="9" t="str">
        <f t="shared" ca="1" si="3"/>
        <v/>
      </c>
      <c r="AA5" s="9" t="str" cm="1">
        <f t="array" aca="1" ref="AA5" ca="1">IFERROR(INDEX(INDIRECT($K$17),AB5,0),"")</f>
        <v/>
      </c>
      <c r="AB5" s="5" t="e">
        <f t="shared" ca="1" si="4"/>
        <v>#N/A</v>
      </c>
      <c r="AC5" s="105"/>
      <c r="AD5" s="8"/>
      <c r="AE5" s="96" t="str">
        <f t="shared" si="11"/>
        <v/>
      </c>
      <c r="AF5" s="8" t="str" cm="1">
        <f t="array" ref="AF5">_xlfn.IFS(RIGHT(Analyse!A108,5)="Total","",Analyse!A108="","",Analyse!A108&lt;&gt;"",Analyse!A108)</f>
        <v/>
      </c>
      <c r="AG5" s="8" t="str" cm="1">
        <f t="array" ref="AG5">IFERROR(IF(AF5=TbHead[SmallT],100,GETPIVOTDATA("[Measures].[Sum of Montant]",Analyse!$A$101,"[Master_1].[Cat_2]","[Master_1].[Cat_2].&amp;["&amp; $M$17 &amp; "]","[Master_1].[Cat_3]","[Master_1].[Cat_3].&amp;[" &amp; AF5 &amp; "]")),"")</f>
        <v/>
      </c>
      <c r="AH5" s="8" t="str" cm="1">
        <f t="array" ref="AH5">IFERROR(IF(AF5=TbHead[SmallT],100000000,ABS(GETPIVOTDATA("[__Xl2].[Measures].[Sum of Montant]",Analyse!$A$101,"[Master_1].[Cat_2]","[Master_1].[Cat_2].&amp;["&amp;$M$17&amp;"]","[Master_1].[Cat_3]","[Master_1].[Cat_3].&amp;["&amp;ControlChart!AF5&amp;"]"))),"")</f>
        <v/>
      </c>
      <c r="AI5" s="8" t="str">
        <f>"AH1:AH" &amp; $AI$1</f>
        <v>AH1:AH1</v>
      </c>
      <c r="AJ5" s="8" t="str" cm="1">
        <f t="array" ref="AJ5">IFERROR(INDEX($AF$1:$AF$16,SMALL(IF($AG$1:$AG$16=AK5,ROW($AG$1:$AG$16)),COUNTIF($AK$1:AK5,AK5))),"")</f>
        <v/>
      </c>
      <c r="AK5" s="107" t="str">
        <f t="shared" si="12"/>
        <v/>
      </c>
      <c r="AL5" s="106" t="str">
        <f t="shared" si="13"/>
        <v/>
      </c>
      <c r="AM5" s="8" t="str">
        <f t="shared" si="14"/>
        <v/>
      </c>
      <c r="AN5" s="8"/>
      <c r="AR5" s="9" t="str">
        <f ca="1">Library!R21</f>
        <v>Apr</v>
      </c>
      <c r="AS5" s="302">
        <f ca="1">IFERROR(GETPIVOTDATA("[Measures].[Sum of Montant]",Analyse!$Q$113,"[Master_1].[Année]","[Master_1].[Année].&amp;["&amp;$AV$1&amp;"]","[Master_1].[Cat_3]","[Master_1].[Cat_3].&amp;["&amp;$AS$1&amp;"]","[Master_1].[Mois (Name)]","[Master_1].[Mois (Name)].&amp;["&amp;AR5&amp;"]"),NA())</f>
        <v>1.0000000000000001E-5</v>
      </c>
      <c r="AT5" s="302">
        <f ca="1">IFERROR(GETPIVOTDATA("[Measures].[Sum of Montant]",Analyse!$Q$137,"[Master_1].[Année]","[Master_1].[Année].&amp;["&amp;ControlChart!$AV$1&amp;"]","[Master_1].[Cat_3]","[Master_1].[Cat_3].&amp;["&amp;ControlChart!$AS$1&amp;"]","[Master_1].[Mois (Name)]","[Master_1].[Mois (Name)].&amp;["&amp;ControlChart!AR5&amp;"]"),NA())</f>
        <v>1.0000000000000001E-5</v>
      </c>
      <c r="AU5" s="302" t="e">
        <f ca="1">IFERROR(GETPIVOTDATA("[Measures].[Sum of Montant]",Analyse!$Q$113,"[Master_1].[Année]","[Master_1].[Année].&amp;["&amp;$AU$1&amp;"]","[Master_1].[Cat_3]","[Master_1].[Cat_3].&amp;["&amp;$AS$1&amp;"]","[Master_1].[Mois (Name)]","[Master_1].[Mois (Name)].&amp;["&amp;AR5&amp;"]"),NA())</f>
        <v>#N/A</v>
      </c>
      <c r="AV5" s="302">
        <f t="shared" ca="1" si="25"/>
        <v>1.0000000000000001E-5</v>
      </c>
      <c r="AW5" s="302">
        <f t="shared" ca="1" si="26"/>
        <v>1.0000000000000001E-5</v>
      </c>
      <c r="AX5" s="302" t="e">
        <f t="shared" ca="1" si="27"/>
        <v>#N/A</v>
      </c>
      <c r="AY5" s="302">
        <f t="shared" ca="1" si="28"/>
        <v>1.0000000000000001E-5</v>
      </c>
      <c r="AZ5" s="302" t="e">
        <f t="shared" ca="1" si="29"/>
        <v>#N/A</v>
      </c>
      <c r="BA5" t="str">
        <f t="shared" ca="1" si="15"/>
        <v/>
      </c>
      <c r="BC5" s="16" t="str" cm="1">
        <f t="array" ref="BC5">IF(Analyse!A278=TbHead[GrandT],NA(),Analyse!A278)</f>
        <v>Category5</v>
      </c>
      <c r="BD5" s="16" cm="1">
        <f t="array" ref="BD5">_xlfn.IFS(ISNA(BC5),0,BC5=0,0,BC5&lt;&gt;"",1)</f>
        <v>1</v>
      </c>
      <c r="BE5" s="16">
        <f>IFERROR(IF(BD5=0,NA(),GETPIVOTDATA("[Measures].[Sum of Montant]",Analyse!$A$273,"[Master_1].[Cat_2]","[Master_1].[Cat_2].&amp;["&amp;ControlChart!BC5&amp;"]")),NA())</f>
        <v>0.14285714285714288</v>
      </c>
      <c r="BF5" s="16" t="str" cm="1">
        <f t="array" aca="1" ref="BF5" ca="1">IFERROR(INDEX(INDIRECT($BF$14),SMALL(IF(INDIRECT($BE$14)=BG5,ROW(INDIRECT($BE$14))),COUNTIF($BG$1:BG5,BG5))),0)</f>
        <v>Category5</v>
      </c>
      <c r="BG5" s="111">
        <f ca="1">IF(ISNA(BE5),NA(),LARGE(INDIRECT($BE$14),SUM($BD$1:BD5)))</f>
        <v>0.14285714285714288</v>
      </c>
      <c r="BH5" s="16">
        <f ca="1">IFERROR(IF(AND(BF5&lt;&gt;"0",BG5&lt;0.1),BG5,0),0)</f>
        <v>0</v>
      </c>
      <c r="BI5" s="16">
        <f t="shared" ca="1" si="16"/>
        <v>0.14285714285714288</v>
      </c>
      <c r="BJ5" s="16" t="str">
        <f ca="1"/>
        <v>Category5</v>
      </c>
      <c r="BK5" s="16" t="str">
        <f ca="1">IF(BL5="",NA(),IF(AND(BL5&lt;&gt;"",BJ5=""),Library!$A$227,BJ5))</f>
        <v>Category5</v>
      </c>
      <c r="BL5" s="111">
        <f ca="1"/>
        <v>0.14285714285714288</v>
      </c>
      <c r="BM5" s="111" cm="1">
        <f t="array" aca="1" ref="BM5" ca="1">IFERROR(_xlfn.IFS(BL5="",NA(),BL5&gt;1,1,BL5&gt;=0,BL5),NA())</f>
        <v>0.14285714285714288</v>
      </c>
      <c r="BN5" s="16">
        <f ca="1">IF(BM5&lt;&gt;"",IF(SUM($BM$1:BM5)&gt;100%,"",SUM($BM$1:BM5)),NA())</f>
        <v>0.71428571428571441</v>
      </c>
      <c r="BO5" s="16">
        <f ca="1">IFERROR(100%-BN5,NA())</f>
        <v>0.28571428571428559</v>
      </c>
      <c r="BP5" s="110">
        <f ca="1">IFERROR(IF(BM5=0,NA(),SIN(BN5*2*PI())),NA())</f>
        <v>-0.97492791218182373</v>
      </c>
      <c r="BQ5" s="112">
        <f ca="1">IFERROR(IF(BM5=0,NA(),COS(BN5*2*PI())),NA())</f>
        <v>-0.2225209339563137</v>
      </c>
      <c r="BR5" s="271"/>
      <c r="BU5" s="217">
        <f t="shared" si="17"/>
        <v>1</v>
      </c>
      <c r="BV5" s="8" t="str">
        <f>IFERROR(WB_Data!H8,NA())</f>
        <v>Category7</v>
      </c>
      <c r="BW5" s="304">
        <f>IFERROR(ABS(GETPIVOTDATA("[__Xl2].[Measures].[Sum of Montant]",Analyse!$A$273,"[Master_1].[Cat_2]","[Master_1].[Cat_2].&amp;["&amp;BV5&amp;"]")),0)</f>
        <v>1.2000000000000002E-4</v>
      </c>
      <c r="BX5" s="116" cm="1">
        <f t="array" ref="BX5">IFERROR(_xlfn.IFS(BU5="",0,BU5&gt;1,1,BU5&gt;=0,BU5),0)</f>
        <v>1</v>
      </c>
      <c r="BY5" s="116">
        <f t="shared" si="18"/>
        <v>0</v>
      </c>
      <c r="BZ5" s="116">
        <f t="shared" si="19"/>
        <v>1.0833333333333333</v>
      </c>
      <c r="CA5" s="116">
        <f t="shared" si="20"/>
        <v>0</v>
      </c>
      <c r="CB5" s="8">
        <f t="shared" si="21"/>
        <v>0.49999999999999928</v>
      </c>
      <c r="CC5" s="8">
        <f t="shared" si="22"/>
        <v>0.86602540378443904</v>
      </c>
      <c r="CD5" s="305">
        <f t="shared" si="23"/>
        <v>1.0000000000000001E-5</v>
      </c>
      <c r="CJ5" s="5"/>
      <c r="CK5" s="5"/>
      <c r="CL5" s="144" t="str">
        <f ca="1">Library!R21</f>
        <v>Apr</v>
      </c>
      <c r="CM5" s="9">
        <f ca="1">IFERROR(GETPIVOTDATA("[Measures].[Sum of Montant]",Analyse!$A$333,"[Master_1].[Mois (Name)]","[Master_1].[Mois (Name)].&amp;["&amp;CL5&amp;"]"),"")</f>
        <v>9.0000000000000006E-5</v>
      </c>
      <c r="CN5" s="144">
        <f ca="1">IFERROR(ROUND((CN2/CN1),0),0)</f>
        <v>3</v>
      </c>
      <c r="CO5" s="310">
        <v>0</v>
      </c>
      <c r="CP5" s="143" t="s">
        <v>169</v>
      </c>
      <c r="CQ5" s="145">
        <v>0.85</v>
      </c>
      <c r="CR5" s="146">
        <v>1.1499999999999999</v>
      </c>
      <c r="CS5" s="149">
        <v>1</v>
      </c>
      <c r="CT5" s="149" t="e">
        <f ca="1">IF(CO4&gt;CN2,1,NA())</f>
        <v>#N/A</v>
      </c>
      <c r="EV5" s="5">
        <v>2028</v>
      </c>
      <c r="EW5" s="311">
        <v>0.01</v>
      </c>
      <c r="EX5" s="311">
        <v>0.01</v>
      </c>
      <c r="EY5" s="311">
        <v>0.01</v>
      </c>
      <c r="EZ5" s="29"/>
      <c r="FA5" s="5"/>
      <c r="FB5" s="311"/>
      <c r="FC5" s="311"/>
      <c r="FD5" s="311"/>
    </row>
    <row r="6" spans="1:177" ht="12" thickBot="1" x14ac:dyDescent="0.3">
      <c r="I6" s="9" t="str">
        <f t="shared" si="24"/>
        <v/>
      </c>
      <c r="J6" s="9" t="str" cm="1">
        <f t="array" ref="J6">_xlfn.IFS(RIGHT(Analyse!A109,5)="Total","",Analyse!A109="","",Analyse!A109&lt;&gt;"",Analyse!A109)</f>
        <v/>
      </c>
      <c r="K6" s="9" t="str" cm="1">
        <f t="array" ref="K6">IFERROR(IF(AF6=TbHead[SmallT],100000000,ABS(GETPIVOTDATA("[__Xl2].[Measures].[Sum of Montant]",Analyse!$A$101,"[Master_1].[Cat_2]","[Master_1].[Cat_2].&amp;["&amp;$M$17&amp;"]","[Master_1].[Cat_3]","[Master_1].[Cat_3].&amp;["&amp;J6&amp;"]"))/GETPIVOTDATA("[Measures].[Sum of Montant]",Analyse!$A$82,"[Master_1].[Cat_2]","[Master_1].[Cat_2].&amp;["&amp; WB_Data!$J$2 &amp; "]")),"")</f>
        <v/>
      </c>
      <c r="L6" s="9"/>
      <c r="M6" s="9"/>
      <c r="N6" s="9" t="str">
        <f t="shared" si="0"/>
        <v/>
      </c>
      <c r="O6" s="87" t="str">
        <f t="shared" si="6"/>
        <v/>
      </c>
      <c r="P6" s="9" t="str">
        <f t="shared" si="1"/>
        <v/>
      </c>
      <c r="Q6" s="9" t="str" cm="1">
        <f t="array" aca="1" ref="Q6" ca="1">IFERROR(INDEX(INDIRECT($M$3),SMALL(IF(INDIRECT($M$2)=R6,ROW(INDIRECT($M$2))),COUNTIF($R$1:R6,R6))),"")</f>
        <v/>
      </c>
      <c r="R6" s="104" t="str">
        <f t="shared" ca="1" si="7"/>
        <v/>
      </c>
      <c r="S6" s="9" t="str" cm="1">
        <f t="array" aca="1" ref="S6" ca="1">IFERROR(INDEX(INDIRECT($L$17),T6,0),"")</f>
        <v/>
      </c>
      <c r="T6" s="5" t="e">
        <f t="shared" ca="1" si="2"/>
        <v>#N/A</v>
      </c>
      <c r="V6" s="97" t="str">
        <f t="shared" si="8"/>
        <v/>
      </c>
      <c r="W6" s="9">
        <f t="shared" si="9"/>
        <v>0</v>
      </c>
      <c r="X6" s="9" t="str">
        <f t="shared" si="10"/>
        <v/>
      </c>
      <c r="Y6" s="9" t="str" cm="1">
        <f t="array" aca="1" ref="Y6" ca="1">IFERROR(INDEX(INDIRECT($U$1),SMALL(IF(INDIRECT($U$2)=Z6,ROW(INDIRECT($U$2))),COUNTIF($Z$1:Z6,Z6))),"")</f>
        <v/>
      </c>
      <c r="Z6" s="9" t="str">
        <f t="shared" ca="1" si="3"/>
        <v/>
      </c>
      <c r="AA6" s="9" t="str" cm="1">
        <f t="array" aca="1" ref="AA6" ca="1">IFERROR(INDEX(INDIRECT($K$17),AB6,0),"")</f>
        <v/>
      </c>
      <c r="AB6" s="5" t="e">
        <f t="shared" ca="1" si="4"/>
        <v>#N/A</v>
      </c>
      <c r="AC6" s="105"/>
      <c r="AD6" s="8"/>
      <c r="AE6" s="96" t="str">
        <f t="shared" si="11"/>
        <v/>
      </c>
      <c r="AF6" s="8" t="str" cm="1">
        <f t="array" ref="AF6">_xlfn.IFS(RIGHT(Analyse!A109,5)="Total","",Analyse!A109="","",Analyse!A109&lt;&gt;"",Analyse!A109)</f>
        <v/>
      </c>
      <c r="AG6" s="8" t="str" cm="1">
        <f t="array" ref="AG6">IFERROR(IF(AF6=TbHead[SmallT],100,GETPIVOTDATA("[Measures].[Sum of Montant]",Analyse!$A$101,"[Master_1].[Cat_2]","[Master_1].[Cat_2].&amp;["&amp; $M$17 &amp; "]","[Master_1].[Cat_3]","[Master_1].[Cat_3].&amp;[" &amp; AF6 &amp; "]")),"")</f>
        <v/>
      </c>
      <c r="AH6" s="8" t="str" cm="1">
        <f t="array" ref="AH6">IFERROR(IF(AF6=TbHead[SmallT],100000000,ABS(GETPIVOTDATA("[__Xl2].[Measures].[Sum of Montant]",Analyse!$A$101,"[Master_1].[Cat_2]","[Master_1].[Cat_2].&amp;["&amp;$M$17&amp;"]","[Master_1].[Cat_3]","[Master_1].[Cat_3].&amp;["&amp;ControlChart!AF6&amp;"]"))),"")</f>
        <v/>
      </c>
      <c r="AI6" s="8"/>
      <c r="AJ6" s="8" t="str" cm="1">
        <f t="array" ref="AJ6">IFERROR(INDEX($AF$1:$AF$16,SMALL(IF($AG$1:$AG$16=AK6,ROW($AG$1:$AG$16)),COUNTIF($AK$1:AK6,AK6))),"")</f>
        <v/>
      </c>
      <c r="AK6" s="107" t="str">
        <f t="shared" si="12"/>
        <v/>
      </c>
      <c r="AL6" s="106" t="str">
        <f t="shared" si="13"/>
        <v/>
      </c>
      <c r="AM6" s="8" t="str">
        <f t="shared" si="14"/>
        <v/>
      </c>
      <c r="AN6" s="8"/>
      <c r="AR6" s="9" t="str">
        <f ca="1">Library!R22</f>
        <v>May</v>
      </c>
      <c r="AS6" s="302">
        <f ca="1">IFERROR(GETPIVOTDATA("[Measures].[Sum of Montant]",Analyse!$Q$113,"[Master_1].[Année]","[Master_1].[Année].&amp;["&amp;$AV$1&amp;"]","[Master_1].[Cat_3]","[Master_1].[Cat_3].&amp;["&amp;$AS$1&amp;"]","[Master_1].[Mois (Name)]","[Master_1].[Mois (Name)].&amp;["&amp;AR6&amp;"]"),NA())</f>
        <v>1.0000000000000001E-5</v>
      </c>
      <c r="AT6" s="302">
        <f ca="1">IFERROR(GETPIVOTDATA("[Measures].[Sum of Montant]",Analyse!$Q$137,"[Master_1].[Année]","[Master_1].[Année].&amp;["&amp;ControlChart!$AV$1&amp;"]","[Master_1].[Cat_3]","[Master_1].[Cat_3].&amp;["&amp;ControlChart!$AS$1&amp;"]","[Master_1].[Mois (Name)]","[Master_1].[Mois (Name)].&amp;["&amp;ControlChart!AR6&amp;"]"),NA())</f>
        <v>1.0000000000000001E-5</v>
      </c>
      <c r="AU6" s="302" t="e">
        <f ca="1">IFERROR(GETPIVOTDATA("[Measures].[Sum of Montant]",Analyse!$Q$113,"[Master_1].[Année]","[Master_1].[Année].&amp;["&amp;$AU$1&amp;"]","[Master_1].[Cat_3]","[Master_1].[Cat_3].&amp;["&amp;$AS$1&amp;"]","[Master_1].[Mois (Name)]","[Master_1].[Mois (Name)].&amp;["&amp;AR6&amp;"]"),NA())</f>
        <v>#N/A</v>
      </c>
      <c r="AV6" s="302">
        <f t="shared" ca="1" si="25"/>
        <v>1.0000000000000001E-5</v>
      </c>
      <c r="AW6" s="302">
        <f t="shared" ca="1" si="26"/>
        <v>1.0000000000000001E-5</v>
      </c>
      <c r="AX6" s="302" t="e">
        <f t="shared" ca="1" si="27"/>
        <v>#N/A</v>
      </c>
      <c r="AY6" s="302">
        <f t="shared" ca="1" si="28"/>
        <v>1.0000000000000001E-5</v>
      </c>
      <c r="AZ6" s="302" t="e">
        <f t="shared" ca="1" si="29"/>
        <v>#N/A</v>
      </c>
      <c r="BA6" t="str">
        <f t="shared" ca="1" si="15"/>
        <v/>
      </c>
      <c r="BC6" s="16" t="str" cm="1">
        <f t="array" ref="BC6">IF(Analyse!A279=TbHead[GrandT],NA(),Analyse!A279)</f>
        <v>Category6</v>
      </c>
      <c r="BD6" s="16" cm="1">
        <f t="array" ref="BD6">_xlfn.IFS(ISNA(BC6),0,BC6=0,0,BC6&lt;&gt;"",1)</f>
        <v>1</v>
      </c>
      <c r="BE6" s="16">
        <f>IFERROR(IF(BD6=0,NA(),GETPIVOTDATA("[Measures].[Sum of Montant]",Analyse!$A$273,"[Master_1].[Cat_2]","[Master_1].[Cat_2].&amp;["&amp;ControlChart!BC6&amp;"]")),NA())</f>
        <v>0.14285714285714288</v>
      </c>
      <c r="BF6" s="16" t="str" cm="1">
        <f t="array" aca="1" ref="BF6" ca="1">IFERROR(INDEX(INDIRECT($BF$14),SMALL(IF(INDIRECT($BE$14)=BG6,ROW(INDIRECT($BE$14))),COUNTIF($BG$1:BG6,BG6))),0)</f>
        <v>Category6</v>
      </c>
      <c r="BG6" s="111">
        <f ca="1">IF(ISNA(BE6),NA(),LARGE(INDIRECT($BE$14),SUM($BD$1:BD6)))</f>
        <v>0.14285714285714288</v>
      </c>
      <c r="BH6" s="16">
        <f t="shared" ca="1" si="5"/>
        <v>0</v>
      </c>
      <c r="BI6" s="16">
        <f t="shared" ca="1" si="16"/>
        <v>0.14285714285714288</v>
      </c>
      <c r="BJ6" s="16" t="str">
        <f ca="1"/>
        <v>Category6</v>
      </c>
      <c r="BK6" s="16" t="str">
        <f ca="1">IF(BL6="",NA(),IF(AND(BL6&lt;&gt;"",BJ6=""),Library!$A$227,BJ6))</f>
        <v>Category6</v>
      </c>
      <c r="BL6" s="111">
        <f ca="1"/>
        <v>0.14285714285714288</v>
      </c>
      <c r="BM6" s="111" cm="1">
        <f t="array" aca="1" ref="BM6" ca="1">IFERROR(_xlfn.IFS(BL6="",NA(),BL6&gt;1,1,BL6&gt;=0,BL6),NA())</f>
        <v>0.14285714285714288</v>
      </c>
      <c r="BN6" s="16">
        <f ca="1">IF(BM6&lt;&gt;"",IF(SUM($BM$1:BM6)&gt;100%,"",SUM($BM$1:BM6)),NA())</f>
        <v>0.85714285714285732</v>
      </c>
      <c r="BO6" s="16">
        <f t="shared" ref="BO6:BO12" ca="1" si="30">IFERROR(100%-BN6,NA())</f>
        <v>0.14285714285714268</v>
      </c>
      <c r="BP6" s="110">
        <f t="shared" ref="BP6:BP13" ca="1" si="31">IFERROR(IF(BM6=0,NA(),SIN(BN6*2*PI())),NA())</f>
        <v>-0.78183148246802936</v>
      </c>
      <c r="BQ6" s="112">
        <f t="shared" ref="BQ6:BQ13" ca="1" si="32">IFERROR(IF(BM6=0,NA(),COS(BN6*2*PI())),NA())</f>
        <v>0.62348980185873404</v>
      </c>
      <c r="BR6" s="272"/>
      <c r="BU6" s="217">
        <f t="shared" si="17"/>
        <v>1</v>
      </c>
      <c r="BV6" s="8" t="str">
        <f>IFERROR(Dépense[[#This Row],[C21]],NA())</f>
        <v>Category5</v>
      </c>
      <c r="BW6" s="304">
        <f>IFERROR(ABS(GETPIVOTDATA("[__Xl2].[Measures].[Sum of Montant]",Analyse!$A$273,"[Master_1].[Cat_2]","[Master_1].[Cat_2].&amp;["&amp;BV6&amp;"]")),0)</f>
        <v>1.2000000000000002E-4</v>
      </c>
      <c r="BX6" s="116" cm="1">
        <f t="array" ref="BX6">IFERROR(_xlfn.IFS(BU6="",0,BU6&gt;1,1,BU6&gt;=0,BU6),0)</f>
        <v>1</v>
      </c>
      <c r="BY6" s="116">
        <f t="shared" si="18"/>
        <v>0</v>
      </c>
      <c r="BZ6" s="116">
        <f t="shared" si="19"/>
        <v>1.0833333333333333</v>
      </c>
      <c r="CA6" s="116">
        <f t="shared" si="20"/>
        <v>0</v>
      </c>
      <c r="CB6" s="8">
        <f t="shared" si="21"/>
        <v>0.49999999999999928</v>
      </c>
      <c r="CC6" s="8">
        <f t="shared" si="22"/>
        <v>0.86602540378443904</v>
      </c>
      <c r="CD6" s="305">
        <f t="shared" si="23"/>
        <v>1.0000000000000001E-5</v>
      </c>
      <c r="CJ6" s="5"/>
      <c r="CK6" s="5"/>
      <c r="CL6" s="144" t="str">
        <f ca="1">Library!R22</f>
        <v>May</v>
      </c>
      <c r="CM6" s="9">
        <f ca="1">IFERROR(GETPIVOTDATA("[Measures].[Sum of Montant]",Analyse!$A$333,"[Master_1].[Mois (Name)]","[Master_1].[Mois (Name)].&amp;["&amp;CL6&amp;"]"),"")</f>
        <v>9.0000000000000006E-5</v>
      </c>
      <c r="CP6" s="143" t="s">
        <v>172</v>
      </c>
      <c r="CQ6" s="147">
        <f ca="1">CO2</f>
        <v>0</v>
      </c>
      <c r="CR6" s="148">
        <f ca="1">CO2</f>
        <v>0</v>
      </c>
      <c r="CS6" s="150">
        <v>0</v>
      </c>
      <c r="CT6" s="150">
        <f ca="1">IF(CO4&gt;CN2,1,0)</f>
        <v>0</v>
      </c>
      <c r="EV6" s="5">
        <v>2029</v>
      </c>
      <c r="EW6" s="311">
        <v>0.01</v>
      </c>
      <c r="EX6" s="311">
        <v>0.01</v>
      </c>
      <c r="EY6" s="311">
        <v>0.01</v>
      </c>
      <c r="EZ6" s="29"/>
      <c r="FA6" s="5"/>
      <c r="FB6" s="311"/>
      <c r="FC6" s="311"/>
      <c r="FD6" s="311"/>
    </row>
    <row r="7" spans="1:177" x14ac:dyDescent="0.25">
      <c r="A7" s="12" t="s">
        <v>107</v>
      </c>
      <c r="B7" s="12" t="s">
        <v>125</v>
      </c>
      <c r="C7" s="12" t="s">
        <v>126</v>
      </c>
      <c r="D7" s="12" t="s">
        <v>127</v>
      </c>
      <c r="E7" s="12" t="s">
        <v>123</v>
      </c>
      <c r="I7" s="9" t="str">
        <f t="shared" si="24"/>
        <v/>
      </c>
      <c r="J7" s="9" t="str" cm="1">
        <f t="array" ref="J7">_xlfn.IFS(RIGHT(Analyse!A110,5)="Total","",Analyse!A110="","",Analyse!A110&lt;&gt;"",Analyse!A110)</f>
        <v/>
      </c>
      <c r="K7" s="9" t="str" cm="1">
        <f t="array" ref="K7">IFERROR(IF(AF7=TbHead[SmallT],100000000,ABS(GETPIVOTDATA("[__Xl2].[Measures].[Sum of Montant]",Analyse!$A$101,"[Master_1].[Cat_2]","[Master_1].[Cat_2].&amp;["&amp;$M$17&amp;"]","[Master_1].[Cat_3]","[Master_1].[Cat_3].&amp;["&amp;J7&amp;"]"))/GETPIVOTDATA("[Measures].[Sum of Montant]",Analyse!$A$82,"[Master_1].[Cat_2]","[Master_1].[Cat_2].&amp;["&amp; WB_Data!$J$2 &amp; "]")),"")</f>
        <v/>
      </c>
      <c r="L7" s="9"/>
      <c r="M7" s="9"/>
      <c r="N7" s="9" t="str">
        <f t="shared" si="0"/>
        <v/>
      </c>
      <c r="O7" s="87" t="str">
        <f t="shared" si="6"/>
        <v/>
      </c>
      <c r="P7" s="9" t="str">
        <f t="shared" si="1"/>
        <v/>
      </c>
      <c r="Q7" s="9" t="str" cm="1">
        <f t="array" aca="1" ref="Q7" ca="1">IFERROR(INDEX(INDIRECT($M$3),SMALL(IF(INDIRECT($M$2)=R7,ROW(INDIRECT($M$2))),COUNTIF($R$1:R7,R7))),"")</f>
        <v/>
      </c>
      <c r="R7" s="104" t="str">
        <f t="shared" ca="1" si="7"/>
        <v/>
      </c>
      <c r="S7" s="9" t="str" cm="1">
        <f t="array" aca="1" ref="S7" ca="1">IFERROR(INDEX(INDIRECT($L$17),T7,0),"")</f>
        <v/>
      </c>
      <c r="T7" s="5" t="e">
        <f t="shared" ca="1" si="2"/>
        <v>#N/A</v>
      </c>
      <c r="V7" s="97" t="str">
        <f t="shared" si="8"/>
        <v/>
      </c>
      <c r="W7" s="9">
        <f t="shared" si="9"/>
        <v>0</v>
      </c>
      <c r="X7" s="9" t="str">
        <f t="shared" si="10"/>
        <v/>
      </c>
      <c r="Y7" s="9" t="str" cm="1">
        <f t="array" aca="1" ref="Y7" ca="1">IFERROR(INDEX(INDIRECT($U$1),SMALL(IF(INDIRECT($U$2)=Z7,ROW(INDIRECT($U$2))),COUNTIF($Z$1:Z7,Z7))),"")</f>
        <v/>
      </c>
      <c r="Z7" s="9" t="str">
        <f t="shared" ca="1" si="3"/>
        <v/>
      </c>
      <c r="AA7" s="9" t="str" cm="1">
        <f t="array" aca="1" ref="AA7" ca="1">IFERROR(INDEX(INDIRECT($K$17),AB7,0),"")</f>
        <v/>
      </c>
      <c r="AB7" s="5" t="e">
        <f t="shared" ca="1" si="4"/>
        <v>#N/A</v>
      </c>
      <c r="AC7" s="105"/>
      <c r="AD7" s="8"/>
      <c r="AE7" s="96" t="str">
        <f t="shared" si="11"/>
        <v/>
      </c>
      <c r="AF7" s="8" t="str" cm="1">
        <f t="array" ref="AF7">_xlfn.IFS(RIGHT(Analyse!A110,5)="Total","",Analyse!A110="","",Analyse!A110&lt;&gt;"",Analyse!A110)</f>
        <v/>
      </c>
      <c r="AG7" s="8" t="str" cm="1">
        <f t="array" ref="AG7">IFERROR(IF(AF7=TbHead[SmallT],100,GETPIVOTDATA("[Measures].[Sum of Montant]",Analyse!$A$101,"[Master_1].[Cat_2]","[Master_1].[Cat_2].&amp;["&amp; $M$17 &amp; "]","[Master_1].[Cat_3]","[Master_1].[Cat_3].&amp;[" &amp; AF7 &amp; "]")),"")</f>
        <v/>
      </c>
      <c r="AH7" s="8" t="str" cm="1">
        <f t="array" ref="AH7">IFERROR(IF(AF7=TbHead[SmallT],100000000,ABS(GETPIVOTDATA("[__Xl2].[Measures].[Sum of Montant]",Analyse!$A$101,"[Master_1].[Cat_2]","[Master_1].[Cat_2].&amp;["&amp;$M$17&amp;"]","[Master_1].[Cat_3]","[Master_1].[Cat_3].&amp;["&amp;ControlChart!AF7&amp;"]"))),"")</f>
        <v/>
      </c>
      <c r="AI7" s="8"/>
      <c r="AJ7" s="8" t="str" cm="1">
        <f t="array" ref="AJ7">IFERROR(INDEX($AF$1:$AF$16,SMALL(IF($AG$1:$AG$16=AK7,ROW($AG$1:$AG$16)),COUNTIF($AK$1:AK7,AK7))),"")</f>
        <v/>
      </c>
      <c r="AK7" s="107" t="str">
        <f t="shared" si="12"/>
        <v/>
      </c>
      <c r="AL7" s="106" t="str">
        <f t="shared" si="13"/>
        <v/>
      </c>
      <c r="AM7" s="8" t="str">
        <f t="shared" si="14"/>
        <v/>
      </c>
      <c r="AN7" s="8"/>
      <c r="AR7" s="9" t="str">
        <f ca="1">Library!R23</f>
        <v>Jun</v>
      </c>
      <c r="AS7" s="302">
        <f ca="1">IFERROR(GETPIVOTDATA("[Measures].[Sum of Montant]",Analyse!$Q$113,"[Master_1].[Année]","[Master_1].[Année].&amp;["&amp;$AV$1&amp;"]","[Master_1].[Cat_3]","[Master_1].[Cat_3].&amp;["&amp;$AS$1&amp;"]","[Master_1].[Mois (Name)]","[Master_1].[Mois (Name)].&amp;["&amp;AR7&amp;"]"),NA())</f>
        <v>1.0000000000000001E-5</v>
      </c>
      <c r="AT7" s="302">
        <f ca="1">IFERROR(GETPIVOTDATA("[Measures].[Sum of Montant]",Analyse!$Q$137,"[Master_1].[Année]","[Master_1].[Année].&amp;["&amp;ControlChart!$AV$1&amp;"]","[Master_1].[Cat_3]","[Master_1].[Cat_3].&amp;["&amp;ControlChart!$AS$1&amp;"]","[Master_1].[Mois (Name)]","[Master_1].[Mois (Name)].&amp;["&amp;ControlChart!AR7&amp;"]"),NA())</f>
        <v>1.0000000000000001E-5</v>
      </c>
      <c r="AU7" s="302" t="e">
        <f ca="1">IFERROR(GETPIVOTDATA("[Measures].[Sum of Montant]",Analyse!$Q$113,"[Master_1].[Année]","[Master_1].[Année].&amp;["&amp;$AU$1&amp;"]","[Master_1].[Cat_3]","[Master_1].[Cat_3].&amp;["&amp;$AS$1&amp;"]","[Master_1].[Mois (Name)]","[Master_1].[Mois (Name)].&amp;["&amp;AR7&amp;"]"),NA())</f>
        <v>#N/A</v>
      </c>
      <c r="AV7" s="302">
        <f t="shared" ca="1" si="25"/>
        <v>1.0000000000000001E-5</v>
      </c>
      <c r="AW7" s="302">
        <f t="shared" ca="1" si="26"/>
        <v>1.0000000000000001E-5</v>
      </c>
      <c r="AX7" s="302" t="e">
        <f t="shared" ca="1" si="27"/>
        <v>#N/A</v>
      </c>
      <c r="AY7" s="302">
        <f t="shared" ca="1" si="28"/>
        <v>1.0000000000000001E-5</v>
      </c>
      <c r="AZ7" s="302" t="e">
        <f t="shared" ca="1" si="29"/>
        <v>#N/A</v>
      </c>
      <c r="BA7" t="str">
        <f t="shared" ca="1" si="15"/>
        <v/>
      </c>
      <c r="BC7" s="16" t="str" cm="1">
        <f t="array" ref="BC7">IF(Analyse!A280=TbHead[GrandT],NA(),Analyse!A280)</f>
        <v>Category7</v>
      </c>
      <c r="BD7" s="16" cm="1">
        <f t="array" ref="BD7">_xlfn.IFS(ISNA(BC7),0,BC7=0,0,BC7&lt;&gt;"",1)</f>
        <v>1</v>
      </c>
      <c r="BE7" s="16">
        <f>IFERROR(IF(BD7=0,NA(),GETPIVOTDATA("[Measures].[Sum of Montant]",Analyse!$A$273,"[Master_1].[Cat_2]","[Master_1].[Cat_2].&amp;["&amp;ControlChart!BC7&amp;"]")),NA())</f>
        <v>0.14285714285714288</v>
      </c>
      <c r="BF7" s="16" t="str" cm="1">
        <f t="array" aca="1" ref="BF7" ca="1">IFERROR(INDEX(INDIRECT($BF$14),SMALL(IF(INDIRECT($BE$14)=BG7,ROW(INDIRECT($BE$14))),COUNTIF($BG$1:BG7,BG7))),0)</f>
        <v>Category7</v>
      </c>
      <c r="BG7" s="111">
        <f ca="1">IF(ISNA(BE7),NA(),LARGE(INDIRECT($BE$14),SUM($BD$1:BD7)))</f>
        <v>0.14285714285714288</v>
      </c>
      <c r="BH7" s="16">
        <f t="shared" ca="1" si="5"/>
        <v>0</v>
      </c>
      <c r="BI7" s="16">
        <f t="shared" ca="1" si="16"/>
        <v>0.14285714285714288</v>
      </c>
      <c r="BJ7" s="16" t="str">
        <f ca="1"/>
        <v>Category7</v>
      </c>
      <c r="BK7" s="16" t="str">
        <f ca="1">IF(BL7="",NA(),IF(AND(BL7&lt;&gt;"",BJ7=""),Library!$A$227,BJ7))</f>
        <v>Category7</v>
      </c>
      <c r="BL7" s="111">
        <f ca="1"/>
        <v>0.14285714285714288</v>
      </c>
      <c r="BM7" s="111" cm="1">
        <f t="array" aca="1" ref="BM7" ca="1">IFERROR(_xlfn.IFS(BL7="",NA(),BL7&gt;1,1,BL7&gt;=0,BL7),NA())</f>
        <v>0.14285714285714288</v>
      </c>
      <c r="BN7" s="16">
        <f ca="1">IF(BM7&lt;&gt;"",IF(SUM($BM$1:BM7)&gt;100%,"",SUM($BM$1:BM7)),NA())</f>
        <v>1.0000000000000002</v>
      </c>
      <c r="BO7" s="16">
        <f t="shared" ca="1" si="30"/>
        <v>-2.2204460492503131E-16</v>
      </c>
      <c r="BP7" s="110">
        <f t="shared" ca="1" si="31"/>
        <v>1.5313271484185265E-15</v>
      </c>
      <c r="BQ7" s="112">
        <f t="shared" ca="1" si="32"/>
        <v>1</v>
      </c>
      <c r="BR7" s="273"/>
      <c r="BU7" s="217">
        <f t="shared" si="17"/>
        <v>1</v>
      </c>
      <c r="BV7" s="8" t="str">
        <f>IFERROR(Dépense[[#This Row],[C21]],NA())</f>
        <v>Category6</v>
      </c>
      <c r="BW7" s="304">
        <f>IFERROR(ABS(GETPIVOTDATA("[__Xl2].[Measures].[Sum of Montant]",Analyse!$A$273,"[Master_1].[Cat_2]","[Master_1].[Cat_2].&amp;["&amp;BV7&amp;"]")),0)</f>
        <v>1.2000000000000002E-4</v>
      </c>
      <c r="BX7" s="116" cm="1">
        <f t="array" ref="BX7">IFERROR(_xlfn.IFS(BU7="",0,BU7&gt;1,1,BU7&gt;=0,BU7),0)</f>
        <v>1</v>
      </c>
      <c r="BY7" s="116">
        <f t="shared" si="18"/>
        <v>0</v>
      </c>
      <c r="BZ7" s="116">
        <f t="shared" si="19"/>
        <v>1.0833333333333333</v>
      </c>
      <c r="CA7" s="116">
        <f t="shared" si="20"/>
        <v>0</v>
      </c>
      <c r="CB7" s="8">
        <f t="shared" si="21"/>
        <v>0.49999999999999928</v>
      </c>
      <c r="CC7" s="8">
        <f t="shared" si="22"/>
        <v>0.86602540378443904</v>
      </c>
      <c r="CD7" s="305">
        <f t="shared" si="23"/>
        <v>1.0000000000000001E-5</v>
      </c>
      <c r="CJ7" s="5"/>
      <c r="CK7" s="5"/>
      <c r="CL7" s="144" t="str">
        <f ca="1">Library!R23</f>
        <v>Jun</v>
      </c>
      <c r="CM7" s="9">
        <f ca="1">IFERROR(GETPIVOTDATA("[Measures].[Sum of Montant]",Analyse!$A$333,"[Master_1].[Mois (Name)]","[Master_1].[Mois (Name)].&amp;["&amp;CL7&amp;"]"),"")</f>
        <v>9.0000000000000006E-5</v>
      </c>
      <c r="EV7" s="5">
        <v>2030</v>
      </c>
      <c r="EW7" s="311">
        <v>0.01</v>
      </c>
      <c r="EX7" s="311">
        <v>0.01</v>
      </c>
      <c r="EY7" s="311">
        <v>0.01</v>
      </c>
      <c r="EZ7" s="29"/>
      <c r="FA7" s="5"/>
      <c r="FB7" s="311"/>
      <c r="FC7" s="311"/>
      <c r="FD7" s="311"/>
    </row>
    <row r="8" spans="1:177" x14ac:dyDescent="0.25">
      <c r="A8" s="9" t="str">
        <f ca="1">Library!R18</f>
        <v>Jan</v>
      </c>
      <c r="B8" s="9">
        <f ca="1">IFERROR(IF(GETPIVOTDATA("[Measures].[Sum of Montant]",Analyse!$A$36,"[Master_1].[Mois (Name)]","[Master_1].[Mois (Name)].&amp;["&amp;A8&amp;"]","[Master_1].[Année]","[Master_1].[Année].&amp;["&amp;$B$20&amp;"]")="",NA(),GETPIVOTDATA("[Measures].[Sum of Montant]",Analyse!$A$36,"[Master_1].[Mois (Name)]","[Master_1].[Mois (Name)].&amp;["&amp;A8&amp;"]","[Master_1].[Année]","[Master_1].[Année].&amp;["&amp;$B$20&amp;"]")),NA())</f>
        <v>1E-4</v>
      </c>
      <c r="C8" s="9">
        <f ca="1">IFERROR(IF(GETPIVOTDATA("[Measures].[Sum of Montant]",Analyse!$A$58,"[Master_1].[Mois (Name)]","[Master_1].[Mois (Name)].&amp;["&amp;A8&amp;"]","[Master_1].[Année]","[Master_1].[Année].&amp;["&amp;$B$20&amp;"]")="",NA(),GETPIVOTDATA("[Measures].[Sum of Montant]",Analyse!$A$58,"[Master_1].[Mois (Name)]","[Master_1].[Mois (Name)].&amp;["&amp;A8&amp;"]","[Master_1].[Année]","[Master_1].[Année].&amp;["&amp;$B$20&amp;"]")),NA())</f>
        <v>1E-4</v>
      </c>
      <c r="D8" s="9">
        <f ca="1">IFERROR(IF(ISNA(C8),NA(),C8),NA())</f>
        <v>1E-4</v>
      </c>
      <c r="E8" s="9">
        <v>0</v>
      </c>
      <c r="F8" s="5" t="e">
        <f ca="1">IFERROR(IF(ISNA(C8),NA(),IF(B8&lt;0,B8,NA())),NA())</f>
        <v>#N/A</v>
      </c>
      <c r="G8" s="5" t="e">
        <f t="shared" ref="G8:G19" ca="1" si="33">IF(C8&lt;0,C8,NA())</f>
        <v>#N/A</v>
      </c>
      <c r="I8" s="9" t="str">
        <f t="shared" si="24"/>
        <v/>
      </c>
      <c r="J8" s="9" t="str" cm="1">
        <f t="array" ref="J8">_xlfn.IFS(RIGHT(Analyse!A111,5)="Total","",Analyse!A111="","",Analyse!A111&lt;&gt;"",Analyse!A111)</f>
        <v/>
      </c>
      <c r="K8" s="9" t="str" cm="1">
        <f t="array" ref="K8">IFERROR(IF(AF8=TbHead[SmallT],100000000,ABS(GETPIVOTDATA("[__Xl2].[Measures].[Sum of Montant]",Analyse!$A$101,"[Master_1].[Cat_2]","[Master_1].[Cat_2].&amp;["&amp;$M$17&amp;"]","[Master_1].[Cat_3]","[Master_1].[Cat_3].&amp;["&amp;J8&amp;"]"))/GETPIVOTDATA("[Measures].[Sum of Montant]",Analyse!$A$82,"[Master_1].[Cat_2]","[Master_1].[Cat_2].&amp;["&amp; WB_Data!$J$2 &amp; "]")),"")</f>
        <v/>
      </c>
      <c r="L8" s="9"/>
      <c r="M8" s="9"/>
      <c r="N8" s="9" t="str">
        <f t="shared" si="0"/>
        <v/>
      </c>
      <c r="O8" s="87" t="str">
        <f t="shared" si="6"/>
        <v/>
      </c>
      <c r="P8" s="9" t="str">
        <f t="shared" si="1"/>
        <v/>
      </c>
      <c r="Q8" s="9" t="str" cm="1">
        <f t="array" aca="1" ref="Q8" ca="1">IFERROR(INDEX(INDIRECT($M$3),SMALL(IF(INDIRECT($M$2)=R8,ROW(INDIRECT($M$2))),COUNTIF($R$1:R8,R8))),"")</f>
        <v/>
      </c>
      <c r="R8" s="104" t="str">
        <f t="shared" ca="1" si="7"/>
        <v/>
      </c>
      <c r="S8" s="9" t="str" cm="1">
        <f t="array" aca="1" ref="S8" ca="1">IFERROR(INDEX(INDIRECT($L$17),T8,0),"")</f>
        <v/>
      </c>
      <c r="T8" s="5" t="e">
        <f t="shared" ca="1" si="2"/>
        <v>#N/A</v>
      </c>
      <c r="U8" s="5"/>
      <c r="V8" s="97" t="str">
        <f t="shared" si="8"/>
        <v/>
      </c>
      <c r="W8" s="9">
        <f t="shared" si="9"/>
        <v>0</v>
      </c>
      <c r="X8" s="9" t="str">
        <f t="shared" si="10"/>
        <v/>
      </c>
      <c r="Y8" s="9" t="str" cm="1">
        <f t="array" aca="1" ref="Y8" ca="1">IFERROR(INDEX(INDIRECT($U$1),SMALL(IF(INDIRECT($U$2)=Z8,ROW(INDIRECT($U$2))),COUNTIF($Z$1:Z8,Z8))),"")</f>
        <v/>
      </c>
      <c r="Z8" s="9" t="str">
        <f t="shared" ca="1" si="3"/>
        <v/>
      </c>
      <c r="AA8" s="9" t="str" cm="1">
        <f t="array" aca="1" ref="AA8" ca="1">IFERROR(INDEX(INDIRECT($K$17),AB8,0),"")</f>
        <v/>
      </c>
      <c r="AB8" s="5" t="e">
        <f t="shared" ca="1" si="4"/>
        <v>#N/A</v>
      </c>
      <c r="AC8" s="105"/>
      <c r="AD8" s="8"/>
      <c r="AE8" s="96" t="str">
        <f t="shared" si="11"/>
        <v/>
      </c>
      <c r="AF8" s="8" t="str" cm="1">
        <f t="array" ref="AF8">_xlfn.IFS(RIGHT(Analyse!A111,5)="Total","",Analyse!A111="","",Analyse!A111&lt;&gt;"",Analyse!A111)</f>
        <v/>
      </c>
      <c r="AG8" s="8" t="str" cm="1">
        <f t="array" ref="AG8">IFERROR(IF(AF8=TbHead[SmallT],100,GETPIVOTDATA("[Measures].[Sum of Montant]",Analyse!$A$101,"[Master_1].[Cat_2]","[Master_1].[Cat_2].&amp;["&amp; $M$17 &amp; "]","[Master_1].[Cat_3]","[Master_1].[Cat_3].&amp;[" &amp; AF8 &amp; "]")),"")</f>
        <v/>
      </c>
      <c r="AH8" s="8" t="str" cm="1">
        <f t="array" ref="AH8">IFERROR(IF(AF8=TbHead[SmallT],100000000,ABS(GETPIVOTDATA("[__Xl2].[Measures].[Sum of Montant]",Analyse!$A$101,"[Master_1].[Cat_2]","[Master_1].[Cat_2].&amp;["&amp;$M$17&amp;"]","[Master_1].[Cat_3]","[Master_1].[Cat_3].&amp;["&amp;ControlChart!AF8&amp;"]"))),"")</f>
        <v/>
      </c>
      <c r="AI8" s="8"/>
      <c r="AJ8" s="8" t="str" cm="1">
        <f t="array" ref="AJ8">IFERROR(INDEX($AF$1:$AF$16,SMALL(IF($AG$1:$AG$16=AK8,ROW($AG$1:$AG$16)),COUNTIF($AK$1:AK8,AK8))),"")</f>
        <v/>
      </c>
      <c r="AK8" s="107" t="str">
        <f t="shared" si="12"/>
        <v/>
      </c>
      <c r="AL8" s="106" t="str">
        <f t="shared" si="13"/>
        <v/>
      </c>
      <c r="AM8" s="8" t="str">
        <f t="shared" si="14"/>
        <v/>
      </c>
      <c r="AN8" s="8"/>
      <c r="AR8" s="9" t="str">
        <f ca="1">Library!R24</f>
        <v>Jul</v>
      </c>
      <c r="AS8" s="302">
        <f ca="1">IFERROR(GETPIVOTDATA("[Measures].[Sum of Montant]",Analyse!$Q$113,"[Master_1].[Année]","[Master_1].[Année].&amp;["&amp;$AV$1&amp;"]","[Master_1].[Cat_3]","[Master_1].[Cat_3].&amp;["&amp;$AS$1&amp;"]","[Master_1].[Mois (Name)]","[Master_1].[Mois (Name)].&amp;["&amp;AR8&amp;"]"),NA())</f>
        <v>1.0000000000000001E-5</v>
      </c>
      <c r="AT8" s="302">
        <f ca="1">IFERROR(GETPIVOTDATA("[Measures].[Sum of Montant]",Analyse!$Q$137,"[Master_1].[Année]","[Master_1].[Année].&amp;["&amp;ControlChart!$AV$1&amp;"]","[Master_1].[Cat_3]","[Master_1].[Cat_3].&amp;["&amp;ControlChart!$AS$1&amp;"]","[Master_1].[Mois (Name)]","[Master_1].[Mois (Name)].&amp;["&amp;ControlChart!AR8&amp;"]"),NA())</f>
        <v>1.0000000000000001E-5</v>
      </c>
      <c r="AU8" s="302" t="e">
        <f ca="1">IFERROR(GETPIVOTDATA("[Measures].[Sum of Montant]",Analyse!$Q$113,"[Master_1].[Année]","[Master_1].[Année].&amp;["&amp;$AU$1&amp;"]","[Master_1].[Cat_3]","[Master_1].[Cat_3].&amp;["&amp;$AS$1&amp;"]","[Master_1].[Mois (Name)]","[Master_1].[Mois (Name)].&amp;["&amp;AR8&amp;"]"),NA())</f>
        <v>#N/A</v>
      </c>
      <c r="AV8" s="302">
        <f t="shared" ca="1" si="25"/>
        <v>1.0000000000000001E-5</v>
      </c>
      <c r="AW8" s="302">
        <f t="shared" ca="1" si="26"/>
        <v>1.0000000000000001E-5</v>
      </c>
      <c r="AX8" s="302" t="e">
        <f t="shared" ca="1" si="27"/>
        <v>#N/A</v>
      </c>
      <c r="AY8" s="302">
        <f t="shared" ca="1" si="28"/>
        <v>1.0000000000000001E-5</v>
      </c>
      <c r="AZ8" s="302" t="e">
        <f t="shared" ca="1" si="29"/>
        <v>#N/A</v>
      </c>
      <c r="BA8" t="str">
        <f t="shared" ca="1" si="15"/>
        <v/>
      </c>
      <c r="BC8" s="16" t="e" cm="1">
        <f t="array" ref="BC8">IF(Analyse!A281=TbHead[GrandT],NA(),Analyse!A281)</f>
        <v>#N/A</v>
      </c>
      <c r="BD8" s="16" cm="1">
        <f t="array" ref="BD8">_xlfn.IFS(ISNA(BC8),0,BC8=0,0,BC8&lt;&gt;"",1)</f>
        <v>0</v>
      </c>
      <c r="BE8" s="16" t="e">
        <f>IFERROR(IF(BD8=0,NA(),GETPIVOTDATA("[Measures].[Sum of Montant]",Analyse!$A$273,"[Master_1].[Cat_2]","[Master_1].[Cat_2].&amp;["&amp;ControlChart!BC8&amp;"]")),NA())</f>
        <v>#N/A</v>
      </c>
      <c r="BF8" s="16" cm="1">
        <f t="array" aca="1" ref="BF8" ca="1">IFERROR(INDEX(INDIRECT($BF$14),SMALL(IF(INDIRECT($BE$14)=BG8,ROW(INDIRECT($BE$14))),COUNTIF($BG$1:BG8,BG8))),0)</f>
        <v>0</v>
      </c>
      <c r="BG8" s="111" t="e">
        <f ca="1">IF(ISNA(BE8),NA(),LARGE(INDIRECT($BE$14),SUM($BD$1:BD8)))</f>
        <v>#N/A</v>
      </c>
      <c r="BH8" s="16">
        <f t="shared" ca="1" si="5"/>
        <v>0</v>
      </c>
      <c r="BI8" s="16" t="e">
        <f t="shared" ca="1" si="16"/>
        <v>#N/A</v>
      </c>
      <c r="BJ8" s="16"/>
      <c r="BK8" s="16" t="e">
        <f ca="1">IF(BL8="",NA(),IF(AND(BL8&lt;&gt;"",BJ8=""),Library!$A$227,BJ8))</f>
        <v>#N/A</v>
      </c>
      <c r="BL8" s="111" t="e">
        <f ca="1"/>
        <v>#N/A</v>
      </c>
      <c r="BM8" s="111" t="e" cm="1">
        <f t="array" aca="1" ref="BM8" ca="1">IFERROR(_xlfn.IFS(BL8="",NA(),BL8&gt;1,1,BL8&gt;=0,BL8),NA())</f>
        <v>#N/A</v>
      </c>
      <c r="BN8" s="16" t="e">
        <f ca="1">IF(BM8&lt;&gt;"",IF(SUM($BM$1:BM8)&gt;100%,"",SUM($BM$1:BM8)),NA())</f>
        <v>#N/A</v>
      </c>
      <c r="BO8" s="16" t="e">
        <f t="shared" ca="1" si="30"/>
        <v>#N/A</v>
      </c>
      <c r="BP8" s="110" t="e">
        <f t="shared" ca="1" si="31"/>
        <v>#N/A</v>
      </c>
      <c r="BQ8" s="112" t="e">
        <f t="shared" ca="1" si="32"/>
        <v>#N/A</v>
      </c>
      <c r="BR8" s="114"/>
      <c r="CJ8" s="5"/>
      <c r="CK8" s="5"/>
      <c r="CL8" s="144" t="str">
        <f ca="1">Library!R24</f>
        <v>Jul</v>
      </c>
      <c r="CM8" s="9">
        <f ca="1">IFERROR(GETPIVOTDATA("[Measures].[Sum of Montant]",Analyse!$A$333,"[Master_1].[Mois (Name)]","[Master_1].[Mois (Name)].&amp;["&amp;CL8&amp;"]"),"")</f>
        <v>9.0000000000000006E-5</v>
      </c>
      <c r="EV8" s="5">
        <v>2031</v>
      </c>
      <c r="EW8" s="311">
        <v>0.01</v>
      </c>
      <c r="EX8" s="311">
        <v>0.01</v>
      </c>
      <c r="EY8" s="311">
        <v>0.01</v>
      </c>
      <c r="EZ8" s="29"/>
      <c r="FA8" s="5"/>
      <c r="FB8" s="311"/>
      <c r="FC8" s="311"/>
      <c r="FD8" s="311"/>
    </row>
    <row r="9" spans="1:177" x14ac:dyDescent="0.25">
      <c r="A9" s="9" t="str">
        <f ca="1">Library!R19</f>
        <v>Feb</v>
      </c>
      <c r="B9" s="9">
        <f ca="1">IFERROR(IF(GETPIVOTDATA("[Measures].[Sum of Montant]",Analyse!$A$36,"[Master_1].[Mois (Name)]","[Master_1].[Mois (Name)].&amp;["&amp;A9&amp;"]","[Master_1].[Année]","[Master_1].[Année].&amp;["&amp;$B$20&amp;"]")="",NA(),GETPIVOTDATA("[Measures].[Sum of Montant]",Analyse!$A$36,"[Master_1].[Mois (Name)]","[Master_1].[Mois (Name)].&amp;["&amp;A9&amp;"]","[Master_1].[Année]","[Master_1].[Année].&amp;["&amp;$B$20&amp;"]")),NA())</f>
        <v>1E-4</v>
      </c>
      <c r="C9" s="9">
        <f ca="1">IFERROR(IF(GETPIVOTDATA("[Measures].[Sum of Montant]",Analyse!$A$58,"[Master_1].[Mois (Name)]","[Master_1].[Mois (Name)].&amp;["&amp;A9&amp;"]","[Master_1].[Année]","[Master_1].[Année].&amp;["&amp;$B$20&amp;"]")="",NA(),GETPIVOTDATA("[Measures].[Sum of Montant]",Analyse!$A$58,"[Master_1].[Mois (Name)]","[Master_1].[Mois (Name)].&amp;["&amp;A9&amp;"]","[Master_1].[Année]","[Master_1].[Année].&amp;["&amp;$B$20&amp;"]")),NA())</f>
        <v>1E-4</v>
      </c>
      <c r="D9" s="9">
        <f t="shared" ref="D9:D19" ca="1" si="34">IFERROR(IF(ISNA(C9),NA(),C9),NA())</f>
        <v>1E-4</v>
      </c>
      <c r="E9" s="9">
        <v>0</v>
      </c>
      <c r="F9" s="5" t="e">
        <f t="shared" ref="F9:F19" ca="1" si="35">IFERROR(IF(ISNA(C9),NA(),IF(B9&lt;0,B9,NA())),NA())</f>
        <v>#N/A</v>
      </c>
      <c r="G9" s="5" t="e">
        <f t="shared" ca="1" si="33"/>
        <v>#N/A</v>
      </c>
      <c r="I9" s="9" t="str">
        <f t="shared" si="24"/>
        <v/>
      </c>
      <c r="J9" s="9" t="str" cm="1">
        <f t="array" ref="J9">_xlfn.IFS(RIGHT(Analyse!A112,5)="Total","",Analyse!A112="","",Analyse!A112&lt;&gt;"",Analyse!A112)</f>
        <v/>
      </c>
      <c r="K9" s="9" t="str" cm="1">
        <f t="array" ref="K9">IFERROR(IF(AF9=TbHead[SmallT],100000000,ABS(GETPIVOTDATA("[__Xl2].[Measures].[Sum of Montant]",Analyse!$A$101,"[Master_1].[Cat_2]","[Master_1].[Cat_2].&amp;["&amp;$M$17&amp;"]","[Master_1].[Cat_3]","[Master_1].[Cat_3].&amp;["&amp;J9&amp;"]"))/GETPIVOTDATA("[Measures].[Sum of Montant]",Analyse!$A$82,"[Master_1].[Cat_2]","[Master_1].[Cat_2].&amp;["&amp; WB_Data!$J$2 &amp; "]")),"")</f>
        <v/>
      </c>
      <c r="L9" s="9"/>
      <c r="M9" s="9"/>
      <c r="N9" s="9" t="str">
        <f t="shared" si="0"/>
        <v/>
      </c>
      <c r="O9" s="87" t="str">
        <f t="shared" si="6"/>
        <v/>
      </c>
      <c r="P9" s="9" t="str">
        <f t="shared" si="1"/>
        <v/>
      </c>
      <c r="Q9" s="9" t="str" cm="1">
        <f t="array" aca="1" ref="Q9" ca="1">IFERROR(INDEX(INDIRECT($M$3),SMALL(IF(INDIRECT($M$2)=R9,ROW(INDIRECT($M$2))),COUNTIF($R$1:R9,R9))),"")</f>
        <v/>
      </c>
      <c r="R9" s="104" t="str">
        <f t="shared" ca="1" si="7"/>
        <v/>
      </c>
      <c r="S9" s="9" t="str" cm="1">
        <f t="array" aca="1" ref="S9" ca="1">IFERROR(INDEX(INDIRECT($L$17),T9,0),"")</f>
        <v/>
      </c>
      <c r="T9" s="5" t="e">
        <f t="shared" ca="1" si="2"/>
        <v>#N/A</v>
      </c>
      <c r="U9" s="5"/>
      <c r="V9" s="97" t="str">
        <f t="shared" si="8"/>
        <v/>
      </c>
      <c r="W9" s="9">
        <f t="shared" si="9"/>
        <v>0</v>
      </c>
      <c r="X9" s="9" t="str">
        <f t="shared" si="10"/>
        <v/>
      </c>
      <c r="Y9" s="9" t="str" cm="1">
        <f t="array" aca="1" ref="Y9" ca="1">IFERROR(INDEX(INDIRECT($U$1),SMALL(IF(INDIRECT($U$2)=Z9,ROW(INDIRECT($U$2))),COUNTIF($Z$1:Z9,Z9))),"")</f>
        <v/>
      </c>
      <c r="Z9" s="9" t="str">
        <f t="shared" ca="1" si="3"/>
        <v/>
      </c>
      <c r="AA9" s="9" t="str" cm="1">
        <f t="array" aca="1" ref="AA9" ca="1">IFERROR(INDEX(INDIRECT($K$17),AB9,0),"")</f>
        <v/>
      </c>
      <c r="AB9" s="5" t="e">
        <f t="shared" ca="1" si="4"/>
        <v>#N/A</v>
      </c>
      <c r="AC9" s="105"/>
      <c r="AD9" s="8"/>
      <c r="AE9" s="96" t="str">
        <f t="shared" si="11"/>
        <v/>
      </c>
      <c r="AF9" s="8" t="str" cm="1">
        <f t="array" ref="AF9">_xlfn.IFS(RIGHT(Analyse!A112,5)="Total","",Analyse!A112="","",Analyse!A112&lt;&gt;"",Analyse!A112)</f>
        <v/>
      </c>
      <c r="AG9" s="8" t="str" cm="1">
        <f t="array" ref="AG9">IFERROR(IF(AF9=TbHead[SmallT],100,GETPIVOTDATA("[Measures].[Sum of Montant]",Analyse!$A$101,"[Master_1].[Cat_2]","[Master_1].[Cat_2].&amp;["&amp; $M$17 &amp; "]","[Master_1].[Cat_3]","[Master_1].[Cat_3].&amp;[" &amp; AF9 &amp; "]")),"")</f>
        <v/>
      </c>
      <c r="AH9" s="8" t="str" cm="1">
        <f t="array" ref="AH9">IFERROR(IF(AF9=TbHead[SmallT],100000000,ABS(GETPIVOTDATA("[__Xl2].[Measures].[Sum of Montant]",Analyse!$A$101,"[Master_1].[Cat_2]","[Master_1].[Cat_2].&amp;["&amp;$M$17&amp;"]","[Master_1].[Cat_3]","[Master_1].[Cat_3].&amp;["&amp;ControlChart!AF9&amp;"]"))),"")</f>
        <v/>
      </c>
      <c r="AI9" s="8"/>
      <c r="AJ9" s="8" t="str" cm="1">
        <f t="array" ref="AJ9">IFERROR(INDEX($AF$1:$AF$16,SMALL(IF($AG$1:$AG$16=AK9,ROW($AG$1:$AG$16)),COUNTIF($AK$1:AK9,AK9))),"")</f>
        <v/>
      </c>
      <c r="AK9" s="107" t="str">
        <f t="shared" si="12"/>
        <v/>
      </c>
      <c r="AL9" s="106" t="str">
        <f t="shared" si="13"/>
        <v/>
      </c>
      <c r="AM9" s="8" t="str">
        <f t="shared" si="14"/>
        <v/>
      </c>
      <c r="AN9" s="8"/>
      <c r="AR9" s="9" t="str">
        <f ca="1">Library!R25</f>
        <v>Aug</v>
      </c>
      <c r="AS9" s="302">
        <f ca="1">IFERROR(GETPIVOTDATA("[Measures].[Sum of Montant]",Analyse!$Q$113,"[Master_1].[Année]","[Master_1].[Année].&amp;["&amp;$AV$1&amp;"]","[Master_1].[Cat_3]","[Master_1].[Cat_3].&amp;["&amp;$AS$1&amp;"]","[Master_1].[Mois (Name)]","[Master_1].[Mois (Name)].&amp;["&amp;AR9&amp;"]"),NA())</f>
        <v>1.0000000000000001E-5</v>
      </c>
      <c r="AT9" s="302">
        <f ca="1">IFERROR(GETPIVOTDATA("[Measures].[Sum of Montant]",Analyse!$Q$137,"[Master_1].[Année]","[Master_1].[Année].&amp;["&amp;ControlChart!$AV$1&amp;"]","[Master_1].[Cat_3]","[Master_1].[Cat_3].&amp;["&amp;ControlChart!$AS$1&amp;"]","[Master_1].[Mois (Name)]","[Master_1].[Mois (Name)].&amp;["&amp;ControlChart!AR9&amp;"]"),NA())</f>
        <v>1.0000000000000001E-5</v>
      </c>
      <c r="AU9" s="302" t="e">
        <f ca="1">IFERROR(GETPIVOTDATA("[Measures].[Sum of Montant]",Analyse!$Q$113,"[Master_1].[Année]","[Master_1].[Année].&amp;["&amp;$AU$1&amp;"]","[Master_1].[Cat_3]","[Master_1].[Cat_3].&amp;["&amp;$AS$1&amp;"]","[Master_1].[Mois (Name)]","[Master_1].[Mois (Name)].&amp;["&amp;AR9&amp;"]"),NA())</f>
        <v>#N/A</v>
      </c>
      <c r="AV9" s="302">
        <f t="shared" ca="1" si="25"/>
        <v>1.0000000000000001E-5</v>
      </c>
      <c r="AW9" s="302">
        <f t="shared" ca="1" si="26"/>
        <v>1.0000000000000001E-5</v>
      </c>
      <c r="AX9" s="302" t="e">
        <f t="shared" ca="1" si="27"/>
        <v>#N/A</v>
      </c>
      <c r="AY9" s="302">
        <f t="shared" ca="1" si="28"/>
        <v>1.0000000000000001E-5</v>
      </c>
      <c r="AZ9" s="302" t="e">
        <f t="shared" ca="1" si="29"/>
        <v>#N/A</v>
      </c>
      <c r="BA9" t="str">
        <f t="shared" ca="1" si="15"/>
        <v/>
      </c>
      <c r="BC9" s="16" cm="1">
        <f t="array" ref="BC9">IF(Analyse!A282=TbHead[GrandT],NA(),Analyse!A282)</f>
        <v>0</v>
      </c>
      <c r="BD9" s="16" cm="1">
        <f t="array" ref="BD9">_xlfn.IFS(ISNA(BC9),0,BC9=0,0,BC9&lt;&gt;"",1)</f>
        <v>0</v>
      </c>
      <c r="BE9" s="16" t="e">
        <f>IFERROR(IF(BD9=0,NA(),GETPIVOTDATA("[Measures].[Sum of Montant]",Analyse!$A$273,"[Master_1].[Cat_2]","[Master_1].[Cat_2].&amp;["&amp;ControlChart!BC9&amp;"]")),NA())</f>
        <v>#N/A</v>
      </c>
      <c r="BF9" s="16" cm="1">
        <f t="array" aca="1" ref="BF9" ca="1">IFERROR(INDEX(INDIRECT($BF$14),SMALL(IF(INDIRECT($BE$14)=BG9,ROW(INDIRECT($BE$14))),COUNTIF($BG$1:BG9,BG9))),0)</f>
        <v>0</v>
      </c>
      <c r="BG9" s="111" t="e">
        <f ca="1">IF(ISNA(BE9),NA(),LARGE(INDIRECT($BE$14),SUM($BD$1:BD9)))</f>
        <v>#N/A</v>
      </c>
      <c r="BH9" s="16">
        <f t="shared" ca="1" si="5"/>
        <v>0</v>
      </c>
      <c r="BI9" s="16" t="e">
        <f t="shared" ca="1" si="16"/>
        <v>#N/A</v>
      </c>
      <c r="BJ9" s="16"/>
      <c r="BK9" s="16" t="e">
        <f>IF(BL9="",NA(),IF(AND(BL9&lt;&gt;"",BJ9=""),Library!$A$227,BJ9))</f>
        <v>#N/A</v>
      </c>
      <c r="BL9" s="111"/>
      <c r="BM9" s="111" t="e" cm="1">
        <f t="array" ref="BM9">IFERROR(_xlfn.IFS(BL9="",NA(),BL9&gt;1,1,BL9&gt;=0,BL9),NA())</f>
        <v>#N/A</v>
      </c>
      <c r="BN9" s="16" t="e">
        <f>IF(BM9&lt;&gt;"",IF(SUM($BM$1:BM9)&gt;100%,"",SUM($BM$1:BM9)),NA())</f>
        <v>#N/A</v>
      </c>
      <c r="BO9" s="16" t="e">
        <f t="shared" si="30"/>
        <v>#N/A</v>
      </c>
      <c r="BP9" s="110" t="e">
        <f t="shared" si="31"/>
        <v>#N/A</v>
      </c>
      <c r="BQ9" s="112" t="e">
        <f t="shared" si="32"/>
        <v>#N/A</v>
      </c>
      <c r="BR9" s="114"/>
      <c r="CJ9" s="5"/>
      <c r="CK9" s="5"/>
      <c r="CL9" s="144" t="str">
        <f ca="1">Library!R25</f>
        <v>Aug</v>
      </c>
      <c r="CM9" s="9">
        <f ca="1">IFERROR(GETPIVOTDATA("[Measures].[Sum of Montant]",Analyse!$A$333,"[Master_1].[Mois (Name)]","[Master_1].[Mois (Name)].&amp;["&amp;CL9&amp;"]"),"")</f>
        <v>9.0000000000000006E-5</v>
      </c>
      <c r="EV9" s="5">
        <v>2032</v>
      </c>
      <c r="EW9" s="311">
        <v>0.01</v>
      </c>
      <c r="EX9" s="311">
        <v>0.01</v>
      </c>
      <c r="EY9" s="311">
        <v>0.01</v>
      </c>
      <c r="EZ9" s="29"/>
      <c r="FA9" s="5"/>
      <c r="FB9" s="311"/>
      <c r="FC9" s="311"/>
      <c r="FD9" s="311"/>
    </row>
    <row r="10" spans="1:177" x14ac:dyDescent="0.25">
      <c r="A10" s="9" t="str">
        <f ca="1">Library!R20</f>
        <v>Mar</v>
      </c>
      <c r="B10" s="9">
        <f ca="1">IFERROR(IF(GETPIVOTDATA("[Measures].[Sum of Montant]",Analyse!$A$36,"[Master_1].[Mois (Name)]","[Master_1].[Mois (Name)].&amp;["&amp;A10&amp;"]","[Master_1].[Année]","[Master_1].[Année].&amp;["&amp;$B$20&amp;"]")="",NA(),GETPIVOTDATA("[Measures].[Sum of Montant]",Analyse!$A$36,"[Master_1].[Mois (Name)]","[Master_1].[Mois (Name)].&amp;["&amp;A10&amp;"]","[Master_1].[Année]","[Master_1].[Année].&amp;["&amp;$B$20&amp;"]")),NA())</f>
        <v>1E-4</v>
      </c>
      <c r="C10" s="9">
        <f ca="1">IFERROR(IF(GETPIVOTDATA("[Measures].[Sum of Montant]",Analyse!$A$58,"[Master_1].[Mois (Name)]","[Master_1].[Mois (Name)].&amp;["&amp;A10&amp;"]","[Master_1].[Année]","[Master_1].[Année].&amp;["&amp;$B$20&amp;"]")="",NA(),GETPIVOTDATA("[Measures].[Sum of Montant]",Analyse!$A$58,"[Master_1].[Mois (Name)]","[Master_1].[Mois (Name)].&amp;["&amp;A10&amp;"]","[Master_1].[Année]","[Master_1].[Année].&amp;["&amp;$B$20&amp;"]")),NA())</f>
        <v>1E-4</v>
      </c>
      <c r="D10" s="9">
        <f t="shared" ca="1" si="34"/>
        <v>1E-4</v>
      </c>
      <c r="E10" s="9">
        <v>0</v>
      </c>
      <c r="F10" s="5" t="e">
        <f t="shared" ca="1" si="35"/>
        <v>#N/A</v>
      </c>
      <c r="G10" s="5" t="e">
        <f t="shared" ca="1" si="33"/>
        <v>#N/A</v>
      </c>
      <c r="I10" s="9" t="str">
        <f t="shared" si="24"/>
        <v/>
      </c>
      <c r="J10" s="9" t="str" cm="1">
        <f t="array" ref="J10">_xlfn.IFS(RIGHT(Analyse!A113,5)="Total","",Analyse!A113="","",Analyse!A113&lt;&gt;"",Analyse!A113)</f>
        <v/>
      </c>
      <c r="K10" s="9" t="str" cm="1">
        <f t="array" ref="K10">IFERROR(IF(AF10=TbHead[SmallT],100000000,ABS(GETPIVOTDATA("[__Xl2].[Measures].[Sum of Montant]",Analyse!$A$101,"[Master_1].[Cat_2]","[Master_1].[Cat_2].&amp;["&amp;$M$17&amp;"]","[Master_1].[Cat_3]","[Master_1].[Cat_3].&amp;["&amp;J10&amp;"]"))/GETPIVOTDATA("[Measures].[Sum of Montant]",Analyse!$A$82,"[Master_1].[Cat_2]","[Master_1].[Cat_2].&amp;["&amp; WB_Data!$J$2 &amp; "]")),"")</f>
        <v/>
      </c>
      <c r="L10" s="9"/>
      <c r="M10" s="9"/>
      <c r="N10" s="9" t="str">
        <f t="shared" si="0"/>
        <v/>
      </c>
      <c r="O10" s="87" t="str">
        <f t="shared" si="6"/>
        <v/>
      </c>
      <c r="P10" s="9" t="str">
        <f t="shared" si="1"/>
        <v/>
      </c>
      <c r="Q10" s="9" t="str" cm="1">
        <f t="array" aca="1" ref="Q10" ca="1">IFERROR(INDEX(INDIRECT($M$3),SMALL(IF(INDIRECT($M$2)=R10,ROW(INDIRECT($M$2))),COUNTIF($R$1:R10,R10))),"")</f>
        <v/>
      </c>
      <c r="R10" s="104" t="str">
        <f t="shared" ca="1" si="7"/>
        <v/>
      </c>
      <c r="S10" s="9" t="str" cm="1">
        <f t="array" aca="1" ref="S10" ca="1">IFERROR(INDEX(INDIRECT($L$17),T10,0),"")</f>
        <v/>
      </c>
      <c r="T10" s="5" t="e">
        <f t="shared" ca="1" si="2"/>
        <v>#N/A</v>
      </c>
      <c r="U10" s="5"/>
      <c r="V10" s="97" t="str">
        <f t="shared" si="8"/>
        <v/>
      </c>
      <c r="W10" s="9">
        <f t="shared" si="9"/>
        <v>0</v>
      </c>
      <c r="X10" s="9" t="str">
        <f t="shared" si="10"/>
        <v/>
      </c>
      <c r="Y10" s="9" t="str" cm="1">
        <f t="array" aca="1" ref="Y10" ca="1">IFERROR(INDEX(INDIRECT($U$1),SMALL(IF(INDIRECT($U$2)=Z10,ROW(INDIRECT($U$2))),COUNTIF($Z$1:Z10,Z10))),"")</f>
        <v/>
      </c>
      <c r="Z10" s="9" t="str">
        <f t="shared" ca="1" si="3"/>
        <v/>
      </c>
      <c r="AA10" s="9" t="str" cm="1">
        <f t="array" aca="1" ref="AA10" ca="1">IFERROR(INDEX(INDIRECT($K$17),AB10,0),"")</f>
        <v/>
      </c>
      <c r="AB10" s="5" t="e">
        <f t="shared" ca="1" si="4"/>
        <v>#N/A</v>
      </c>
      <c r="AC10" s="105"/>
      <c r="AD10" s="8"/>
      <c r="AE10" s="96" t="str">
        <f t="shared" si="11"/>
        <v/>
      </c>
      <c r="AF10" s="8" t="str" cm="1">
        <f t="array" ref="AF10">_xlfn.IFS(RIGHT(Analyse!A113,5)="Total","",Analyse!A113="","",Analyse!A113&lt;&gt;"",Analyse!A113)</f>
        <v/>
      </c>
      <c r="AG10" s="8" t="str" cm="1">
        <f t="array" ref="AG10">IFERROR(IF(AF10=TbHead[SmallT],100,GETPIVOTDATA("[Measures].[Sum of Montant]",Analyse!$A$101,"[Master_1].[Cat_2]","[Master_1].[Cat_2].&amp;["&amp; $M$17 &amp; "]","[Master_1].[Cat_3]","[Master_1].[Cat_3].&amp;[" &amp; AF10 &amp; "]")),"")</f>
        <v/>
      </c>
      <c r="AH10" s="8" t="str" cm="1">
        <f t="array" ref="AH10">IFERROR(IF(AF10=TbHead[SmallT],100000000,ABS(GETPIVOTDATA("[__Xl2].[Measures].[Sum of Montant]",Analyse!$A$101,"[Master_1].[Cat_2]","[Master_1].[Cat_2].&amp;["&amp;$M$17&amp;"]","[Master_1].[Cat_3]","[Master_1].[Cat_3].&amp;["&amp;ControlChart!AF10&amp;"]"))),"")</f>
        <v/>
      </c>
      <c r="AI10" s="8"/>
      <c r="AJ10" s="8" t="str" cm="1">
        <f t="array" ref="AJ10">IFERROR(INDEX($AF$1:$AF$16,SMALL(IF($AG$1:$AG$16=AK10,ROW($AG$1:$AG$16)),COUNTIF($AK$1:AK10,AK10))),"")</f>
        <v/>
      </c>
      <c r="AK10" s="107" t="str">
        <f t="shared" si="12"/>
        <v/>
      </c>
      <c r="AL10" s="106" t="str">
        <f t="shared" si="13"/>
        <v/>
      </c>
      <c r="AM10" s="8" t="str">
        <f t="shared" si="14"/>
        <v/>
      </c>
      <c r="AN10" s="8"/>
      <c r="AR10" s="9" t="str">
        <f ca="1">Library!R26</f>
        <v>Sep</v>
      </c>
      <c r="AS10" s="302">
        <f ca="1">IFERROR(GETPIVOTDATA("[Measures].[Sum of Montant]",Analyse!$Q$113,"[Master_1].[Année]","[Master_1].[Année].&amp;["&amp;$AV$1&amp;"]","[Master_1].[Cat_3]","[Master_1].[Cat_3].&amp;["&amp;$AS$1&amp;"]","[Master_1].[Mois (Name)]","[Master_1].[Mois (Name)].&amp;["&amp;AR10&amp;"]"),NA())</f>
        <v>1.0000000000000001E-5</v>
      </c>
      <c r="AT10" s="302">
        <f ca="1">IFERROR(GETPIVOTDATA("[Measures].[Sum of Montant]",Analyse!$Q$137,"[Master_1].[Année]","[Master_1].[Année].&amp;["&amp;ControlChart!$AV$1&amp;"]","[Master_1].[Cat_3]","[Master_1].[Cat_3].&amp;["&amp;ControlChart!$AS$1&amp;"]","[Master_1].[Mois (Name)]","[Master_1].[Mois (Name)].&amp;["&amp;ControlChart!AR10&amp;"]"),NA())</f>
        <v>1.0000000000000001E-5</v>
      </c>
      <c r="AU10" s="302" t="e">
        <f ca="1">IFERROR(GETPIVOTDATA("[Measures].[Sum of Montant]",Analyse!$Q$113,"[Master_1].[Année]","[Master_1].[Année].&amp;["&amp;$AU$1&amp;"]","[Master_1].[Cat_3]","[Master_1].[Cat_3].&amp;["&amp;$AS$1&amp;"]","[Master_1].[Mois (Name)]","[Master_1].[Mois (Name)].&amp;["&amp;AR10&amp;"]"),NA())</f>
        <v>#N/A</v>
      </c>
      <c r="AV10" s="302">
        <f t="shared" ca="1" si="25"/>
        <v>1.0000000000000001E-5</v>
      </c>
      <c r="AW10" s="302">
        <f t="shared" ca="1" si="26"/>
        <v>1.0000000000000001E-5</v>
      </c>
      <c r="AX10" s="302" t="e">
        <f t="shared" ca="1" si="27"/>
        <v>#N/A</v>
      </c>
      <c r="AY10" s="302">
        <f t="shared" ca="1" si="28"/>
        <v>1.0000000000000001E-5</v>
      </c>
      <c r="AZ10" s="302" t="e">
        <f t="shared" ca="1" si="29"/>
        <v>#N/A</v>
      </c>
      <c r="BA10" t="str">
        <f t="shared" ca="1" si="15"/>
        <v/>
      </c>
      <c r="BC10" s="16" cm="1">
        <f t="array" ref="BC10">IF(Analyse!A283=TbHead[GrandT],NA(),Analyse!A283)</f>
        <v>0</v>
      </c>
      <c r="BD10" s="16" cm="1">
        <f t="array" ref="BD10">_xlfn.IFS(ISNA(BC10),0,BC10=0,0,BC10&lt;&gt;"",1)</f>
        <v>0</v>
      </c>
      <c r="BE10" s="16" t="e">
        <f>IFERROR(IF(BD10=0,NA(),GETPIVOTDATA("[Measures].[Sum of Montant]",Analyse!$A$273,"[Master_1].[Cat_2]","[Master_1].[Cat_2].&amp;["&amp;ControlChart!BC10&amp;"]")),NA())</f>
        <v>#N/A</v>
      </c>
      <c r="BF10" s="16" cm="1">
        <f t="array" aca="1" ref="BF10" ca="1">IFERROR(INDEX(INDIRECT($BF$14),SMALL(IF(INDIRECT($BE$14)=BG10,ROW(INDIRECT($BE$14))),COUNTIF($BG$1:BG10,BG10))),0)</f>
        <v>0</v>
      </c>
      <c r="BG10" s="111" t="e">
        <f ca="1">IF(ISNA(BE10),NA(),LARGE(INDIRECT($BE$14),SUM($BD$1:BD10)))</f>
        <v>#N/A</v>
      </c>
      <c r="BH10" s="16">
        <f t="shared" ca="1" si="5"/>
        <v>0</v>
      </c>
      <c r="BI10" s="16" t="e">
        <f t="shared" ca="1" si="16"/>
        <v>#N/A</v>
      </c>
      <c r="BJ10" s="16"/>
      <c r="BK10" s="16" t="e">
        <f>IF(BL10="",NA(),IF(AND(BL10&lt;&gt;"",BJ10=""),Library!$A$227,BJ10))</f>
        <v>#N/A</v>
      </c>
      <c r="BL10" s="111"/>
      <c r="BM10" s="111" t="e" cm="1">
        <f t="array" ref="BM10">IFERROR(_xlfn.IFS(BL10="",NA(),BL10&gt;1,1,BL10&gt;=0,BL10),NA())</f>
        <v>#N/A</v>
      </c>
      <c r="BN10" s="16" t="e">
        <f>IF(BM10&lt;&gt;"",IF(SUM($BM$1:BM10)&gt;100%,"",SUM($BM$1:BM10)),NA())</f>
        <v>#N/A</v>
      </c>
      <c r="BO10" s="16" t="e">
        <f t="shared" si="30"/>
        <v>#N/A</v>
      </c>
      <c r="BP10" s="110" t="e">
        <f t="shared" si="31"/>
        <v>#N/A</v>
      </c>
      <c r="BQ10" s="112" t="e">
        <f t="shared" si="32"/>
        <v>#N/A</v>
      </c>
      <c r="BR10" s="114"/>
      <c r="CG10" s="27"/>
      <c r="CI10" s="277"/>
      <c r="CJ10" s="5"/>
      <c r="CK10" s="5"/>
      <c r="CL10" s="144" t="str">
        <f ca="1">Library!R26</f>
        <v>Sep</v>
      </c>
      <c r="CM10" s="9">
        <f ca="1">IFERROR(GETPIVOTDATA("[Measures].[Sum of Montant]",Analyse!$A$333,"[Master_1].[Mois (Name)]","[Master_1].[Mois (Name)].&amp;["&amp;CL10&amp;"]"),"")</f>
        <v>1E-4</v>
      </c>
      <c r="CO10" s="27"/>
      <c r="EV10" s="5">
        <v>2033</v>
      </c>
      <c r="EW10" s="311">
        <v>0.01</v>
      </c>
      <c r="EX10" s="311">
        <v>0.01</v>
      </c>
      <c r="EY10" s="311">
        <v>0.01</v>
      </c>
      <c r="EZ10" s="29"/>
      <c r="FA10" s="5"/>
      <c r="FB10" s="311"/>
      <c r="FC10" s="311"/>
      <c r="FD10" s="311"/>
    </row>
    <row r="11" spans="1:177" x14ac:dyDescent="0.25">
      <c r="A11" s="9" t="str">
        <f ca="1">Library!R21</f>
        <v>Apr</v>
      </c>
      <c r="B11" s="9">
        <f ca="1">IFERROR(IF(GETPIVOTDATA("[Measures].[Sum of Montant]",Analyse!$A$36,"[Master_1].[Mois (Name)]","[Master_1].[Mois (Name)].&amp;["&amp;A11&amp;"]","[Master_1].[Année]","[Master_1].[Année].&amp;["&amp;$B$20&amp;"]")="",NA(),GETPIVOTDATA("[Measures].[Sum of Montant]",Analyse!$A$36,"[Master_1].[Mois (Name)]","[Master_1].[Mois (Name)].&amp;["&amp;A11&amp;"]","[Master_1].[Année]","[Master_1].[Année].&amp;["&amp;$B$20&amp;"]")),NA())</f>
        <v>9.0000000000000006E-5</v>
      </c>
      <c r="C11" s="9">
        <f ca="1">IFERROR(IF(GETPIVOTDATA("[Measures].[Sum of Montant]",Analyse!$A$58,"[Master_1].[Mois (Name)]","[Master_1].[Mois (Name)].&amp;["&amp;A11&amp;"]","[Master_1].[Année]","[Master_1].[Année].&amp;["&amp;$B$20&amp;"]")="",NA(),GETPIVOTDATA("[Measures].[Sum of Montant]",Analyse!$A$58,"[Master_1].[Mois (Name)]","[Master_1].[Mois (Name)].&amp;["&amp;A11&amp;"]","[Master_1].[Année]","[Master_1].[Année].&amp;["&amp;$B$20&amp;"]")),NA())</f>
        <v>9.0000000000000006E-5</v>
      </c>
      <c r="D11" s="9">
        <f t="shared" ca="1" si="34"/>
        <v>9.0000000000000006E-5</v>
      </c>
      <c r="E11" s="9">
        <v>0</v>
      </c>
      <c r="F11" s="5" t="e">
        <f t="shared" ca="1" si="35"/>
        <v>#N/A</v>
      </c>
      <c r="G11" s="5" t="e">
        <f t="shared" ca="1" si="33"/>
        <v>#N/A</v>
      </c>
      <c r="I11" s="9" t="str">
        <f t="shared" si="24"/>
        <v/>
      </c>
      <c r="J11" s="9" t="str" cm="1">
        <f t="array" ref="J11">_xlfn.IFS(RIGHT(Analyse!A114,5)="Total","",Analyse!A114="","",Analyse!A114&lt;&gt;"",Analyse!A114)</f>
        <v/>
      </c>
      <c r="K11" s="9" t="str" cm="1">
        <f t="array" ref="K11">IFERROR(IF(AF11=TbHead[SmallT],100000000,ABS(GETPIVOTDATA("[__Xl2].[Measures].[Sum of Montant]",Analyse!$A$101,"[Master_1].[Cat_2]","[Master_1].[Cat_2].&amp;["&amp;$M$17&amp;"]","[Master_1].[Cat_3]","[Master_1].[Cat_3].&amp;["&amp;J11&amp;"]"))/GETPIVOTDATA("[Measures].[Sum of Montant]",Analyse!$A$82,"[Master_1].[Cat_2]","[Master_1].[Cat_2].&amp;["&amp; WB_Data!$J$2 &amp; "]")),"")</f>
        <v/>
      </c>
      <c r="L11" s="9"/>
      <c r="M11" s="9"/>
      <c r="N11" s="9" t="str">
        <f t="shared" si="0"/>
        <v/>
      </c>
      <c r="O11" s="87" t="str">
        <f t="shared" si="6"/>
        <v/>
      </c>
      <c r="P11" s="9" t="str">
        <f t="shared" si="1"/>
        <v/>
      </c>
      <c r="Q11" s="9" t="str" cm="1">
        <f t="array" aca="1" ref="Q11" ca="1">IFERROR(INDEX(INDIRECT($M$3),SMALL(IF(INDIRECT($M$2)=R11,ROW(INDIRECT($M$2))),COUNTIF($R$1:R11,R11))),"")</f>
        <v/>
      </c>
      <c r="R11" s="104" t="str">
        <f t="shared" ca="1" si="7"/>
        <v/>
      </c>
      <c r="S11" s="9" t="str" cm="1">
        <f t="array" aca="1" ref="S11" ca="1">IFERROR(INDEX(INDIRECT($L$17),T11,0),"")</f>
        <v/>
      </c>
      <c r="T11" s="5" t="e">
        <f t="shared" ca="1" si="2"/>
        <v>#N/A</v>
      </c>
      <c r="U11" s="5"/>
      <c r="V11" s="97" t="str">
        <f t="shared" si="8"/>
        <v/>
      </c>
      <c r="W11" s="9">
        <f t="shared" si="9"/>
        <v>0</v>
      </c>
      <c r="X11" s="9" t="str">
        <f t="shared" si="10"/>
        <v/>
      </c>
      <c r="Y11" s="9" t="str" cm="1">
        <f t="array" aca="1" ref="Y11" ca="1">IFERROR(INDEX(INDIRECT($U$1),SMALL(IF(INDIRECT($U$2)=Z11,ROW(INDIRECT($U$2))),COUNTIF($Z$1:Z11,Z11))),"")</f>
        <v/>
      </c>
      <c r="Z11" s="9" t="str">
        <f t="shared" ca="1" si="3"/>
        <v/>
      </c>
      <c r="AA11" s="9" t="str" cm="1">
        <f t="array" aca="1" ref="AA11" ca="1">IFERROR(INDEX(INDIRECT($K$17),AB11,0),"")</f>
        <v/>
      </c>
      <c r="AB11" s="5" t="e">
        <f t="shared" ca="1" si="4"/>
        <v>#N/A</v>
      </c>
      <c r="AC11" s="105"/>
      <c r="AD11" s="8"/>
      <c r="AE11" s="96" t="str">
        <f t="shared" si="11"/>
        <v/>
      </c>
      <c r="AF11" s="8" t="str" cm="1">
        <f t="array" ref="AF11">_xlfn.IFS(RIGHT(Analyse!A114,5)="Total","",Analyse!A114="","",Analyse!A114&lt;&gt;"",Analyse!A114)</f>
        <v/>
      </c>
      <c r="AG11" s="8" t="str" cm="1">
        <f t="array" ref="AG11">IFERROR(IF(AF11=TbHead[SmallT],100,GETPIVOTDATA("[Measures].[Sum of Montant]",Analyse!$A$101,"[Master_1].[Cat_2]","[Master_1].[Cat_2].&amp;["&amp; $M$17 &amp; "]","[Master_1].[Cat_3]","[Master_1].[Cat_3].&amp;[" &amp; AF11 &amp; "]")),"")</f>
        <v/>
      </c>
      <c r="AH11" s="8" t="str" cm="1">
        <f t="array" ref="AH11">IFERROR(IF(AF11=TbHead[SmallT],100000000,ABS(GETPIVOTDATA("[__Xl2].[Measures].[Sum of Montant]",Analyse!$A$101,"[Master_1].[Cat_2]","[Master_1].[Cat_2].&amp;["&amp;$M$17&amp;"]","[Master_1].[Cat_3]","[Master_1].[Cat_3].&amp;["&amp;ControlChart!AF11&amp;"]"))),"")</f>
        <v/>
      </c>
      <c r="AI11" s="8"/>
      <c r="AJ11" s="8" t="str" cm="1">
        <f t="array" ref="AJ11">IFERROR(INDEX($AF$1:$AF$16,SMALL(IF($AG$1:$AG$16=AK11,ROW($AG$1:$AG$16)),COUNTIF($AK$1:AK11,AK11))),"")</f>
        <v/>
      </c>
      <c r="AK11" s="107" t="str">
        <f t="shared" si="12"/>
        <v/>
      </c>
      <c r="AL11" s="106" t="str">
        <f t="shared" si="13"/>
        <v/>
      </c>
      <c r="AM11" s="8" t="str">
        <f t="shared" si="14"/>
        <v/>
      </c>
      <c r="AN11" s="8"/>
      <c r="AR11" s="9" t="str">
        <f ca="1">Library!R27</f>
        <v>Oct</v>
      </c>
      <c r="AS11" s="302">
        <f ca="1">IFERROR(GETPIVOTDATA("[Measures].[Sum of Montant]",Analyse!$Q$113,"[Master_1].[Année]","[Master_1].[Année].&amp;["&amp;$AV$1&amp;"]","[Master_1].[Cat_3]","[Master_1].[Cat_3].&amp;["&amp;$AS$1&amp;"]","[Master_1].[Mois (Name)]","[Master_1].[Mois (Name)].&amp;["&amp;AR11&amp;"]"),NA())</f>
        <v>1.0000000000000001E-5</v>
      </c>
      <c r="AT11" s="302">
        <f ca="1">IFERROR(GETPIVOTDATA("[Measures].[Sum of Montant]",Analyse!$Q$137,"[Master_1].[Année]","[Master_1].[Année].&amp;["&amp;ControlChart!$AV$1&amp;"]","[Master_1].[Cat_3]","[Master_1].[Cat_3].&amp;["&amp;ControlChart!$AS$1&amp;"]","[Master_1].[Mois (Name)]","[Master_1].[Mois (Name)].&amp;["&amp;ControlChart!AR11&amp;"]"),NA())</f>
        <v>1.0000000000000001E-5</v>
      </c>
      <c r="AU11" s="302" t="e">
        <f ca="1">IFERROR(GETPIVOTDATA("[Measures].[Sum of Montant]",Analyse!$Q$113,"[Master_1].[Année]","[Master_1].[Année].&amp;["&amp;$AU$1&amp;"]","[Master_1].[Cat_3]","[Master_1].[Cat_3].&amp;["&amp;$AS$1&amp;"]","[Master_1].[Mois (Name)]","[Master_1].[Mois (Name)].&amp;["&amp;AR11&amp;"]"),NA())</f>
        <v>#N/A</v>
      </c>
      <c r="AV11" s="302">
        <f t="shared" ca="1" si="25"/>
        <v>1.0000000000000001E-5</v>
      </c>
      <c r="AW11" s="302">
        <f t="shared" ca="1" si="26"/>
        <v>1.0000000000000001E-5</v>
      </c>
      <c r="AX11" s="302" t="e">
        <f t="shared" ca="1" si="27"/>
        <v>#N/A</v>
      </c>
      <c r="AY11" s="302">
        <f t="shared" ca="1" si="28"/>
        <v>1.0000000000000001E-5</v>
      </c>
      <c r="AZ11" s="302" t="e">
        <f t="shared" ca="1" si="29"/>
        <v>#N/A</v>
      </c>
      <c r="BA11" t="str">
        <f t="shared" ca="1" si="15"/>
        <v/>
      </c>
      <c r="BC11" s="16" cm="1">
        <f t="array" ref="BC11">IF(Analyse!A284=TbHead[GrandT],NA(),Analyse!A284)</f>
        <v>0</v>
      </c>
      <c r="BD11" s="16" cm="1">
        <f t="array" ref="BD11">_xlfn.IFS(ISNA(BC11),0,BC11=0,0,BC11&lt;&gt;"",1)</f>
        <v>0</v>
      </c>
      <c r="BE11" s="16" t="e">
        <f>IFERROR(IF(BD11=0,NA(),GETPIVOTDATA("[Measures].[Sum of Montant]",Analyse!$A$273,"[Master_1].[Cat_2]","[Master_1].[Cat_2].&amp;["&amp;ControlChart!BC11&amp;"]")),NA())</f>
        <v>#N/A</v>
      </c>
      <c r="BF11" s="16" cm="1">
        <f t="array" aca="1" ref="BF11" ca="1">IFERROR(INDEX(INDIRECT($BF$14),SMALL(IF(INDIRECT($BE$14)=BG11,ROW(INDIRECT($BE$14))),COUNTIF($BG$1:BG11,BG11))),0)</f>
        <v>0</v>
      </c>
      <c r="BG11" s="111" t="e">
        <f ca="1">IF(ISNA(BE11),NA(),LARGE(INDIRECT($BE$14),SUM($BD$1:BD11)))</f>
        <v>#N/A</v>
      </c>
      <c r="BH11" s="16">
        <f t="shared" ca="1" si="5"/>
        <v>0</v>
      </c>
      <c r="BI11" s="16" t="e">
        <f t="shared" ca="1" si="16"/>
        <v>#N/A</v>
      </c>
      <c r="BJ11" s="16"/>
      <c r="BK11" s="16" t="e">
        <f>IF(BL11="",NA(),IF(AND(BL11&lt;&gt;"",BJ11=""),Library!$A$227,BJ11))</f>
        <v>#N/A</v>
      </c>
      <c r="BL11" s="111"/>
      <c r="BM11" s="111" t="e" cm="1">
        <f t="array" ref="BM11">IFERROR(_xlfn.IFS(BL11="",NA(),BL11&gt;1,1,BL11&gt;=0,BL11),NA())</f>
        <v>#N/A</v>
      </c>
      <c r="BN11" s="16" t="e">
        <f>IF(BM11&lt;&gt;"",IF(SUM($BM$1:BM11)&gt;100%,"",SUM($BM$1:BM11)),NA())</f>
        <v>#N/A</v>
      </c>
      <c r="BO11" s="16" t="e">
        <f t="shared" si="30"/>
        <v>#N/A</v>
      </c>
      <c r="BP11" s="110" t="e">
        <f t="shared" si="31"/>
        <v>#N/A</v>
      </c>
      <c r="BQ11" s="112" t="e">
        <f t="shared" si="32"/>
        <v>#N/A</v>
      </c>
      <c r="BR11" s="114"/>
      <c r="CJ11" s="5"/>
      <c r="CK11" s="5"/>
      <c r="CL11" s="144" t="str">
        <f ca="1">Library!R27</f>
        <v>Oct</v>
      </c>
      <c r="CM11" s="9">
        <f ca="1">IFERROR(GETPIVOTDATA("[Measures].[Sum of Montant]",Analyse!$A$333,"[Master_1].[Mois (Name)]","[Master_1].[Mois (Name)].&amp;["&amp;CL11&amp;"]"),"")</f>
        <v>9.0000000000000006E-5</v>
      </c>
      <c r="EV11" s="5">
        <v>2034</v>
      </c>
      <c r="EW11" s="311">
        <v>0.01</v>
      </c>
      <c r="EX11" s="311">
        <v>0.01</v>
      </c>
      <c r="EY11" s="311">
        <v>0.01</v>
      </c>
      <c r="EZ11" s="29"/>
      <c r="FA11" s="5"/>
      <c r="FB11" s="311"/>
      <c r="FC11" s="311"/>
      <c r="FD11" s="311"/>
    </row>
    <row r="12" spans="1:177" x14ac:dyDescent="0.25">
      <c r="A12" s="9" t="str">
        <f ca="1">Library!R22</f>
        <v>May</v>
      </c>
      <c r="B12" s="9">
        <f ca="1">IFERROR(IF(GETPIVOTDATA("[Measures].[Sum of Montant]",Analyse!$A$36,"[Master_1].[Mois (Name)]","[Master_1].[Mois (Name)].&amp;["&amp;A12&amp;"]","[Master_1].[Année]","[Master_1].[Année].&amp;["&amp;$B$20&amp;"]")="",NA(),GETPIVOTDATA("[Measures].[Sum of Montant]",Analyse!$A$36,"[Master_1].[Mois (Name)]","[Master_1].[Mois (Name)].&amp;["&amp;A12&amp;"]","[Master_1].[Année]","[Master_1].[Année].&amp;["&amp;$B$20&amp;"]")),NA())</f>
        <v>9.0000000000000006E-5</v>
      </c>
      <c r="C12" s="9">
        <f ca="1">IFERROR(IF(GETPIVOTDATA("[Measures].[Sum of Montant]",Analyse!$A$58,"[Master_1].[Mois (Name)]","[Master_1].[Mois (Name)].&amp;["&amp;A12&amp;"]","[Master_1].[Année]","[Master_1].[Année].&amp;["&amp;$B$20&amp;"]")="",NA(),GETPIVOTDATA("[Measures].[Sum of Montant]",Analyse!$A$58,"[Master_1].[Mois (Name)]","[Master_1].[Mois (Name)].&amp;["&amp;A12&amp;"]","[Master_1].[Année]","[Master_1].[Année].&amp;["&amp;$B$20&amp;"]")),NA())</f>
        <v>9.0000000000000006E-5</v>
      </c>
      <c r="D12" s="9">
        <f t="shared" ca="1" si="34"/>
        <v>9.0000000000000006E-5</v>
      </c>
      <c r="E12" s="9">
        <v>0</v>
      </c>
      <c r="F12" s="5" t="e">
        <f t="shared" ca="1" si="35"/>
        <v>#N/A</v>
      </c>
      <c r="G12" s="5" t="e">
        <f t="shared" ca="1" si="33"/>
        <v>#N/A</v>
      </c>
      <c r="I12" s="9" t="str">
        <f t="shared" si="24"/>
        <v/>
      </c>
      <c r="J12" s="9" t="str" cm="1">
        <f t="array" ref="J12">_xlfn.IFS(RIGHT(Analyse!A115,5)="Total","",Analyse!A115="","",Analyse!A115&lt;&gt;"",Analyse!A115)</f>
        <v/>
      </c>
      <c r="K12" s="9" t="str" cm="1">
        <f t="array" ref="K12">IFERROR(IF(AF12=TbHead[SmallT],100000000,ABS(GETPIVOTDATA("[__Xl2].[Measures].[Sum of Montant]",Analyse!$A$101,"[Master_1].[Cat_2]","[Master_1].[Cat_2].&amp;["&amp;$M$17&amp;"]","[Master_1].[Cat_3]","[Master_1].[Cat_3].&amp;["&amp;J12&amp;"]"))/GETPIVOTDATA("[Measures].[Sum of Montant]",Analyse!$A$82,"[Master_1].[Cat_2]","[Master_1].[Cat_2].&amp;["&amp; WB_Data!$J$2 &amp; "]")),"")</f>
        <v/>
      </c>
      <c r="L12" s="9"/>
      <c r="M12" s="9"/>
      <c r="N12" s="9" t="str">
        <f t="shared" si="0"/>
        <v/>
      </c>
      <c r="O12" s="87" t="str">
        <f t="shared" si="6"/>
        <v/>
      </c>
      <c r="P12" s="9" t="str">
        <f t="shared" si="1"/>
        <v/>
      </c>
      <c r="Q12" s="9" t="str" cm="1">
        <f t="array" aca="1" ref="Q12" ca="1">IFERROR(INDEX(INDIRECT($M$3),SMALL(IF(INDIRECT($M$2)=R12,ROW(INDIRECT($M$2))),COUNTIF($R$1:R12,R12))),"")</f>
        <v/>
      </c>
      <c r="R12" s="104" t="str">
        <f t="shared" ca="1" si="7"/>
        <v/>
      </c>
      <c r="S12" s="9" t="str" cm="1">
        <f t="array" aca="1" ref="S12" ca="1">IFERROR(INDEX(INDIRECT($L$17),T12,0),"")</f>
        <v/>
      </c>
      <c r="T12" s="5" t="e">
        <f t="shared" ca="1" si="2"/>
        <v>#N/A</v>
      </c>
      <c r="U12" s="5"/>
      <c r="V12" s="97" t="str">
        <f t="shared" si="8"/>
        <v/>
      </c>
      <c r="W12" s="9">
        <f t="shared" si="9"/>
        <v>0</v>
      </c>
      <c r="X12" s="9" t="str">
        <f t="shared" si="10"/>
        <v/>
      </c>
      <c r="Y12" s="9" t="str" cm="1">
        <f t="array" aca="1" ref="Y12" ca="1">IFERROR(INDEX(INDIRECT($U$1),SMALL(IF(INDIRECT($U$2)=Z12,ROW(INDIRECT($U$2))),COUNTIF($Z$1:Z12,Z12))),"")</f>
        <v/>
      </c>
      <c r="Z12" s="9" t="str">
        <f t="shared" ca="1" si="3"/>
        <v/>
      </c>
      <c r="AA12" s="9" t="str" cm="1">
        <f t="array" aca="1" ref="AA12" ca="1">IFERROR(INDEX(INDIRECT($K$17),AB12,0),"")</f>
        <v/>
      </c>
      <c r="AB12" s="5" t="e">
        <f t="shared" ca="1" si="4"/>
        <v>#N/A</v>
      </c>
      <c r="AC12" s="105"/>
      <c r="AD12" s="8"/>
      <c r="AE12" s="96" t="str">
        <f t="shared" si="11"/>
        <v/>
      </c>
      <c r="AF12" s="8" t="str" cm="1">
        <f t="array" ref="AF12">_xlfn.IFS(RIGHT(Analyse!A115,5)="Total","",Analyse!A115="","",Analyse!A115&lt;&gt;"",Analyse!A115)</f>
        <v/>
      </c>
      <c r="AG12" s="8" t="str" cm="1">
        <f t="array" ref="AG12">IFERROR(IF(AF12=TbHead[SmallT],100,GETPIVOTDATA("[Measures].[Sum of Montant]",Analyse!$A$101,"[Master_1].[Cat_2]","[Master_1].[Cat_2].&amp;["&amp; $M$17 &amp; "]","[Master_1].[Cat_3]","[Master_1].[Cat_3].&amp;[" &amp; AF12 &amp; "]")),"")</f>
        <v/>
      </c>
      <c r="AH12" s="8" t="str" cm="1">
        <f t="array" ref="AH12">IFERROR(IF(AF12=TbHead[SmallT],100000000,ABS(GETPIVOTDATA("[__Xl2].[Measures].[Sum of Montant]",Analyse!$A$101,"[Master_1].[Cat_2]","[Master_1].[Cat_2].&amp;["&amp;$M$17&amp;"]","[Master_1].[Cat_3]","[Master_1].[Cat_3].&amp;["&amp;ControlChart!AF12&amp;"]"))),"")</f>
        <v/>
      </c>
      <c r="AI12" s="8"/>
      <c r="AJ12" s="8" t="str" cm="1">
        <f t="array" ref="AJ12">IFERROR(INDEX($AF$1:$AF$16,SMALL(IF($AG$1:$AG$16=AK12,ROW($AG$1:$AG$16)),COUNTIF($AK$1:AK12,AK12))),"")</f>
        <v/>
      </c>
      <c r="AK12" s="107" t="str">
        <f t="shared" si="12"/>
        <v/>
      </c>
      <c r="AL12" s="106" t="str">
        <f t="shared" si="13"/>
        <v/>
      </c>
      <c r="AM12" s="8" t="str">
        <f t="shared" si="14"/>
        <v/>
      </c>
      <c r="AN12" s="8"/>
      <c r="AR12" s="9" t="str">
        <f ca="1">Library!R28</f>
        <v>Nov</v>
      </c>
      <c r="AS12" s="302">
        <f ca="1">IFERROR(GETPIVOTDATA("[Measures].[Sum of Montant]",Analyse!$Q$113,"[Master_1].[Année]","[Master_1].[Année].&amp;["&amp;$AV$1&amp;"]","[Master_1].[Cat_3]","[Master_1].[Cat_3].&amp;["&amp;$AS$1&amp;"]","[Master_1].[Mois (Name)]","[Master_1].[Mois (Name)].&amp;["&amp;AR12&amp;"]"),NA())</f>
        <v>1.0000000000000001E-5</v>
      </c>
      <c r="AT12" s="302">
        <f ca="1">IFERROR(GETPIVOTDATA("[Measures].[Sum of Montant]",Analyse!$Q$137,"[Master_1].[Année]","[Master_1].[Année].&amp;["&amp;ControlChart!$AV$1&amp;"]","[Master_1].[Cat_3]","[Master_1].[Cat_3].&amp;["&amp;ControlChart!$AS$1&amp;"]","[Master_1].[Mois (Name)]","[Master_1].[Mois (Name)].&amp;["&amp;ControlChart!AR12&amp;"]"),NA())</f>
        <v>1.0000000000000001E-5</v>
      </c>
      <c r="AU12" s="302" t="e">
        <f ca="1">IFERROR(GETPIVOTDATA("[Measures].[Sum of Montant]",Analyse!$Q$113,"[Master_1].[Année]","[Master_1].[Année].&amp;["&amp;$AU$1&amp;"]","[Master_1].[Cat_3]","[Master_1].[Cat_3].&amp;["&amp;$AS$1&amp;"]","[Master_1].[Mois (Name)]","[Master_1].[Mois (Name)].&amp;["&amp;AR12&amp;"]"),NA())</f>
        <v>#N/A</v>
      </c>
      <c r="AV12" s="302">
        <f t="shared" ca="1" si="25"/>
        <v>1.0000000000000001E-5</v>
      </c>
      <c r="AW12" s="302">
        <f t="shared" ca="1" si="26"/>
        <v>1.0000000000000001E-5</v>
      </c>
      <c r="AX12" s="302" t="e">
        <f t="shared" ca="1" si="27"/>
        <v>#N/A</v>
      </c>
      <c r="AY12" s="302">
        <f t="shared" ca="1" si="28"/>
        <v>1.0000000000000001E-5</v>
      </c>
      <c r="AZ12" s="302" t="e">
        <f t="shared" ca="1" si="29"/>
        <v>#N/A</v>
      </c>
      <c r="BA12" t="str">
        <f t="shared" ca="1" si="15"/>
        <v/>
      </c>
      <c r="BC12" s="16" cm="1">
        <f t="array" ref="BC12">IF(Analyse!A285=TbHead[GrandT],NA(),Analyse!A285)</f>
        <v>0</v>
      </c>
      <c r="BD12" s="16" cm="1">
        <f t="array" ref="BD12">_xlfn.IFS(ISNA(BC12),0,BC12=0,0,BC12&lt;&gt;"",1)</f>
        <v>0</v>
      </c>
      <c r="BE12" s="16" t="e">
        <f>IFERROR(IF(BD12=0,NA(),GETPIVOTDATA("[Measures].[Sum of Montant]",Analyse!$A$273,"[Master_1].[Cat_2]","[Master_1].[Cat_2].&amp;["&amp;ControlChart!BC12&amp;"]")),NA())</f>
        <v>#N/A</v>
      </c>
      <c r="BF12" s="16" cm="1">
        <f t="array" aca="1" ref="BF12" ca="1">IFERROR(INDEX(INDIRECT($BF$14),SMALL(IF(INDIRECT($BE$14)=BG12,ROW(INDIRECT($BE$14))),COUNTIF($BG$1:BG12,BG12))),0)</f>
        <v>0</v>
      </c>
      <c r="BG12" s="111" t="e">
        <f ca="1">IF(ISNA(BE12),NA(),LARGE(INDIRECT($BE$14),SUM($BD$1:BD12)))</f>
        <v>#N/A</v>
      </c>
      <c r="BH12" s="16">
        <f t="shared" ca="1" si="5"/>
        <v>0</v>
      </c>
      <c r="BI12" s="16" t="e">
        <f t="shared" ca="1" si="16"/>
        <v>#N/A</v>
      </c>
      <c r="BJ12" s="16"/>
      <c r="BK12" s="16" t="e">
        <f>IF(BL12="",NA(),IF(AND(BL12&lt;&gt;"",BJ12=""),Library!$A$227,BJ12))</f>
        <v>#N/A</v>
      </c>
      <c r="BL12" s="111"/>
      <c r="BM12" s="111" t="e" cm="1">
        <f t="array" ref="BM12">IFERROR(_xlfn.IFS(BL12="",NA(),BL12&gt;1,1,BL12&gt;=0,BL12),NA())</f>
        <v>#N/A</v>
      </c>
      <c r="BN12" s="16" t="e">
        <f>IF(BM12&lt;&gt;"",IF(SUM($BM$1:BM12)&gt;100%,"",SUM($BM$1:BM12)),NA())</f>
        <v>#N/A</v>
      </c>
      <c r="BO12" s="16" t="e">
        <f t="shared" si="30"/>
        <v>#N/A</v>
      </c>
      <c r="BP12" s="110" t="e">
        <f t="shared" si="31"/>
        <v>#N/A</v>
      </c>
      <c r="BQ12" s="112" t="e">
        <f t="shared" si="32"/>
        <v>#N/A</v>
      </c>
      <c r="BR12" s="114"/>
      <c r="BU12" s="9" t="str">
        <f>Analyse!A296</f>
        <v>i1_Income1</v>
      </c>
      <c r="BV12" s="9" t="str">
        <f>Analyse!A297</f>
        <v>i2_Savings</v>
      </c>
      <c r="BW12" s="304">
        <f>IFERROR(GETPIVOTDATA("[Measures].[Sum of Montant]",Analyse!$A$295,"[Master_1].[Cat_2]","[Master_1].[Cat_2].&amp;["&amp;BV12&amp;"]")*(-1),0)</f>
        <v>-1.2000000000000002E-4</v>
      </c>
      <c r="BX12" s="85">
        <f>IFERROR(GETPIVOTDATA("[Measures].[Sum of Montant]",Analyse!$A$295,"[Master_1].[Cat_2]","[Master_1].[Cat_2].&amp;["&amp;BU12&amp;"]"),0)</f>
        <v>1.2000000000000002E-4</v>
      </c>
      <c r="BY12" s="116">
        <f>IFERROR(BW12/BX12,0)</f>
        <v>-1</v>
      </c>
      <c r="BZ12" s="116">
        <f>IFERROR(IF(100%-BY12&gt;=0,100%-BY12,0),0)</f>
        <v>2</v>
      </c>
      <c r="CA12" s="116">
        <f>BY12+100%/(360/30)</f>
        <v>-0.91666666666666663</v>
      </c>
      <c r="CB12" s="116">
        <f>100%-CA12</f>
        <v>1.9166666666666665</v>
      </c>
      <c r="CC12" s="8">
        <f>SIN(CA12*2*PI())</f>
        <v>0.50000000000000044</v>
      </c>
      <c r="CD12" s="8">
        <f>COS(CA12*2*PI())</f>
        <v>0.86602540378443837</v>
      </c>
      <c r="CG12" s="295"/>
      <c r="CJ12" s="5"/>
      <c r="CK12" s="5"/>
      <c r="CL12" s="144" t="str">
        <f ca="1">Library!R28</f>
        <v>Nov</v>
      </c>
      <c r="CM12" s="9">
        <f ca="1">IFERROR(GETPIVOTDATA("[Measures].[Sum of Montant]",Analyse!$A$333,"[Master_1].[Mois (Name)]","[Master_1].[Mois (Name)].&amp;["&amp;CL12&amp;"]"),"")</f>
        <v>9.0000000000000006E-5</v>
      </c>
      <c r="EV12" s="5">
        <v>2035</v>
      </c>
      <c r="EW12" s="311">
        <v>0.01</v>
      </c>
      <c r="EX12" s="311">
        <v>0.01</v>
      </c>
      <c r="EY12" s="311">
        <v>0.01</v>
      </c>
      <c r="EZ12" s="29"/>
      <c r="FA12" s="5"/>
      <c r="FB12" s="311"/>
      <c r="FC12" s="311"/>
      <c r="FD12" s="311"/>
    </row>
    <row r="13" spans="1:177" x14ac:dyDescent="0.25">
      <c r="A13" s="9" t="str">
        <f ca="1">Library!R23</f>
        <v>Jun</v>
      </c>
      <c r="B13" s="9">
        <f ca="1">IFERROR(IF(GETPIVOTDATA("[Measures].[Sum of Montant]",Analyse!$A$36,"[Master_1].[Mois (Name)]","[Master_1].[Mois (Name)].&amp;["&amp;A13&amp;"]","[Master_1].[Année]","[Master_1].[Année].&amp;["&amp;$B$20&amp;"]")="",NA(),GETPIVOTDATA("[Measures].[Sum of Montant]",Analyse!$A$36,"[Master_1].[Mois (Name)]","[Master_1].[Mois (Name)].&amp;["&amp;A13&amp;"]","[Master_1].[Année]","[Master_1].[Année].&amp;["&amp;$B$20&amp;"]")),NA())</f>
        <v>9.0000000000000006E-5</v>
      </c>
      <c r="C13" s="9">
        <f ca="1">IFERROR(IF(GETPIVOTDATA("[Measures].[Sum of Montant]",Analyse!$A$58,"[Master_1].[Mois (Name)]","[Master_1].[Mois (Name)].&amp;["&amp;A13&amp;"]","[Master_1].[Année]","[Master_1].[Année].&amp;["&amp;$B$20&amp;"]")="",NA(),GETPIVOTDATA("[Measures].[Sum of Montant]",Analyse!$A$58,"[Master_1].[Mois (Name)]","[Master_1].[Mois (Name)].&amp;["&amp;A13&amp;"]","[Master_1].[Année]","[Master_1].[Année].&amp;["&amp;$B$20&amp;"]")),NA())</f>
        <v>9.0000000000000006E-5</v>
      </c>
      <c r="D13" s="9">
        <f t="shared" ca="1" si="34"/>
        <v>9.0000000000000006E-5</v>
      </c>
      <c r="E13" s="9">
        <v>0</v>
      </c>
      <c r="F13" s="5" t="e">
        <f t="shared" ca="1" si="35"/>
        <v>#N/A</v>
      </c>
      <c r="G13" s="5" t="e">
        <f t="shared" ca="1" si="33"/>
        <v>#N/A</v>
      </c>
      <c r="I13" s="9" t="str">
        <f t="shared" si="24"/>
        <v/>
      </c>
      <c r="J13" s="9" t="str" cm="1">
        <f t="array" ref="J13">_xlfn.IFS(RIGHT(Analyse!A116,5)="Total","",Analyse!A116="","",Analyse!A116&lt;&gt;"",Analyse!A116)</f>
        <v/>
      </c>
      <c r="K13" s="9" t="str" cm="1">
        <f t="array" ref="K13">IFERROR(IF(AF13=TbHead[SmallT],100000000,ABS(GETPIVOTDATA("[__Xl2].[Measures].[Sum of Montant]",Analyse!$A$101,"[Master_1].[Cat_2]","[Master_1].[Cat_2].&amp;["&amp;$M$17&amp;"]","[Master_1].[Cat_3]","[Master_1].[Cat_3].&amp;["&amp;J13&amp;"]"))/GETPIVOTDATA("[Measures].[Sum of Montant]",Analyse!$A$82,"[Master_1].[Cat_2]","[Master_1].[Cat_2].&amp;["&amp; WB_Data!$J$2 &amp; "]")),"")</f>
        <v/>
      </c>
      <c r="L13" s="9"/>
      <c r="M13" s="9"/>
      <c r="N13" s="9" t="str">
        <f t="shared" si="0"/>
        <v/>
      </c>
      <c r="O13" s="87" t="str">
        <f t="shared" si="6"/>
        <v/>
      </c>
      <c r="P13" s="9" t="str">
        <f t="shared" si="1"/>
        <v/>
      </c>
      <c r="Q13" s="9" t="str" cm="1">
        <f t="array" aca="1" ref="Q13" ca="1">IFERROR(INDEX(INDIRECT($M$3),SMALL(IF(INDIRECT($M$2)=R13,ROW(INDIRECT($M$2))),COUNTIF($R$1:R13,R13))),"")</f>
        <v/>
      </c>
      <c r="R13" s="104" t="str">
        <f t="shared" ca="1" si="7"/>
        <v/>
      </c>
      <c r="S13" s="9" t="str" cm="1">
        <f t="array" aca="1" ref="S13" ca="1">IFERROR(INDEX(INDIRECT($L$17),T13,0),"")</f>
        <v/>
      </c>
      <c r="T13" s="5" t="e">
        <f t="shared" ca="1" si="2"/>
        <v>#N/A</v>
      </c>
      <c r="U13" s="5"/>
      <c r="V13" s="97" t="str">
        <f t="shared" si="8"/>
        <v/>
      </c>
      <c r="W13" s="9">
        <f t="shared" si="9"/>
        <v>0</v>
      </c>
      <c r="X13" s="9" t="str">
        <f t="shared" si="10"/>
        <v/>
      </c>
      <c r="Y13" s="9" t="str" cm="1">
        <f t="array" aca="1" ref="Y13" ca="1">IFERROR(INDEX(INDIRECT($U$1),SMALL(IF(INDIRECT($U$2)=Z13,ROW(INDIRECT($U$2))),COUNTIF($Z$1:Z13,Z13))),"")</f>
        <v/>
      </c>
      <c r="Z13" s="9" t="str">
        <f t="shared" ca="1" si="3"/>
        <v/>
      </c>
      <c r="AA13" s="9" t="str" cm="1">
        <f t="array" aca="1" ref="AA13" ca="1">IFERROR(INDEX(INDIRECT($K$17),AB13,0),"")</f>
        <v/>
      </c>
      <c r="AB13" s="5" t="e">
        <f t="shared" ca="1" si="4"/>
        <v>#N/A</v>
      </c>
      <c r="AC13" s="105"/>
      <c r="AD13" s="8"/>
      <c r="AE13" s="96" t="str">
        <f t="shared" si="11"/>
        <v/>
      </c>
      <c r="AF13" s="8" t="str" cm="1">
        <f t="array" ref="AF13">_xlfn.IFS(RIGHT(Analyse!A116,5)="Total","",Analyse!A116="","",Analyse!A116&lt;&gt;"",Analyse!A116)</f>
        <v/>
      </c>
      <c r="AG13" s="8" t="str" cm="1">
        <f t="array" ref="AG13">IFERROR(IF(AF13=TbHead[SmallT],100,GETPIVOTDATA("[Measures].[Sum of Montant]",Analyse!$A$101,"[Master_1].[Cat_2]","[Master_1].[Cat_2].&amp;["&amp; $M$17 &amp; "]","[Master_1].[Cat_3]","[Master_1].[Cat_3].&amp;[" &amp; AF13 &amp; "]")),"")</f>
        <v/>
      </c>
      <c r="AH13" s="8" t="str" cm="1">
        <f t="array" ref="AH13">IFERROR(IF(AF13=TbHead[SmallT],100000000,ABS(GETPIVOTDATA("[__Xl2].[Measures].[Sum of Montant]",Analyse!$A$101,"[Master_1].[Cat_2]","[Master_1].[Cat_2].&amp;["&amp;$M$17&amp;"]","[Master_1].[Cat_3]","[Master_1].[Cat_3].&amp;["&amp;ControlChart!AF13&amp;"]"))),"")</f>
        <v/>
      </c>
      <c r="AI13" s="8"/>
      <c r="AJ13" s="8" t="str" cm="1">
        <f t="array" ref="AJ13">IFERROR(INDEX($AF$1:$AF$16,SMALL(IF($AG$1:$AG$16=AK13,ROW($AG$1:$AG$16)),COUNTIF($AK$1:AK13,AK13))),"")</f>
        <v/>
      </c>
      <c r="AK13" s="107" t="str">
        <f t="shared" si="12"/>
        <v/>
      </c>
      <c r="AL13" s="106" t="str">
        <f t="shared" si="13"/>
        <v/>
      </c>
      <c r="AM13" s="8" t="str">
        <f t="shared" si="14"/>
        <v/>
      </c>
      <c r="AN13" s="8"/>
      <c r="AR13" s="9" t="str">
        <f ca="1">Library!R29</f>
        <v>Dec</v>
      </c>
      <c r="AS13" s="302">
        <f ca="1">IFERROR(GETPIVOTDATA("[Measures].[Sum of Montant]",Analyse!$Q$113,"[Master_1].[Année]","[Master_1].[Année].&amp;["&amp;$AV$1&amp;"]","[Master_1].[Cat_3]","[Master_1].[Cat_3].&amp;["&amp;$AS$1&amp;"]","[Master_1].[Mois (Name)]","[Master_1].[Mois (Name)].&amp;["&amp;AR13&amp;"]"),NA())</f>
        <v>1.0000000000000001E-5</v>
      </c>
      <c r="AT13" s="302">
        <f ca="1">IFERROR(GETPIVOTDATA("[Measures].[Sum of Montant]",Analyse!$Q$137,"[Master_1].[Année]","[Master_1].[Année].&amp;["&amp;ControlChart!$AV$1&amp;"]","[Master_1].[Cat_3]","[Master_1].[Cat_3].&amp;["&amp;ControlChart!$AS$1&amp;"]","[Master_1].[Mois (Name)]","[Master_1].[Mois (Name)].&amp;["&amp;ControlChart!AR13&amp;"]"),NA())</f>
        <v>1.0000000000000001E-5</v>
      </c>
      <c r="AU13" s="302" t="e">
        <f ca="1">IFERROR(GETPIVOTDATA("[Measures].[Sum of Montant]",Analyse!$Q$113,"[Master_1].[Année]","[Master_1].[Année].&amp;["&amp;$AU$1&amp;"]","[Master_1].[Cat_3]","[Master_1].[Cat_3].&amp;["&amp;$AS$1&amp;"]","[Master_1].[Mois (Name)]","[Master_1].[Mois (Name)].&amp;["&amp;AR13&amp;"]"),NA())</f>
        <v>#N/A</v>
      </c>
      <c r="AV13" s="302">
        <f t="shared" ca="1" si="25"/>
        <v>1.0000000000000001E-5</v>
      </c>
      <c r="AW13" s="302">
        <f t="shared" ca="1" si="26"/>
        <v>1.0000000000000001E-5</v>
      </c>
      <c r="AX13" s="302" t="e">
        <f t="shared" ca="1" si="27"/>
        <v>#N/A</v>
      </c>
      <c r="AY13" s="302">
        <f t="shared" ca="1" si="28"/>
        <v>1.0000000000000001E-5</v>
      </c>
      <c r="AZ13" s="302" t="e">
        <f t="shared" ca="1" si="29"/>
        <v>#N/A</v>
      </c>
      <c r="BA13" t="str">
        <f t="shared" ca="1" si="15"/>
        <v/>
      </c>
      <c r="BC13" s="16" cm="1">
        <f t="array" ref="BC13">IF(Analyse!A286=TbHead[GrandT],NA(),Analyse!A286)</f>
        <v>0</v>
      </c>
      <c r="BD13" s="16" cm="1">
        <f t="array" ref="BD13">_xlfn.IFS(ISNA(BC13),0,BC13=0,0,BC13&lt;&gt;"",1)</f>
        <v>0</v>
      </c>
      <c r="BE13" s="16" t="e">
        <f>IFERROR(IF(BD13=0,NA(),GETPIVOTDATA("[Measures].[Sum of Montant]",Analyse!$A$273,"[Master_1].[Cat_2]","[Master_1].[Cat_2].&amp;["&amp;ControlChart!BC13&amp;"]")),NA())</f>
        <v>#N/A</v>
      </c>
      <c r="BF13" s="16" cm="1">
        <f t="array" aca="1" ref="BF13" ca="1">IFERROR(INDEX(INDIRECT($BF$14),SMALL(IF(INDIRECT($BE$14)=BG13,ROW(INDIRECT($BE$14))),COUNTIF($BG$1:BG13,BG13))),0)</f>
        <v>0</v>
      </c>
      <c r="BG13" s="111" t="e">
        <f ca="1">IF(ISNA(BE13),NA(),LARGE(INDIRECT($BE$14),SUM($BD$1:BD13)))</f>
        <v>#N/A</v>
      </c>
      <c r="BH13" s="16">
        <f t="shared" ca="1" si="5"/>
        <v>0</v>
      </c>
      <c r="BI13" s="16" t="e">
        <f t="shared" ca="1" si="16"/>
        <v>#N/A</v>
      </c>
      <c r="BJ13" s="16"/>
      <c r="BK13" s="16" t="e">
        <f>IF(BL13="",NA(),IF(AND(BL13&lt;&gt;"",BJ13=""),Library!$A$227,BJ13))</f>
        <v>#N/A</v>
      </c>
      <c r="BL13" s="111"/>
      <c r="BM13" s="111" t="e" cm="1">
        <f t="array" ref="BM13">IFERROR(_xlfn.IFS(BL13="",NA(),BL13&gt;1,1,BL13&gt;=0,BL13),NA())</f>
        <v>#N/A</v>
      </c>
      <c r="BN13" s="16" t="e">
        <f>IF(BM13&lt;&gt;"",IF(SUM($BM$1:BM13)&gt;100%,"",SUM($BM$1:BM13)),NA())</f>
        <v>#N/A</v>
      </c>
      <c r="BO13" s="16" t="e">
        <f>IFERROR(100%-BN13,NA())</f>
        <v>#N/A</v>
      </c>
      <c r="BP13" s="110" t="e">
        <f t="shared" si="31"/>
        <v>#N/A</v>
      </c>
      <c r="BQ13" s="112" t="e">
        <f t="shared" si="32"/>
        <v>#N/A</v>
      </c>
      <c r="BR13" s="114"/>
      <c r="BV13" s="5">
        <f>CM1</f>
        <v>2025</v>
      </c>
      <c r="BW13" s="292" t="str">
        <f>TEXT(BW12, "0")</f>
        <v>0</v>
      </c>
      <c r="BX13" s="169">
        <f>CN3*12</f>
        <v>0</v>
      </c>
      <c r="BY13" s="126">
        <f>IFERROR(BW13/BX13,0)</f>
        <v>0</v>
      </c>
      <c r="BZ13" s="116">
        <v>1</v>
      </c>
      <c r="CG13" s="27"/>
      <c r="CJ13" s="5"/>
      <c r="CK13" s="5"/>
      <c r="CL13" s="144" t="str">
        <f ca="1">Library!R29</f>
        <v>Dec</v>
      </c>
      <c r="CM13" s="9">
        <f ca="1">IFERROR(GETPIVOTDATA("[Measures].[Sum of Montant]",Analyse!$A$333,"[Master_1].[Mois (Name)]","[Master_1].[Mois (Name)].&amp;["&amp;CL13&amp;"]"),"")</f>
        <v>9.0000000000000006E-5</v>
      </c>
      <c r="EV13" s="5">
        <v>2036</v>
      </c>
      <c r="EW13" s="311">
        <v>0.01</v>
      </c>
      <c r="EX13" s="311">
        <v>0.01</v>
      </c>
      <c r="EY13" s="311">
        <v>0.01</v>
      </c>
      <c r="EZ13" s="29"/>
      <c r="FA13" s="5"/>
      <c r="FB13" s="311"/>
      <c r="FC13" s="311"/>
      <c r="FD13" s="311"/>
    </row>
    <row r="14" spans="1:177" ht="12" thickBot="1" x14ac:dyDescent="0.3">
      <c r="A14" s="9" t="str">
        <f ca="1">Library!R24</f>
        <v>Jul</v>
      </c>
      <c r="B14" s="9">
        <f ca="1">IFERROR(IF(GETPIVOTDATA("[Measures].[Sum of Montant]",Analyse!$A$36,"[Master_1].[Mois (Name)]","[Master_1].[Mois (Name)].&amp;["&amp;A14&amp;"]","[Master_1].[Année]","[Master_1].[Année].&amp;["&amp;$B$20&amp;"]")="",NA(),GETPIVOTDATA("[Measures].[Sum of Montant]",Analyse!$A$36,"[Master_1].[Mois (Name)]","[Master_1].[Mois (Name)].&amp;["&amp;A14&amp;"]","[Master_1].[Année]","[Master_1].[Année].&amp;["&amp;$B$20&amp;"]")),NA())</f>
        <v>9.0000000000000006E-5</v>
      </c>
      <c r="C14" s="9">
        <f ca="1">IFERROR(IF(GETPIVOTDATA("[Measures].[Sum of Montant]",Analyse!$A$58,"[Master_1].[Mois (Name)]","[Master_1].[Mois (Name)].&amp;["&amp;A14&amp;"]","[Master_1].[Année]","[Master_1].[Année].&amp;["&amp;$B$20&amp;"]")="",NA(),GETPIVOTDATA("[Measures].[Sum of Montant]",Analyse!$A$58,"[Master_1].[Mois (Name)]","[Master_1].[Mois (Name)].&amp;["&amp;A14&amp;"]","[Master_1].[Année]","[Master_1].[Année].&amp;["&amp;$B$20&amp;"]")),NA())</f>
        <v>9.0000000000000006E-5</v>
      </c>
      <c r="D14" s="9">
        <f t="shared" ca="1" si="34"/>
        <v>9.0000000000000006E-5</v>
      </c>
      <c r="E14" s="9">
        <v>0</v>
      </c>
      <c r="F14" s="5" t="e">
        <f t="shared" ca="1" si="35"/>
        <v>#N/A</v>
      </c>
      <c r="G14" s="5" t="e">
        <f t="shared" ca="1" si="33"/>
        <v>#N/A</v>
      </c>
      <c r="I14" s="9" t="str">
        <f t="shared" si="24"/>
        <v/>
      </c>
      <c r="J14" s="9" t="str" cm="1">
        <f t="array" ref="J14">_xlfn.IFS(RIGHT(Analyse!A117,5)="Total","",Analyse!A117="","",Analyse!A117&lt;&gt;"",Analyse!A117)</f>
        <v/>
      </c>
      <c r="K14" s="9" t="str" cm="1">
        <f t="array" ref="K14">IFERROR(IF(AF14=TbHead[SmallT],100000000,ABS(GETPIVOTDATA("[__Xl2].[Measures].[Sum of Montant]",Analyse!$A$101,"[Master_1].[Cat_2]","[Master_1].[Cat_2].&amp;["&amp;$M$17&amp;"]","[Master_1].[Cat_3]","[Master_1].[Cat_3].&amp;["&amp;J14&amp;"]"))/GETPIVOTDATA("[Measures].[Sum of Montant]",Analyse!$A$82,"[Master_1].[Cat_2]","[Master_1].[Cat_2].&amp;["&amp; WB_Data!$J$2 &amp; "]")),"")</f>
        <v/>
      </c>
      <c r="L14" s="9"/>
      <c r="M14" s="9"/>
      <c r="N14" s="9" t="str">
        <f t="shared" si="0"/>
        <v/>
      </c>
      <c r="O14" s="87" t="str">
        <f t="shared" si="6"/>
        <v/>
      </c>
      <c r="P14" s="9" t="str">
        <f t="shared" si="1"/>
        <v/>
      </c>
      <c r="Q14" s="9" t="str" cm="1">
        <f t="array" aca="1" ref="Q14" ca="1">IFERROR(INDEX(INDIRECT($M$3),SMALL(IF(INDIRECT($M$2)=R14,ROW(INDIRECT($M$2))),COUNTIF($R$1:R14,R14))),"")</f>
        <v/>
      </c>
      <c r="R14" s="104" t="str">
        <f t="shared" ca="1" si="7"/>
        <v/>
      </c>
      <c r="S14" s="9" t="str" cm="1">
        <f t="array" aca="1" ref="S14" ca="1">IFERROR(INDEX(INDIRECT($L$17),T14,0),"")</f>
        <v/>
      </c>
      <c r="T14" s="5" t="e">
        <f t="shared" ca="1" si="2"/>
        <v>#N/A</v>
      </c>
      <c r="U14" s="5"/>
      <c r="V14" s="97" t="str">
        <f t="shared" si="8"/>
        <v/>
      </c>
      <c r="W14" s="9">
        <f t="shared" si="9"/>
        <v>0</v>
      </c>
      <c r="X14" s="9" t="str">
        <f t="shared" si="10"/>
        <v/>
      </c>
      <c r="Y14" s="9" t="str" cm="1">
        <f t="array" aca="1" ref="Y14" ca="1">IFERROR(INDEX(INDIRECT($U$1),SMALL(IF(INDIRECT($U$2)=Z14,ROW(INDIRECT($U$2))),COUNTIF($Z$1:Z14,Z14))),"")</f>
        <v/>
      </c>
      <c r="Z14" s="9" t="str">
        <f t="shared" ca="1" si="3"/>
        <v/>
      </c>
      <c r="AA14" s="9" t="str" cm="1">
        <f t="array" aca="1" ref="AA14" ca="1">IFERROR(INDEX(INDIRECT($K$17),AB14,0),"")</f>
        <v/>
      </c>
      <c r="AB14" s="5" t="e">
        <f t="shared" ca="1" si="4"/>
        <v>#N/A</v>
      </c>
      <c r="AC14" s="105"/>
      <c r="AD14" s="8"/>
      <c r="AE14" s="96" t="str">
        <f t="shared" si="11"/>
        <v/>
      </c>
      <c r="AF14" s="8" t="str" cm="1">
        <f t="array" ref="AF14">_xlfn.IFS(RIGHT(Analyse!A117,5)="Total","",Analyse!A117="","",Analyse!A117&lt;&gt;"",Analyse!A117)</f>
        <v/>
      </c>
      <c r="AG14" s="8" t="str" cm="1">
        <f t="array" ref="AG14">IFERROR(IF(AF14=TbHead[SmallT],100,GETPIVOTDATA("[Measures].[Sum of Montant]",Analyse!$A$101,"[Master_1].[Cat_2]","[Master_1].[Cat_2].&amp;["&amp; $M$17 &amp; "]","[Master_1].[Cat_3]","[Master_1].[Cat_3].&amp;[" &amp; AF14 &amp; "]")),"")</f>
        <v/>
      </c>
      <c r="AH14" s="8" t="str" cm="1">
        <f t="array" ref="AH14">IFERROR(IF(AF14=TbHead[SmallT],100000000,ABS(GETPIVOTDATA("[__Xl2].[Measures].[Sum of Montant]",Analyse!$A$101,"[Master_1].[Cat_2]","[Master_1].[Cat_2].&amp;["&amp;$M$17&amp;"]","[Master_1].[Cat_3]","[Master_1].[Cat_3].&amp;["&amp;ControlChart!AF14&amp;"]"))),"")</f>
        <v/>
      </c>
      <c r="AI14" s="8"/>
      <c r="AJ14" s="8" t="str" cm="1">
        <f t="array" ref="AJ14">IFERROR(INDEX($AF$1:$AF$16,SMALL(IF($AG$1:$AG$16=AK14,ROW($AG$1:$AG$16)),COUNTIF($AK$1:AK14,AK14))),"")</f>
        <v/>
      </c>
      <c r="AK14" s="107" t="str">
        <f t="shared" si="12"/>
        <v/>
      </c>
      <c r="AL14" s="106" t="str">
        <f t="shared" si="13"/>
        <v/>
      </c>
      <c r="AM14" s="8" t="str">
        <f t="shared" si="14"/>
        <v/>
      </c>
      <c r="AN14" s="8"/>
      <c r="AR14" s="9"/>
      <c r="AS14" s="9"/>
      <c r="AT14" s="9"/>
      <c r="AU14" s="9"/>
      <c r="AV14" s="9">
        <f ca="1">IFERROR(12-COUNTIF(AW2:AW13,NA()),12)</f>
        <v>12</v>
      </c>
      <c r="AW14" s="303" cm="1">
        <f t="array" aca="1" ref="AW14" ca="1">SUM(IFERROR(AW2:AW13/AV14,0))</f>
        <v>9.9999999999999991E-6</v>
      </c>
      <c r="AX14" s="85"/>
      <c r="AY14" s="9">
        <f ca="1">IF(ISNA(AW14),12,AV14)</f>
        <v>12</v>
      </c>
      <c r="AZ14" s="303" cm="1">
        <f t="array" aca="1" ref="AZ14" ca="1">SUM(IFERROR(AZ2:AZ13/AY14,0))</f>
        <v>0</v>
      </c>
      <c r="BB14" s="5" t="str">
        <f ca="1">IFERROR(IF(VLOOKUP(Library!A227,BK1:BK13,1,FALSE)=Library!A227,Library!A227,""),"")</f>
        <v/>
      </c>
      <c r="BC14" s="16">
        <f>SUM(BD1:BD12)</f>
        <v>7</v>
      </c>
      <c r="BD14" s="16">
        <f ca="1">COUNTIF(BG1:BG13,"&lt;0.1")</f>
        <v>0</v>
      </c>
      <c r="BE14" s="16" t="str">
        <f>CONCATENATE("BE1:BE"&amp;$BC$14)</f>
        <v>BE1:BE7</v>
      </c>
      <c r="BF14" s="16" t="str">
        <f>CONCATENATE("BC1:BC"&amp;$BC$14)</f>
        <v>BC1:BC7</v>
      </c>
      <c r="BG14" s="16" t="str">
        <f>CONCATENATE("BF1:BF"&amp;$BC$14)</f>
        <v>BF1:BF7</v>
      </c>
      <c r="BH14" s="16">
        <f ca="1">SUM(BH1:BH13)</f>
        <v>0</v>
      </c>
      <c r="BI14" s="16" t="str">
        <f ca="1">CONCATENATE("BI1:BI"&amp;($BC$14-$BD$14+1))</f>
        <v>BI1:BI8</v>
      </c>
      <c r="BJ14" s="274"/>
      <c r="BK14" s="16">
        <f ca="1">$BC$14-$BD$14+1</f>
        <v>8</v>
      </c>
      <c r="BL14" s="111" t="e">
        <f ca="1">SUM(BL1:BL13)</f>
        <v>#N/A</v>
      </c>
      <c r="BM14" s="111"/>
      <c r="BN14" s="109"/>
      <c r="BO14" s="109"/>
      <c r="BP14" s="109" t="e">
        <f ca="1">IF(BL14=0,NA(),0)</f>
        <v>#N/A</v>
      </c>
      <c r="BQ14" s="113" t="e">
        <f ca="1">IF(BL14=0,NA(),1)</f>
        <v>#N/A</v>
      </c>
      <c r="BX14" s="5" t="str">
        <f>CONCATENATE(BW13&amp;WB_Data!EJ2&amp;" / "&amp;BX13&amp;WB_Data!EJ2)</f>
        <v>0$ / 0$</v>
      </c>
      <c r="CK14" s="5"/>
      <c r="CL14" s="14">
        <f>VLOOKUP(CM1,Data_Line[],16,FALSE)</f>
        <v>0</v>
      </c>
      <c r="CM14" s="306">
        <f ca="1">SUM(CM2:CM13)</f>
        <v>1.1200000000000001E-3</v>
      </c>
      <c r="EV14" s="5">
        <v>2037</v>
      </c>
      <c r="EW14" s="311">
        <v>0.01</v>
      </c>
      <c r="EX14" s="311">
        <v>0.01</v>
      </c>
      <c r="EY14" s="311">
        <v>0.01</v>
      </c>
      <c r="EZ14" s="29"/>
      <c r="FA14" s="5"/>
      <c r="FB14" s="311"/>
      <c r="FC14" s="311"/>
      <c r="FD14" s="311"/>
    </row>
    <row r="15" spans="1:177" x14ac:dyDescent="0.25">
      <c r="A15" s="9" t="str">
        <f ca="1">Library!R25</f>
        <v>Aug</v>
      </c>
      <c r="B15" s="9">
        <f ca="1">IFERROR(IF(GETPIVOTDATA("[Measures].[Sum of Montant]",Analyse!$A$36,"[Master_1].[Mois (Name)]","[Master_1].[Mois (Name)].&amp;["&amp;A15&amp;"]","[Master_1].[Année]","[Master_1].[Année].&amp;["&amp;$B$20&amp;"]")="",NA(),GETPIVOTDATA("[Measures].[Sum of Montant]",Analyse!$A$36,"[Master_1].[Mois (Name)]","[Master_1].[Mois (Name)].&amp;["&amp;A15&amp;"]","[Master_1].[Année]","[Master_1].[Année].&amp;["&amp;$B$20&amp;"]")),NA())</f>
        <v>9.0000000000000006E-5</v>
      </c>
      <c r="C15" s="9">
        <f ca="1">IFERROR(IF(GETPIVOTDATA("[Measures].[Sum of Montant]",Analyse!$A$58,"[Master_1].[Mois (Name)]","[Master_1].[Mois (Name)].&amp;["&amp;A15&amp;"]","[Master_1].[Année]","[Master_1].[Année].&amp;["&amp;$B$20&amp;"]")="",NA(),GETPIVOTDATA("[Measures].[Sum of Montant]",Analyse!$A$58,"[Master_1].[Mois (Name)]","[Master_1].[Mois (Name)].&amp;["&amp;A15&amp;"]","[Master_1].[Année]","[Master_1].[Année].&amp;["&amp;$B$20&amp;"]")),NA())</f>
        <v>9.0000000000000006E-5</v>
      </c>
      <c r="D15" s="9">
        <f t="shared" ca="1" si="34"/>
        <v>9.0000000000000006E-5</v>
      </c>
      <c r="E15" s="9">
        <v>0</v>
      </c>
      <c r="F15" s="5" t="e">
        <f t="shared" ca="1" si="35"/>
        <v>#N/A</v>
      </c>
      <c r="G15" s="5" t="e">
        <f t="shared" ca="1" si="33"/>
        <v>#N/A</v>
      </c>
      <c r="I15" s="9" t="str">
        <f t="shared" si="24"/>
        <v/>
      </c>
      <c r="J15" s="9" t="str" cm="1">
        <f t="array" ref="J15">_xlfn.IFS(RIGHT(Analyse!A118,5)="Total","",Analyse!A118="","",Analyse!A118&lt;&gt;"",Analyse!A118)</f>
        <v/>
      </c>
      <c r="K15" s="9" t="str" cm="1">
        <f t="array" ref="K15">IFERROR(IF(AF15=TbHead[SmallT],100000000,ABS(GETPIVOTDATA("[__Xl2].[Measures].[Sum of Montant]",Analyse!$A$101,"[Master_1].[Cat_2]","[Master_1].[Cat_2].&amp;["&amp;$M$17&amp;"]","[Master_1].[Cat_3]","[Master_1].[Cat_3].&amp;["&amp;J15&amp;"]"))/GETPIVOTDATA("[Measures].[Sum of Montant]",Analyse!$A$82,"[Master_1].[Cat_2]","[Master_1].[Cat_2].&amp;["&amp; WB_Data!$J$2 &amp; "]")),"")</f>
        <v/>
      </c>
      <c r="L15" s="9"/>
      <c r="M15" s="9"/>
      <c r="N15" s="9" t="str">
        <f t="shared" si="0"/>
        <v/>
      </c>
      <c r="O15" s="87" t="str">
        <f t="shared" si="6"/>
        <v/>
      </c>
      <c r="P15" s="9" t="str">
        <f t="shared" si="1"/>
        <v/>
      </c>
      <c r="Q15" s="9" t="str" cm="1">
        <f t="array" aca="1" ref="Q15" ca="1">IFERROR(INDEX(INDIRECT($M$3),SMALL(IF(INDIRECT($M$2)=R15,ROW(INDIRECT($M$2))),COUNTIF($R$1:R15,R15))),"")</f>
        <v/>
      </c>
      <c r="R15" s="104" t="str">
        <f t="shared" ca="1" si="7"/>
        <v/>
      </c>
      <c r="S15" s="9" t="str" cm="1">
        <f t="array" aca="1" ref="S15" ca="1">IFERROR(INDEX(INDIRECT($L$17),T15,0),"")</f>
        <v/>
      </c>
      <c r="T15" s="5" t="e">
        <f t="shared" ca="1" si="2"/>
        <v>#N/A</v>
      </c>
      <c r="U15" s="5"/>
      <c r="V15" s="97" t="str">
        <f t="shared" si="8"/>
        <v/>
      </c>
      <c r="W15" s="9">
        <f t="shared" si="9"/>
        <v>0</v>
      </c>
      <c r="X15" s="9" t="str">
        <f t="shared" si="10"/>
        <v/>
      </c>
      <c r="Y15" s="9" t="str" cm="1">
        <f t="array" aca="1" ref="Y15" ca="1">IFERROR(INDEX(INDIRECT($U$1),SMALL(IF(INDIRECT($U$2)=Z15,ROW(INDIRECT($U$2))),COUNTIF($Z$1:Z15,Z15))),"")</f>
        <v/>
      </c>
      <c r="Z15" s="9" t="str">
        <f t="shared" ca="1" si="3"/>
        <v/>
      </c>
      <c r="AA15" s="9" t="str" cm="1">
        <f t="array" aca="1" ref="AA15" ca="1">IFERROR(INDEX(INDIRECT($K$17),AB15,0),"")</f>
        <v/>
      </c>
      <c r="AB15" s="5" t="e">
        <f t="shared" ca="1" si="4"/>
        <v>#N/A</v>
      </c>
      <c r="AC15" s="105"/>
      <c r="AD15" s="8"/>
      <c r="AE15" s="96" t="str">
        <f t="shared" si="11"/>
        <v/>
      </c>
      <c r="AF15" s="8" t="str" cm="1">
        <f t="array" ref="AF15">_xlfn.IFS(RIGHT(Analyse!A118,5)="Total","",Analyse!A118="","",Analyse!A118&lt;&gt;"",Analyse!A118)</f>
        <v/>
      </c>
      <c r="AG15" s="8" t="str" cm="1">
        <f t="array" ref="AG15">IFERROR(IF(AF15=TbHead[SmallT],100,GETPIVOTDATA("[Measures].[Sum of Montant]",Analyse!$A$101,"[Master_1].[Cat_2]","[Master_1].[Cat_2].&amp;["&amp; $M$17 &amp; "]","[Master_1].[Cat_3]","[Master_1].[Cat_3].&amp;[" &amp; AF15 &amp; "]")),"")</f>
        <v/>
      </c>
      <c r="AH15" s="8" t="str" cm="1">
        <f t="array" ref="AH15">IFERROR(IF(AF15=TbHead[SmallT],100000000,ABS(GETPIVOTDATA("[__Xl2].[Measures].[Sum of Montant]",Analyse!$A$101,"[Master_1].[Cat_2]","[Master_1].[Cat_2].&amp;["&amp;$M$17&amp;"]","[Master_1].[Cat_3]","[Master_1].[Cat_3].&amp;["&amp;ControlChart!AF15&amp;"]"))),"")</f>
        <v/>
      </c>
      <c r="AI15" s="8"/>
      <c r="AJ15" s="8" t="str" cm="1">
        <f t="array" ref="AJ15">IFERROR(INDEX($AF$1:$AF$16,SMALL(IF($AG$1:$AG$16=AK15,ROW($AG$1:$AG$16)),COUNTIF($AK$1:AK15,AK15))),"")</f>
        <v/>
      </c>
      <c r="AK15" s="107" t="str">
        <f t="shared" si="12"/>
        <v/>
      </c>
      <c r="AL15" s="106" t="str">
        <f t="shared" si="13"/>
        <v/>
      </c>
      <c r="AM15" s="8" t="str">
        <f t="shared" si="14"/>
        <v/>
      </c>
      <c r="AN15" s="8"/>
      <c r="BD15" s="278"/>
      <c r="CM15" s="307" t="str">
        <f ca="1">IFERROR(IF(CM17="","",CONCATENATE("("&amp;CM17&amp;WB_Data!EJ2&amp;")")),"")</f>
        <v>(0.00$)</v>
      </c>
      <c r="EV15" s="5">
        <v>2038</v>
      </c>
      <c r="EW15" s="311">
        <v>0.01</v>
      </c>
      <c r="EX15" s="311">
        <v>0.01</v>
      </c>
      <c r="EY15" s="311">
        <v>0.01</v>
      </c>
      <c r="EZ15" s="29"/>
      <c r="FA15" s="5"/>
      <c r="FB15" s="311"/>
      <c r="FC15" s="311"/>
      <c r="FD15" s="311"/>
    </row>
    <row r="16" spans="1:177" x14ac:dyDescent="0.25">
      <c r="A16" s="9" t="str">
        <f ca="1">Library!R26</f>
        <v>Sep</v>
      </c>
      <c r="B16" s="9">
        <f ca="1">IFERROR(IF(GETPIVOTDATA("[Measures].[Sum of Montant]",Analyse!$A$36,"[Master_1].[Mois (Name)]","[Master_1].[Mois (Name)].&amp;["&amp;A16&amp;"]","[Master_1].[Année]","[Master_1].[Année].&amp;["&amp;$B$20&amp;"]")="",NA(),GETPIVOTDATA("[Measures].[Sum of Montant]",Analyse!$A$36,"[Master_1].[Mois (Name)]","[Master_1].[Mois (Name)].&amp;["&amp;A16&amp;"]","[Master_1].[Année]","[Master_1].[Année].&amp;["&amp;$B$20&amp;"]")),NA())</f>
        <v>1E-4</v>
      </c>
      <c r="C16" s="9">
        <f ca="1">IFERROR(IF(GETPIVOTDATA("[Measures].[Sum of Montant]",Analyse!$A$58,"[Master_1].[Mois (Name)]","[Master_1].[Mois (Name)].&amp;["&amp;A16&amp;"]","[Master_1].[Année]","[Master_1].[Année].&amp;["&amp;$B$20&amp;"]")="",NA(),GETPIVOTDATA("[Measures].[Sum of Montant]",Analyse!$A$58,"[Master_1].[Mois (Name)]","[Master_1].[Mois (Name)].&amp;["&amp;A16&amp;"]","[Master_1].[Année]","[Master_1].[Année].&amp;["&amp;$B$20&amp;"]")),NA())</f>
        <v>1E-4</v>
      </c>
      <c r="D16" s="9">
        <f t="shared" ca="1" si="34"/>
        <v>1E-4</v>
      </c>
      <c r="E16" s="9">
        <v>0</v>
      </c>
      <c r="F16" s="5" t="e">
        <f t="shared" ca="1" si="35"/>
        <v>#N/A</v>
      </c>
      <c r="G16" s="5" t="e">
        <f t="shared" ca="1" si="33"/>
        <v>#N/A</v>
      </c>
      <c r="I16" s="9" t="str">
        <f t="shared" si="24"/>
        <v/>
      </c>
      <c r="J16" s="9" t="str" cm="1">
        <f t="array" ref="J16">_xlfn.IFS(RIGHT(Analyse!A119,5)="Total","",Analyse!A119="","",Analyse!A119&lt;&gt;"",Analyse!A119)</f>
        <v/>
      </c>
      <c r="K16" s="9" t="str" cm="1">
        <f t="array" ref="K16">IFERROR(IF(AF16=TbHead[SmallT],100000000,ABS(GETPIVOTDATA("[__Xl2].[Measures].[Sum of Montant]",Analyse!$A$101,"[Master_1].[Cat_2]","[Master_1].[Cat_2].&amp;["&amp;$M$17&amp;"]","[Master_1].[Cat_3]","[Master_1].[Cat_3].&amp;["&amp;J16&amp;"]"))/GETPIVOTDATA("[Measures].[Sum of Montant]",Analyse!$A$82,"[Master_1].[Cat_2]","[Master_1].[Cat_2].&amp;["&amp; WB_Data!$J$2 &amp; "]")),"")</f>
        <v/>
      </c>
      <c r="L16" s="9"/>
      <c r="M16" s="9"/>
      <c r="N16" s="9" t="str">
        <f t="shared" si="0"/>
        <v/>
      </c>
      <c r="O16" s="87" t="str">
        <f t="shared" si="6"/>
        <v/>
      </c>
      <c r="P16" s="9" t="str">
        <f t="shared" si="1"/>
        <v/>
      </c>
      <c r="Q16" s="9" t="str" cm="1">
        <f t="array" aca="1" ref="Q16" ca="1">IFERROR(INDEX(INDIRECT($M$3),SMALL(IF(INDIRECT($M$2)=R16,ROW(INDIRECT($M$2))),COUNTIF($R$1:R16,R16))),"")</f>
        <v/>
      </c>
      <c r="R16" s="104" t="str">
        <f t="shared" ca="1" si="7"/>
        <v/>
      </c>
      <c r="S16" s="9" t="str" cm="1">
        <f t="array" aca="1" ref="S16" ca="1">IFERROR(INDEX(INDIRECT($L$17),T16,0),"")</f>
        <v/>
      </c>
      <c r="T16" s="5" t="e">
        <f t="shared" ca="1" si="2"/>
        <v>#N/A</v>
      </c>
      <c r="U16" s="5"/>
      <c r="V16" s="97" t="str">
        <f t="shared" si="8"/>
        <v/>
      </c>
      <c r="W16" s="9">
        <f t="shared" si="9"/>
        <v>0</v>
      </c>
      <c r="X16" s="9" t="str">
        <f t="shared" si="10"/>
        <v/>
      </c>
      <c r="Y16" s="9" t="str" cm="1">
        <f t="array" aca="1" ref="Y16" ca="1">IFERROR(INDEX(INDIRECT($U$1),SMALL(IF(INDIRECT($U$2)=Z16,ROW(INDIRECT($U$2))),COUNTIF($Z$1:Z16,Z16))),"")</f>
        <v/>
      </c>
      <c r="Z16" s="9" t="str">
        <f t="shared" ca="1" si="3"/>
        <v/>
      </c>
      <c r="AA16" s="9" t="str" cm="1">
        <f t="array" aca="1" ref="AA16" ca="1">IFERROR(INDEX(INDIRECT($K$17),AB16,0),"")</f>
        <v/>
      </c>
      <c r="AB16" s="5" t="e">
        <f t="shared" ca="1" si="4"/>
        <v>#N/A</v>
      </c>
      <c r="AC16" s="105"/>
      <c r="AD16" s="8"/>
      <c r="AE16" s="96" t="str">
        <f t="shared" si="11"/>
        <v/>
      </c>
      <c r="AF16" s="8" t="str" cm="1">
        <f t="array" ref="AF16">_xlfn.IFS(RIGHT(Analyse!A119,5)="Total","",Analyse!A119="","",Analyse!A119&lt;&gt;"",Analyse!A119)</f>
        <v/>
      </c>
      <c r="AG16" s="8" t="str" cm="1">
        <f t="array" ref="AG16">IFERROR(IF(AF16=TbHead[SmallT],100,GETPIVOTDATA("[Measures].[Sum of Montant]",Analyse!$A$101,"[Master_1].[Cat_2]","[Master_1].[Cat_2].&amp;["&amp; $M$17 &amp; "]","[Master_1].[Cat_3]","[Master_1].[Cat_3].&amp;[" &amp; AF16 &amp; "]")),"")</f>
        <v/>
      </c>
      <c r="AH16" s="8" t="str" cm="1">
        <f t="array" ref="AH16">IFERROR(IF(AF16=TbHead[SmallT],100000000,ABS(GETPIVOTDATA("[__Xl2].[Measures].[Sum of Montant]",Analyse!$A$101,"[Master_1].[Cat_2]","[Master_1].[Cat_2].&amp;["&amp;$M$17&amp;"]","[Master_1].[Cat_3]","[Master_1].[Cat_3].&amp;["&amp;ControlChart!AF16&amp;"]"))),"")</f>
        <v/>
      </c>
      <c r="AI16" s="8"/>
      <c r="AJ16" s="8" t="str" cm="1">
        <f t="array" ref="AJ16">IFERROR(INDEX($AF$1:$AF$16,SMALL(IF($AG$1:$AG$16=AK16,ROW($AG$1:$AG$16)),COUNTIF($AK$1:AK16,AK16))),"")</f>
        <v/>
      </c>
      <c r="AK16" s="107" t="str">
        <f t="shared" si="12"/>
        <v/>
      </c>
      <c r="AL16" s="106" t="str">
        <f t="shared" si="13"/>
        <v/>
      </c>
      <c r="AM16" s="8" t="str">
        <f t="shared" si="14"/>
        <v/>
      </c>
      <c r="AN16" s="8"/>
      <c r="CM16" s="22">
        <f ca="1">IFERROR(CM14/BT3,0)</f>
        <v>9.3333333333333343E-5</v>
      </c>
      <c r="EV16" s="5">
        <v>2039</v>
      </c>
      <c r="EW16" s="311">
        <v>0.01</v>
      </c>
      <c r="EX16" s="311">
        <v>0.01</v>
      </c>
      <c r="EY16" s="311">
        <v>0.01</v>
      </c>
      <c r="EZ16" s="29"/>
      <c r="FA16" s="5"/>
      <c r="FB16" s="311"/>
      <c r="FC16" s="311"/>
      <c r="FD16" s="311"/>
    </row>
    <row r="17" spans="1:160" x14ac:dyDescent="0.25">
      <c r="A17" s="9" t="str">
        <f ca="1">Library!R27</f>
        <v>Oct</v>
      </c>
      <c r="B17" s="9">
        <f ca="1">IFERROR(IF(GETPIVOTDATA("[Measures].[Sum of Montant]",Analyse!$A$36,"[Master_1].[Mois (Name)]","[Master_1].[Mois (Name)].&amp;["&amp;A17&amp;"]","[Master_1].[Année]","[Master_1].[Année].&amp;["&amp;$B$20&amp;"]")="",NA(),GETPIVOTDATA("[Measures].[Sum of Montant]",Analyse!$A$36,"[Master_1].[Mois (Name)]","[Master_1].[Mois (Name)].&amp;["&amp;A17&amp;"]","[Master_1].[Année]","[Master_1].[Année].&amp;["&amp;$B$20&amp;"]")),NA())</f>
        <v>9.0000000000000006E-5</v>
      </c>
      <c r="C17" s="9">
        <f ca="1">IFERROR(IF(GETPIVOTDATA("[Measures].[Sum of Montant]",Analyse!$A$58,"[Master_1].[Mois (Name)]","[Master_1].[Mois (Name)].&amp;["&amp;A17&amp;"]","[Master_1].[Année]","[Master_1].[Année].&amp;["&amp;$B$20&amp;"]")="",NA(),GETPIVOTDATA("[Measures].[Sum of Montant]",Analyse!$A$58,"[Master_1].[Mois (Name)]","[Master_1].[Mois (Name)].&amp;["&amp;A17&amp;"]","[Master_1].[Année]","[Master_1].[Année].&amp;["&amp;$B$20&amp;"]")),NA())</f>
        <v>9.0000000000000006E-5</v>
      </c>
      <c r="D17" s="9">
        <f t="shared" ca="1" si="34"/>
        <v>9.0000000000000006E-5</v>
      </c>
      <c r="E17" s="9">
        <v>0</v>
      </c>
      <c r="F17" s="5" t="e">
        <f t="shared" ca="1" si="35"/>
        <v>#N/A</v>
      </c>
      <c r="G17" s="5" t="e">
        <f t="shared" ca="1" si="33"/>
        <v>#N/A</v>
      </c>
      <c r="I17" s="9">
        <f>(ROW(I1))</f>
        <v>1</v>
      </c>
      <c r="J17" s="9">
        <f>ROW(I1)+(ROWS(I1:I16)-(COUNTIF(I1:I16,"")))-1</f>
        <v>1</v>
      </c>
      <c r="K17" s="8" t="str">
        <f>CONCATENATE("K",$I$17,":K",$J$17)</f>
        <v>K1:K1</v>
      </c>
      <c r="L17" s="8"/>
      <c r="M17" s="9" t="str">
        <f>Analyse!A103</f>
        <v>Category3</v>
      </c>
      <c r="N17" s="9">
        <f>GETPIVOTDATA("[Measures].[Sum of Montant]",Analyse!$A$82,"[Master_1].[Cat_2]","[Master_1].[Cat_2].&amp;["&amp;WB_Data!$J$2&amp;"]")</f>
        <v>1.2000000000000002E-4</v>
      </c>
      <c r="V17" t="s">
        <v>130</v>
      </c>
      <c r="W17">
        <f>N17</f>
        <v>1.2000000000000002E-4</v>
      </c>
      <c r="AR17" s="12" t="s">
        <v>107</v>
      </c>
      <c r="AS17" s="9" t="str">
        <f>Analyse!R164</f>
        <v>Sub-Category3</v>
      </c>
      <c r="AT17" s="9" t="s">
        <v>138</v>
      </c>
      <c r="AU17" s="9" t="str">
        <f>IF(Analyse!S163="","-",Analyse!S163)</f>
        <v>-</v>
      </c>
      <c r="AV17" s="9">
        <f>IF(Analyse!R163="","",Analyse!R163)</f>
        <v>2025</v>
      </c>
      <c r="AW17" s="9" t="s">
        <v>138</v>
      </c>
      <c r="AX17" s="9" t="str">
        <f>AU17</f>
        <v>-</v>
      </c>
      <c r="AY17" s="9" t="s">
        <v>139</v>
      </c>
      <c r="AZ17" s="9" t="s">
        <v>140</v>
      </c>
      <c r="CL17" s="5"/>
      <c r="CM17" s="5" t="str">
        <f ca="1">TEXT(CM16,"# ##0.00")</f>
        <v>0.00</v>
      </c>
      <c r="EV17" s="5">
        <v>2040</v>
      </c>
      <c r="EW17" s="311">
        <v>0.01</v>
      </c>
      <c r="EX17" s="311">
        <v>0.01</v>
      </c>
      <c r="EY17" s="311">
        <v>0.01</v>
      </c>
      <c r="EZ17" s="29"/>
      <c r="FA17" s="5"/>
      <c r="FB17" s="311"/>
      <c r="FC17" s="311"/>
      <c r="FD17" s="311"/>
    </row>
    <row r="18" spans="1:160" ht="12" thickBot="1" x14ac:dyDescent="0.3">
      <c r="A18" s="9" t="str">
        <f ca="1">Library!R28</f>
        <v>Nov</v>
      </c>
      <c r="B18" s="9">
        <f ca="1">IFERROR(IF(GETPIVOTDATA("[Measures].[Sum of Montant]",Analyse!$A$36,"[Master_1].[Mois (Name)]","[Master_1].[Mois (Name)].&amp;["&amp;A18&amp;"]","[Master_1].[Année]","[Master_1].[Année].&amp;["&amp;$B$20&amp;"]")="",NA(),GETPIVOTDATA("[Measures].[Sum of Montant]",Analyse!$A$36,"[Master_1].[Mois (Name)]","[Master_1].[Mois (Name)].&amp;["&amp;A18&amp;"]","[Master_1].[Année]","[Master_1].[Année].&amp;["&amp;$B$20&amp;"]")),NA())</f>
        <v>9.0000000000000006E-5</v>
      </c>
      <c r="C18" s="9">
        <f ca="1">IFERROR(IF(GETPIVOTDATA("[Measures].[Sum of Montant]",Analyse!$A$58,"[Master_1].[Mois (Name)]","[Master_1].[Mois (Name)].&amp;["&amp;A18&amp;"]","[Master_1].[Année]","[Master_1].[Année].&amp;["&amp;$B$20&amp;"]")="",NA(),GETPIVOTDATA("[Measures].[Sum of Montant]",Analyse!$A$58,"[Master_1].[Mois (Name)]","[Master_1].[Mois (Name)].&amp;["&amp;A18&amp;"]","[Master_1].[Année]","[Master_1].[Année].&amp;["&amp;$B$20&amp;"]")),NA())</f>
        <v>9.0000000000000006E-5</v>
      </c>
      <c r="D18" s="9">
        <f t="shared" ca="1" si="34"/>
        <v>9.0000000000000006E-5</v>
      </c>
      <c r="E18" s="9">
        <v>0</v>
      </c>
      <c r="F18" s="5" t="e">
        <f t="shared" ca="1" si="35"/>
        <v>#N/A</v>
      </c>
      <c r="G18" s="5" t="e">
        <f t="shared" ca="1" si="33"/>
        <v>#N/A</v>
      </c>
      <c r="J18" s="88" t="str">
        <f>M17</f>
        <v>Category3</v>
      </c>
      <c r="N18" s="5"/>
      <c r="AR18" s="9" t="str">
        <f ca="1">Library!R18</f>
        <v>Jan</v>
      </c>
      <c r="AS18" s="302">
        <f ca="1">IFERROR(GETPIVOTDATA("[Measures].[Sum of Montant]",Analyse!Q162,"[Master_1].[Année]","[Master_1].[Année].&amp;["&amp;$AV$17&amp;"]","[Master_1].[Cat_3]","[Master_1].[Cat_3].&amp;["&amp;$AS$17&amp;"]","[Master_1].[Mois (Name)]","[Master_1].[Mois (Name)].&amp;["&amp;AR18&amp;"]"),NA())</f>
        <v>1.0000000000000001E-5</v>
      </c>
      <c r="AT18" s="302">
        <f ca="1">IFERROR(GETPIVOTDATA("[Measures].[Sum of Montant]",Analyse!Q188,"[Master_1].[Année]","[Master_1].[Année].&amp;["&amp;$AV$17&amp;"]","[Master_1].[Cat_3]","[Master_1].[Cat_3].&amp;["&amp;$AS$17&amp;"]","[Master_1].[Mois (Name)]","[Master_1].[Mois (Name)].&amp;["&amp;AR18&amp;"]"),NA())</f>
        <v>1.0000000000000001E-5</v>
      </c>
      <c r="AU18" s="302" t="e">
        <f ca="1">IFERROR(GETPIVOTDATA("[Measures].[Sum of Montant]",Analyse!$Q$162,"[Master_1].[Année]","[Master_1].[Année].&amp;["&amp;$AU$17&amp;"]","[Master_1].[Cat_3]","[Master_1].[Cat_3].&amp;["&amp;$AS$17&amp;"]","[Master_1].[Mois (Name)]","[Master_1].[Mois (Name)].&amp;["&amp;AR18&amp;"]"),NA())</f>
        <v>#N/A</v>
      </c>
      <c r="AV18" s="302">
        <f ca="1">IF(AS18=0,NA(),ABS(AS18))</f>
        <v>1.0000000000000001E-5</v>
      </c>
      <c r="AW18" s="302">
        <f ca="1">IF(AT18=0,NA(),ABS(AT18))</f>
        <v>1.0000000000000001E-5</v>
      </c>
      <c r="AX18" s="302" t="e">
        <f ca="1">ABS(AU18)</f>
        <v>#N/A</v>
      </c>
      <c r="AY18" s="302">
        <f ca="1">IF(ISNA(AW18),AW18,AV18)</f>
        <v>1.0000000000000001E-5</v>
      </c>
      <c r="AZ18" s="302" t="e">
        <f ca="1">IF(ISNA(AW18),NA(),AX18)</f>
        <v>#N/A</v>
      </c>
      <c r="CL18" s="5"/>
      <c r="EV18" s="5">
        <v>2041</v>
      </c>
      <c r="EW18" s="311">
        <v>0.01</v>
      </c>
      <c r="EX18" s="311">
        <v>0.01</v>
      </c>
      <c r="EY18" s="311">
        <v>0.01</v>
      </c>
      <c r="EZ18" s="29"/>
      <c r="FA18" s="5"/>
      <c r="FB18" s="311"/>
      <c r="FC18" s="311"/>
      <c r="FD18" s="311"/>
    </row>
    <row r="19" spans="1:160" ht="12" thickBot="1" x14ac:dyDescent="0.3">
      <c r="A19" s="9" t="str">
        <f ca="1">Library!R29</f>
        <v>Dec</v>
      </c>
      <c r="B19" s="9">
        <f ca="1">IFERROR(IF(GETPIVOTDATA("[Measures].[Sum of Montant]",Analyse!$A$36,"[Master_1].[Mois (Name)]","[Master_1].[Mois (Name)].&amp;["&amp;A19&amp;"]","[Master_1].[Année]","[Master_1].[Année].&amp;["&amp;$B$20&amp;"]")="",NA(),GETPIVOTDATA("[Measures].[Sum of Montant]",Analyse!$A$36,"[Master_1].[Mois (Name)]","[Master_1].[Mois (Name)].&amp;["&amp;A19&amp;"]","[Master_1].[Année]","[Master_1].[Année].&amp;["&amp;$B$20&amp;"]")),NA())</f>
        <v>9.0000000000000006E-5</v>
      </c>
      <c r="C19" s="9">
        <f ca="1">IFERROR(IF(GETPIVOTDATA("[Measures].[Sum of Montant]",Analyse!$A$58,"[Master_1].[Mois (Name)]","[Master_1].[Mois (Name)].&amp;["&amp;A19&amp;"]","[Master_1].[Année]","[Master_1].[Année].&amp;["&amp;$B$20&amp;"]")="",NA(),GETPIVOTDATA("[Measures].[Sum of Montant]",Analyse!$A$58,"[Master_1].[Mois (Name)]","[Master_1].[Mois (Name)].&amp;["&amp;A19&amp;"]","[Master_1].[Année]","[Master_1].[Année].&amp;["&amp;$B$20&amp;"]")),NA())</f>
        <v>9.0000000000000006E-5</v>
      </c>
      <c r="D19" s="9">
        <f t="shared" ca="1" si="34"/>
        <v>9.0000000000000006E-5</v>
      </c>
      <c r="E19" s="9">
        <v>0</v>
      </c>
      <c r="F19" s="5" t="e">
        <f t="shared" ca="1" si="35"/>
        <v>#N/A</v>
      </c>
      <c r="G19" s="5" t="e">
        <f t="shared" ca="1" si="33"/>
        <v>#N/A</v>
      </c>
      <c r="J19" s="192">
        <v>1</v>
      </c>
      <c r="N19" s="5"/>
      <c r="AR19" s="9" t="str">
        <f ca="1">Library!R19</f>
        <v>Feb</v>
      </c>
      <c r="AS19" s="302">
        <f ca="1">IFERROR(GETPIVOTDATA("[Measures].[Sum of Montant]",Analyse!Q163,"[Master_1].[Année]","[Master_1].[Année].&amp;["&amp;$AV$17&amp;"]","[Master_1].[Cat_3]","[Master_1].[Cat_3].&amp;["&amp;$AS$17&amp;"]","[Master_1].[Mois (Name)]","[Master_1].[Mois (Name)].&amp;["&amp;AR19&amp;"]"),NA())</f>
        <v>1.0000000000000001E-5</v>
      </c>
      <c r="AT19" s="302">
        <f ca="1">IFERROR(GETPIVOTDATA("[Measures].[Sum of Montant]",Analyse!Q189,"[Master_1].[Année]","[Master_1].[Année].&amp;["&amp;$AV$17&amp;"]","[Master_1].[Cat_3]","[Master_1].[Cat_3].&amp;["&amp;$AS$17&amp;"]","[Master_1].[Mois (Name)]","[Master_1].[Mois (Name)].&amp;["&amp;AR19&amp;"]"),NA())</f>
        <v>1.0000000000000001E-5</v>
      </c>
      <c r="AU19" s="302" t="e">
        <f ca="1">IFERROR(GETPIVOTDATA("[Measures].[Sum of Montant]",Analyse!$Q$162,"[Master_1].[Année]","[Master_1].[Année].&amp;["&amp;$AU$17&amp;"]","[Master_1].[Cat_3]","[Master_1].[Cat_3].&amp;["&amp;$AS$17&amp;"]","[Master_1].[Mois (Name)]","[Master_1].[Mois (Name)].&amp;["&amp;AR19&amp;"]"),NA())</f>
        <v>#N/A</v>
      </c>
      <c r="AV19" s="302">
        <f t="shared" ref="AV19:AV29" ca="1" si="36">IF(AS19=0,NA(),ABS(AS19))</f>
        <v>1.0000000000000001E-5</v>
      </c>
      <c r="AW19" s="302">
        <f t="shared" ref="AW19:AW29" ca="1" si="37">IF(AT19=0,NA(),ABS(AT19))</f>
        <v>1.0000000000000001E-5</v>
      </c>
      <c r="AX19" s="302" t="e">
        <f t="shared" ref="AX19:AX29" ca="1" si="38">ABS(AU19)</f>
        <v>#N/A</v>
      </c>
      <c r="AY19" s="302">
        <f t="shared" ref="AY19:AY30" ca="1" si="39">IF(ISNA(AW19),AW19,AV19)</f>
        <v>1.0000000000000001E-5</v>
      </c>
      <c r="AZ19" s="302" t="e">
        <f t="shared" ref="AZ19:AZ29" ca="1" si="40">IF(ISNA(AW19),NA(),AX19)</f>
        <v>#N/A</v>
      </c>
      <c r="CL19" s="5"/>
      <c r="EV19" s="5">
        <v>2042</v>
      </c>
      <c r="EW19" s="311">
        <v>0.01</v>
      </c>
      <c r="EX19" s="311">
        <v>0.01</v>
      </c>
      <c r="EY19" s="311">
        <v>0.01</v>
      </c>
      <c r="EZ19" s="29"/>
      <c r="FA19" s="5"/>
      <c r="FB19" s="311"/>
      <c r="FC19" s="311"/>
      <c r="FD19" s="311"/>
    </row>
    <row r="20" spans="1:160" x14ac:dyDescent="0.25">
      <c r="A20" s="8">
        <f ca="1">COUNT($B$8:$B$19)</f>
        <v>12</v>
      </c>
      <c r="B20" s="9">
        <f>Analyse!B37</f>
        <v>2025</v>
      </c>
      <c r="C20" s="9">
        <f ca="1">COUNT(C8:C19)</f>
        <v>12</v>
      </c>
      <c r="D20" s="296" t="str">
        <f ca="1">IFERROR(IF(D22="","",CONCATENATE("("&amp;D22&amp;WB_Data!EJ2&amp;")")),"")</f>
        <v>(0.00$)</v>
      </c>
      <c r="E20" s="8"/>
      <c r="J20" s="94">
        <v>1.4</v>
      </c>
      <c r="K20">
        <f>20+$J$17</f>
        <v>21</v>
      </c>
      <c r="M20" t="str">
        <f>"M21:Q"&amp; $K$20</f>
        <v>M21:Q21</v>
      </c>
      <c r="N20" s="5" t="str">
        <f ca="1">CONCATENATE("K"&amp;$H$21&amp;":L"&amp;$I$21)</f>
        <v>K22:L22</v>
      </c>
      <c r="O20" s="95">
        <v>0.8</v>
      </c>
      <c r="Q20" s="99" t="str">
        <f>IF($AN$1="",$M$17,$AN$1)</f>
        <v>Category3</v>
      </c>
      <c r="R20" s="93" t="str" cm="1">
        <f t="array" ref="R20">_xlfn.IFS($J$19=1,CONCATENATE("Répartition ",$Q$20),$J$19=2,"")</f>
        <v>Répartition Category3</v>
      </c>
      <c r="S20" s="92" t="str">
        <f>CONCATENATE("Cost ("&amp;WB_Data!EJ2&amp;")")</f>
        <v>Cost ($)</v>
      </c>
      <c r="AR20" s="9" t="str">
        <f ca="1">Library!R20</f>
        <v>Mar</v>
      </c>
      <c r="AS20" s="302">
        <f ca="1">IFERROR(GETPIVOTDATA("[Measures].[Sum of Montant]",Analyse!Q164,"[Master_1].[Année]","[Master_1].[Année].&amp;["&amp;$AV$17&amp;"]","[Master_1].[Cat_3]","[Master_1].[Cat_3].&amp;["&amp;$AS$17&amp;"]","[Master_1].[Mois (Name)]","[Master_1].[Mois (Name)].&amp;["&amp;AR20&amp;"]"),NA())</f>
        <v>1.0000000000000001E-5</v>
      </c>
      <c r="AT20" s="302">
        <f ca="1">IFERROR(GETPIVOTDATA("[Measures].[Sum of Montant]",Analyse!Q190,"[Master_1].[Année]","[Master_1].[Année].&amp;["&amp;$AV$17&amp;"]","[Master_1].[Cat_3]","[Master_1].[Cat_3].&amp;["&amp;$AS$17&amp;"]","[Master_1].[Mois (Name)]","[Master_1].[Mois (Name)].&amp;["&amp;AR20&amp;"]"),NA())</f>
        <v>1.0000000000000001E-5</v>
      </c>
      <c r="AU20" s="302" t="e">
        <f ca="1">IFERROR(GETPIVOTDATA("[Measures].[Sum of Montant]",Analyse!$Q$162,"[Master_1].[Année]","[Master_1].[Année].&amp;["&amp;$AU$17&amp;"]","[Master_1].[Cat_3]","[Master_1].[Cat_3].&amp;["&amp;$AS$17&amp;"]","[Master_1].[Mois (Name)]","[Master_1].[Mois (Name)].&amp;["&amp;AR20&amp;"]"),NA())</f>
        <v>#N/A</v>
      </c>
      <c r="AV20" s="302">
        <f t="shared" ca="1" si="36"/>
        <v>1.0000000000000001E-5</v>
      </c>
      <c r="AW20" s="302">
        <f t="shared" ca="1" si="37"/>
        <v>1.0000000000000001E-5</v>
      </c>
      <c r="AX20" s="302" t="e">
        <f t="shared" ca="1" si="38"/>
        <v>#N/A</v>
      </c>
      <c r="AY20" s="302">
        <f t="shared" ca="1" si="39"/>
        <v>1.0000000000000001E-5</v>
      </c>
      <c r="AZ20" s="302" t="e">
        <f t="shared" ca="1" si="40"/>
        <v>#N/A</v>
      </c>
      <c r="CL20" s="5"/>
      <c r="EV20" s="5">
        <v>2043</v>
      </c>
      <c r="EW20" s="311">
        <v>0.01</v>
      </c>
      <c r="EX20" s="311">
        <v>0.01</v>
      </c>
      <c r="EY20" s="311">
        <v>0.01</v>
      </c>
      <c r="EZ20" s="29"/>
      <c r="FA20" s="5"/>
      <c r="FB20" s="311"/>
      <c r="FC20" s="311"/>
      <c r="FD20" s="311"/>
    </row>
    <row r="21" spans="1:160" x14ac:dyDescent="0.25">
      <c r="D21" s="134" cm="1">
        <f t="array" aca="1" ref="D21" ca="1">(SUM(IFERROR($C$8:$C$19, 0)))/C20</f>
        <v>9.3333333333333343E-5</v>
      </c>
      <c r="G21" s="8"/>
      <c r="H21" s="8">
        <f ca="1">MIN(G22:G37)</f>
        <v>22</v>
      </c>
      <c r="I21" s="8">
        <f ca="1">MAX(G22:G37)</f>
        <v>22</v>
      </c>
      <c r="J21" s="8" t="s">
        <v>131</v>
      </c>
      <c r="K21" s="8" t="str">
        <f>$M$17</f>
        <v>Category3</v>
      </c>
      <c r="L21" s="8" t="str">
        <f>$AD$1</f>
        <v>Analyse/Catégorie</v>
      </c>
      <c r="M21" s="100" t="s">
        <v>132</v>
      </c>
      <c r="N21" s="100" t="str">
        <f>$K$21</f>
        <v>Category3</v>
      </c>
      <c r="O21" s="101" t="s">
        <v>133</v>
      </c>
      <c r="P21" s="100" t="str">
        <f>$L$21</f>
        <v>Analyse/Catégorie</v>
      </c>
      <c r="Q21" s="100" t="s">
        <v>134</v>
      </c>
      <c r="R21" s="102" t="s">
        <v>137</v>
      </c>
      <c r="S21" s="92" t="s">
        <v>136</v>
      </c>
      <c r="AR21" s="9" t="str">
        <f ca="1">Library!R21</f>
        <v>Apr</v>
      </c>
      <c r="AS21" s="302">
        <f ca="1">IFERROR(GETPIVOTDATA("[Measures].[Sum of Montant]",Analyse!Q165,"[Master_1].[Année]","[Master_1].[Année].&amp;["&amp;$AV$17&amp;"]","[Master_1].[Cat_3]","[Master_1].[Cat_3].&amp;["&amp;$AS$17&amp;"]","[Master_1].[Mois (Name)]","[Master_1].[Mois (Name)].&amp;["&amp;AR21&amp;"]"),NA())</f>
        <v>1.0000000000000001E-5</v>
      </c>
      <c r="AT21" s="302">
        <f ca="1">IFERROR(GETPIVOTDATA("[Measures].[Sum of Montant]",Analyse!Q191,"[Master_1].[Année]","[Master_1].[Année].&amp;["&amp;$AV$17&amp;"]","[Master_1].[Cat_3]","[Master_1].[Cat_3].&amp;["&amp;$AS$17&amp;"]","[Master_1].[Mois (Name)]","[Master_1].[Mois (Name)].&amp;["&amp;AR21&amp;"]"),NA())</f>
        <v>1.0000000000000001E-5</v>
      </c>
      <c r="AU21" s="302" t="e">
        <f ca="1">IFERROR(GETPIVOTDATA("[Measures].[Sum of Montant]",Analyse!$Q$162,"[Master_1].[Année]","[Master_1].[Année].&amp;["&amp;$AU$17&amp;"]","[Master_1].[Cat_3]","[Master_1].[Cat_3].&amp;["&amp;$AS$17&amp;"]","[Master_1].[Mois (Name)]","[Master_1].[Mois (Name)].&amp;["&amp;AR21&amp;"]"),NA())</f>
        <v>#N/A</v>
      </c>
      <c r="AV21" s="302">
        <f t="shared" ca="1" si="36"/>
        <v>1.0000000000000001E-5</v>
      </c>
      <c r="AW21" s="302">
        <f t="shared" ca="1" si="37"/>
        <v>1.0000000000000001E-5</v>
      </c>
      <c r="AX21" s="302" t="e">
        <f t="shared" ca="1" si="38"/>
        <v>#N/A</v>
      </c>
      <c r="AY21" s="302">
        <f t="shared" ca="1" si="39"/>
        <v>1.0000000000000001E-5</v>
      </c>
      <c r="AZ21" s="302" t="e">
        <f t="shared" ca="1" si="40"/>
        <v>#N/A</v>
      </c>
      <c r="CL21" s="5"/>
      <c r="EV21" s="5">
        <v>2044</v>
      </c>
      <c r="EW21" s="311">
        <v>0.01</v>
      </c>
      <c r="EX21" s="311">
        <v>0.01</v>
      </c>
      <c r="EY21" s="311">
        <v>0.01</v>
      </c>
      <c r="EZ21" s="29"/>
      <c r="FA21" s="5"/>
      <c r="FB21" s="311"/>
      <c r="FC21" s="311"/>
      <c r="FD21" s="311"/>
    </row>
    <row r="22" spans="1:160" x14ac:dyDescent="0.25">
      <c r="D22" s="5" t="str">
        <f ca="1">TEXT(D21,"# ##0.00")</f>
        <v>0.00</v>
      </c>
      <c r="G22" s="9">
        <f ca="1">IF(H22&lt;&gt;0,ROW(H22))</f>
        <v>22</v>
      </c>
      <c r="H22" s="8">
        <f ca="1">IF(I22="",0,1)</f>
        <v>1</v>
      </c>
      <c r="I22" s="8" t="str" cm="1">
        <f t="array" aca="1" ref="I22" ca="1">_xlfn.IFS(J22=i1_Income1[C221],"",L22="","",ISNUMBER(L22)=TRUE,J22)</f>
        <v>Sub-Category3</v>
      </c>
      <c r="J22" s="90" t="str">
        <f t="shared" ref="J22:J37" ca="1" si="41">CHOOSE($J$19,Q1,AJ1)</f>
        <v>Sub-Category3</v>
      </c>
      <c r="K22" s="103">
        <f t="shared" ref="K22:K37" ca="1" si="42">IFERROR(CHOOSE($J$19,R1,AC1),"")</f>
        <v>1</v>
      </c>
      <c r="L22" s="106">
        <f>IFERROR(CHOOSE($J$19,AK1,AL1),NA())</f>
        <v>1</v>
      </c>
      <c r="M22" s="11">
        <f t="shared" ref="M22:M37" ca="1" si="43">IFERROR(IF(OR(H22=0,K22=0),NA(),MAX(INDIRECT($N$20))*$J$20-N22),NA())</f>
        <v>0.39999999999999991</v>
      </c>
      <c r="N22" s="291">
        <f t="shared" ref="N22:N37" ca="1" si="44">IF(OR(I22="",K22=0),NA(),K22)</f>
        <v>1</v>
      </c>
      <c r="O22" s="91">
        <f t="shared" ref="O22:O37" ca="1" si="45">IF(I22="",NA(),MAX(INDIRECT($N$20))*$O$20)</f>
        <v>0.8</v>
      </c>
      <c r="P22" s="11">
        <f t="shared" ref="P22:P37" ca="1" si="46">IF(I22="",NA(),L22)</f>
        <v>1</v>
      </c>
      <c r="Q22" s="11">
        <f ca="1">IFERROR(IF(P22=0,NA(),MAX(INDIRECT($N$20))*$J$20-P22),NA())</f>
        <v>0.39999999999999991</v>
      </c>
      <c r="R22" s="10" t="str">
        <f ca="1">IF($J$19=1,TEXT(P22,"0.00%"),IF($J$19=2,TEXT(P22,"0.00" &amp; WB_Data!$EJ$2),""""))</f>
        <v>100.00%</v>
      </c>
      <c r="S22" s="70"/>
      <c r="T22" s="89"/>
      <c r="AR22" s="9" t="str">
        <f ca="1">Library!R22</f>
        <v>May</v>
      </c>
      <c r="AS22" s="302">
        <f ca="1">IFERROR(GETPIVOTDATA("[Measures].[Sum of Montant]",Analyse!Q166,"[Master_1].[Année]","[Master_1].[Année].&amp;["&amp;$AV$17&amp;"]","[Master_1].[Cat_3]","[Master_1].[Cat_3].&amp;["&amp;$AS$17&amp;"]","[Master_1].[Mois (Name)]","[Master_1].[Mois (Name)].&amp;["&amp;AR22&amp;"]"),NA())</f>
        <v>1.0000000000000001E-5</v>
      </c>
      <c r="AT22" s="302">
        <f ca="1">IFERROR(GETPIVOTDATA("[Measures].[Sum of Montant]",Analyse!Q192,"[Master_1].[Année]","[Master_1].[Année].&amp;["&amp;$AV$17&amp;"]","[Master_1].[Cat_3]","[Master_1].[Cat_3].&amp;["&amp;$AS$17&amp;"]","[Master_1].[Mois (Name)]","[Master_1].[Mois (Name)].&amp;["&amp;AR22&amp;"]"),NA())</f>
        <v>1.0000000000000001E-5</v>
      </c>
      <c r="AU22" s="302" t="e">
        <f ca="1">IFERROR(GETPIVOTDATA("[Measures].[Sum of Montant]",Analyse!$Q$162,"[Master_1].[Année]","[Master_1].[Année].&amp;["&amp;$AU$17&amp;"]","[Master_1].[Cat_3]","[Master_1].[Cat_3].&amp;["&amp;$AS$17&amp;"]","[Master_1].[Mois (Name)]","[Master_1].[Mois (Name)].&amp;["&amp;AR22&amp;"]"),NA())</f>
        <v>#N/A</v>
      </c>
      <c r="AV22" s="302">
        <f t="shared" ca="1" si="36"/>
        <v>1.0000000000000001E-5</v>
      </c>
      <c r="AW22" s="302">
        <f t="shared" ca="1" si="37"/>
        <v>1.0000000000000001E-5</v>
      </c>
      <c r="AX22" s="302" t="e">
        <f t="shared" ca="1" si="38"/>
        <v>#N/A</v>
      </c>
      <c r="AY22" s="302">
        <f t="shared" ca="1" si="39"/>
        <v>1.0000000000000001E-5</v>
      </c>
      <c r="AZ22" s="302" t="e">
        <f t="shared" ca="1" si="40"/>
        <v>#N/A</v>
      </c>
      <c r="CL22" s="5"/>
      <c r="EV22" s="5">
        <v>2045</v>
      </c>
      <c r="EW22" s="311">
        <v>0.01</v>
      </c>
      <c r="EX22" s="311">
        <v>0.01</v>
      </c>
      <c r="EY22" s="311">
        <v>0.01</v>
      </c>
      <c r="EZ22" s="29"/>
      <c r="FA22" s="5"/>
      <c r="FB22" s="311"/>
      <c r="FC22" s="311"/>
      <c r="FD22" s="311"/>
    </row>
    <row r="23" spans="1:160" x14ac:dyDescent="0.25">
      <c r="G23" s="9" t="b">
        <f t="shared" ref="G23:G37" ca="1" si="47">IF(H23&lt;&gt;0,ROW(H23))</f>
        <v>0</v>
      </c>
      <c r="H23" s="8">
        <f t="shared" ref="H23:H37" ca="1" si="48">IF(I23="",0,H22+1)</f>
        <v>0</v>
      </c>
      <c r="I23" s="8" t="str" cm="1">
        <f t="array" aca="1" ref="I23" ca="1">_xlfn.IFS(J23=i1_Income1[C221],"",L23="","",ISNUMBER(L23)=TRUE,J23)</f>
        <v/>
      </c>
      <c r="J23" s="90" t="str">
        <f t="shared" ca="1" si="41"/>
        <v>Sub-Category3</v>
      </c>
      <c r="K23" s="103" t="str">
        <f t="shared" ca="1" si="42"/>
        <v/>
      </c>
      <c r="L23" s="106" t="str">
        <f t="shared" ref="L23:L37" si="49">IFERROR(CHOOSE($J$19,AK2,AL2),NA())</f>
        <v/>
      </c>
      <c r="M23" s="11" t="e">
        <f t="shared" ca="1" si="43"/>
        <v>#N/A</v>
      </c>
      <c r="N23" s="291" t="e">
        <f t="shared" ca="1" si="44"/>
        <v>#N/A</v>
      </c>
      <c r="O23" s="91" t="e">
        <f t="shared" ca="1" si="45"/>
        <v>#N/A</v>
      </c>
      <c r="P23" s="11" t="e">
        <f t="shared" ca="1" si="46"/>
        <v>#N/A</v>
      </c>
      <c r="Q23" s="11" t="e">
        <f t="shared" ref="Q23:Q37" ca="1" si="50">IFERROR(IF(P23=0,NA(),MAX(INDIRECT($N$20))*$J$20-P23),NA())</f>
        <v>#N/A</v>
      </c>
      <c r="R23" s="10" t="e">
        <f ca="1">IF($J$19=1,TEXT(P23,"0.00%"),IF($J$19=2,TEXT(P23,"0.00" &amp; WB_Data!$EJ$2),""""))</f>
        <v>#N/A</v>
      </c>
      <c r="S23" s="70"/>
      <c r="T23" s="89"/>
      <c r="AR23" s="9" t="str">
        <f ca="1">Library!R23</f>
        <v>Jun</v>
      </c>
      <c r="AS23" s="302">
        <f ca="1">IFERROR(GETPIVOTDATA("[Measures].[Sum of Montant]",Analyse!Q167,"[Master_1].[Année]","[Master_1].[Année].&amp;["&amp;$AV$17&amp;"]","[Master_1].[Cat_3]","[Master_1].[Cat_3].&amp;["&amp;$AS$17&amp;"]","[Master_1].[Mois (Name)]","[Master_1].[Mois (Name)].&amp;["&amp;AR23&amp;"]"),NA())</f>
        <v>1.0000000000000001E-5</v>
      </c>
      <c r="AT23" s="302">
        <f ca="1">IFERROR(GETPIVOTDATA("[Measures].[Sum of Montant]",Analyse!Q193,"[Master_1].[Année]","[Master_1].[Année].&amp;["&amp;$AV$17&amp;"]","[Master_1].[Cat_3]","[Master_1].[Cat_3].&amp;["&amp;$AS$17&amp;"]","[Master_1].[Mois (Name)]","[Master_1].[Mois (Name)].&amp;["&amp;AR23&amp;"]"),NA())</f>
        <v>1.0000000000000001E-5</v>
      </c>
      <c r="AU23" s="302" t="e">
        <f ca="1">IFERROR(GETPIVOTDATA("[Measures].[Sum of Montant]",Analyse!$Q$162,"[Master_1].[Année]","[Master_1].[Année].&amp;["&amp;$AU$17&amp;"]","[Master_1].[Cat_3]","[Master_1].[Cat_3].&amp;["&amp;$AS$17&amp;"]","[Master_1].[Mois (Name)]","[Master_1].[Mois (Name)].&amp;["&amp;AR23&amp;"]"),NA())</f>
        <v>#N/A</v>
      </c>
      <c r="AV23" s="302">
        <f t="shared" ca="1" si="36"/>
        <v>1.0000000000000001E-5</v>
      </c>
      <c r="AW23" s="302">
        <f t="shared" ca="1" si="37"/>
        <v>1.0000000000000001E-5</v>
      </c>
      <c r="AX23" s="302" t="e">
        <f t="shared" ca="1" si="38"/>
        <v>#N/A</v>
      </c>
      <c r="AY23" s="302">
        <f t="shared" ca="1" si="39"/>
        <v>1.0000000000000001E-5</v>
      </c>
      <c r="AZ23" s="302" t="e">
        <f t="shared" ca="1" si="40"/>
        <v>#N/A</v>
      </c>
      <c r="CL23" s="5"/>
      <c r="EV23" s="5">
        <v>2046</v>
      </c>
      <c r="EW23" s="311">
        <v>0.01</v>
      </c>
      <c r="EX23" s="311">
        <v>0.01</v>
      </c>
      <c r="EY23" s="311">
        <v>0.01</v>
      </c>
      <c r="EZ23" s="29"/>
      <c r="FA23" s="5"/>
      <c r="FB23" s="311"/>
      <c r="FC23" s="311"/>
      <c r="FD23" s="311"/>
    </row>
    <row r="24" spans="1:160" x14ac:dyDescent="0.25">
      <c r="G24" s="9" t="b">
        <f t="shared" ca="1" si="47"/>
        <v>0</v>
      </c>
      <c r="H24" s="8">
        <f t="shared" ca="1" si="48"/>
        <v>0</v>
      </c>
      <c r="I24" s="8" t="str" cm="1">
        <f t="array" aca="1" ref="I24" ca="1">_xlfn.IFS(J24=i1_Income1[C221],"",L24="","",ISNUMBER(L24)=TRUE,J24)</f>
        <v/>
      </c>
      <c r="J24" s="90" t="str">
        <f t="shared" ca="1" si="41"/>
        <v/>
      </c>
      <c r="K24" s="103" t="str">
        <f t="shared" ca="1" si="42"/>
        <v/>
      </c>
      <c r="L24" s="106" t="str">
        <f t="shared" si="49"/>
        <v/>
      </c>
      <c r="M24" s="11" t="e">
        <f t="shared" ca="1" si="43"/>
        <v>#N/A</v>
      </c>
      <c r="N24" s="291" t="e">
        <f t="shared" ca="1" si="44"/>
        <v>#N/A</v>
      </c>
      <c r="O24" s="91" t="e">
        <f t="shared" ca="1" si="45"/>
        <v>#N/A</v>
      </c>
      <c r="P24" s="11" t="e">
        <f t="shared" ca="1" si="46"/>
        <v>#N/A</v>
      </c>
      <c r="Q24" s="11" t="e">
        <f t="shared" ca="1" si="50"/>
        <v>#N/A</v>
      </c>
      <c r="R24" s="10" t="e">
        <f ca="1">IF($J$19=1,TEXT(P24,"0.00%"),IF($J$19=2,TEXT(P24,"0.00" &amp; WB_Data!$EJ$2),""""))</f>
        <v>#N/A</v>
      </c>
      <c r="S24" s="70"/>
      <c r="T24" s="89"/>
      <c r="AR24" s="9" t="str">
        <f ca="1">Library!R24</f>
        <v>Jul</v>
      </c>
      <c r="AS24" s="302">
        <f ca="1">IFERROR(GETPIVOTDATA("[Measures].[Sum of Montant]",Analyse!Q168,"[Master_1].[Année]","[Master_1].[Année].&amp;["&amp;$AV$17&amp;"]","[Master_1].[Cat_3]","[Master_1].[Cat_3].&amp;["&amp;$AS$17&amp;"]","[Master_1].[Mois (Name)]","[Master_1].[Mois (Name)].&amp;["&amp;AR24&amp;"]"),NA())</f>
        <v>1.0000000000000001E-5</v>
      </c>
      <c r="AT24" s="302">
        <f ca="1">IFERROR(GETPIVOTDATA("[Measures].[Sum of Montant]",Analyse!Q194,"[Master_1].[Année]","[Master_1].[Année].&amp;["&amp;$AV$17&amp;"]","[Master_1].[Cat_3]","[Master_1].[Cat_3].&amp;["&amp;$AS$17&amp;"]","[Master_1].[Mois (Name)]","[Master_1].[Mois (Name)].&amp;["&amp;AR24&amp;"]"),NA())</f>
        <v>1.0000000000000001E-5</v>
      </c>
      <c r="AU24" s="302" t="e">
        <f ca="1">IFERROR(GETPIVOTDATA("[Measures].[Sum of Montant]",Analyse!$Q$162,"[Master_1].[Année]","[Master_1].[Année].&amp;["&amp;$AU$17&amp;"]","[Master_1].[Cat_3]","[Master_1].[Cat_3].&amp;["&amp;$AS$17&amp;"]","[Master_1].[Mois (Name)]","[Master_1].[Mois (Name)].&amp;["&amp;AR24&amp;"]"),NA())</f>
        <v>#N/A</v>
      </c>
      <c r="AV24" s="302">
        <f t="shared" ca="1" si="36"/>
        <v>1.0000000000000001E-5</v>
      </c>
      <c r="AW24" s="302">
        <f t="shared" ca="1" si="37"/>
        <v>1.0000000000000001E-5</v>
      </c>
      <c r="AX24" s="302" t="e">
        <f t="shared" ca="1" si="38"/>
        <v>#N/A</v>
      </c>
      <c r="AY24" s="302">
        <f t="shared" ca="1" si="39"/>
        <v>1.0000000000000001E-5</v>
      </c>
      <c r="AZ24" s="302" t="e">
        <f t="shared" ca="1" si="40"/>
        <v>#N/A</v>
      </c>
      <c r="CL24" s="5"/>
      <c r="EV24" s="5">
        <v>2047</v>
      </c>
      <c r="EW24" s="311">
        <v>0.01</v>
      </c>
      <c r="EX24" s="311">
        <v>0.01</v>
      </c>
      <c r="EY24" s="311">
        <v>0.01</v>
      </c>
      <c r="EZ24" s="29"/>
      <c r="FA24" s="5"/>
      <c r="FB24" s="311"/>
      <c r="FC24" s="311"/>
      <c r="FD24" s="311"/>
    </row>
    <row r="25" spans="1:160" x14ac:dyDescent="0.25">
      <c r="G25" s="9" t="b">
        <f t="shared" ca="1" si="47"/>
        <v>0</v>
      </c>
      <c r="H25" s="8">
        <f t="shared" ca="1" si="48"/>
        <v>0</v>
      </c>
      <c r="I25" s="8" t="str" cm="1">
        <f t="array" aca="1" ref="I25" ca="1">_xlfn.IFS(J25=i1_Income1[C221],"",L25="","",ISNUMBER(L25)=TRUE,J25)</f>
        <v/>
      </c>
      <c r="J25" s="90" t="str">
        <f t="shared" ca="1" si="41"/>
        <v/>
      </c>
      <c r="K25" s="103" t="str">
        <f t="shared" ca="1" si="42"/>
        <v/>
      </c>
      <c r="L25" s="106" t="str">
        <f t="shared" si="49"/>
        <v/>
      </c>
      <c r="M25" s="11" t="e">
        <f t="shared" ca="1" si="43"/>
        <v>#N/A</v>
      </c>
      <c r="N25" s="291" t="e">
        <f t="shared" ca="1" si="44"/>
        <v>#N/A</v>
      </c>
      <c r="O25" s="91" t="e">
        <f t="shared" ca="1" si="45"/>
        <v>#N/A</v>
      </c>
      <c r="P25" s="11" t="e">
        <f t="shared" ca="1" si="46"/>
        <v>#N/A</v>
      </c>
      <c r="Q25" s="11" t="e">
        <f t="shared" ca="1" si="50"/>
        <v>#N/A</v>
      </c>
      <c r="R25" s="10" t="e">
        <f ca="1">IF($J$19=1,TEXT(P25,"0.00%"),IF($J$19=2,TEXT(P25,"0.00" &amp; WB_Data!$EJ$2),""""))</f>
        <v>#N/A</v>
      </c>
      <c r="S25" s="70"/>
      <c r="T25" s="89"/>
      <c r="AR25" s="9" t="str">
        <f ca="1">Library!R25</f>
        <v>Aug</v>
      </c>
      <c r="AS25" s="302">
        <f ca="1">IFERROR(GETPIVOTDATA("[Measures].[Sum of Montant]",Analyse!Q169,"[Master_1].[Année]","[Master_1].[Année].&amp;["&amp;$AV$17&amp;"]","[Master_1].[Cat_3]","[Master_1].[Cat_3].&amp;["&amp;$AS$17&amp;"]","[Master_1].[Mois (Name)]","[Master_1].[Mois (Name)].&amp;["&amp;AR25&amp;"]"),NA())</f>
        <v>1.0000000000000001E-5</v>
      </c>
      <c r="AT25" s="302">
        <f ca="1">IFERROR(GETPIVOTDATA("[Measures].[Sum of Montant]",Analyse!Q195,"[Master_1].[Année]","[Master_1].[Année].&amp;["&amp;$AV$17&amp;"]","[Master_1].[Cat_3]","[Master_1].[Cat_3].&amp;["&amp;$AS$17&amp;"]","[Master_1].[Mois (Name)]","[Master_1].[Mois (Name)].&amp;["&amp;AR25&amp;"]"),NA())</f>
        <v>1.0000000000000001E-5</v>
      </c>
      <c r="AU25" s="302" t="e">
        <f ca="1">IFERROR(GETPIVOTDATA("[Measures].[Sum of Montant]",Analyse!$Q$162,"[Master_1].[Année]","[Master_1].[Année].&amp;["&amp;$AU$17&amp;"]","[Master_1].[Cat_3]","[Master_1].[Cat_3].&amp;["&amp;$AS$17&amp;"]","[Master_1].[Mois (Name)]","[Master_1].[Mois (Name)].&amp;["&amp;AR25&amp;"]"),NA())</f>
        <v>#N/A</v>
      </c>
      <c r="AV25" s="302">
        <f t="shared" ca="1" si="36"/>
        <v>1.0000000000000001E-5</v>
      </c>
      <c r="AW25" s="302">
        <f t="shared" ca="1" si="37"/>
        <v>1.0000000000000001E-5</v>
      </c>
      <c r="AX25" s="302" t="e">
        <f t="shared" ca="1" si="38"/>
        <v>#N/A</v>
      </c>
      <c r="AY25" s="302">
        <f t="shared" ca="1" si="39"/>
        <v>1.0000000000000001E-5</v>
      </c>
      <c r="AZ25" s="302" t="e">
        <f t="shared" ca="1" si="40"/>
        <v>#N/A</v>
      </c>
      <c r="CL25" s="5"/>
      <c r="EV25" s="5">
        <v>2048</v>
      </c>
      <c r="EW25" s="311">
        <v>0.01</v>
      </c>
      <c r="EX25" s="311">
        <v>0.01</v>
      </c>
      <c r="EY25" s="311">
        <v>0.01</v>
      </c>
      <c r="EZ25" s="29"/>
      <c r="FA25" s="5"/>
      <c r="FB25" s="311"/>
      <c r="FC25" s="311"/>
      <c r="FD25" s="311"/>
    </row>
    <row r="26" spans="1:160" x14ac:dyDescent="0.25">
      <c r="G26" s="9" t="b">
        <f t="shared" ca="1" si="47"/>
        <v>0</v>
      </c>
      <c r="H26" s="8">
        <f t="shared" ca="1" si="48"/>
        <v>0</v>
      </c>
      <c r="I26" s="8" t="str" cm="1">
        <f t="array" aca="1" ref="I26" ca="1">_xlfn.IFS(J26=i1_Income1[C221],"",L26="","",ISNUMBER(L26)=TRUE,J26)</f>
        <v/>
      </c>
      <c r="J26" s="90" t="str">
        <f t="shared" ca="1" si="41"/>
        <v/>
      </c>
      <c r="K26" s="103" t="str">
        <f t="shared" ca="1" si="42"/>
        <v/>
      </c>
      <c r="L26" s="106" t="str">
        <f t="shared" si="49"/>
        <v/>
      </c>
      <c r="M26" s="11" t="e">
        <f t="shared" ca="1" si="43"/>
        <v>#N/A</v>
      </c>
      <c r="N26" s="291" t="e">
        <f t="shared" ca="1" si="44"/>
        <v>#N/A</v>
      </c>
      <c r="O26" s="91" t="e">
        <f t="shared" ca="1" si="45"/>
        <v>#N/A</v>
      </c>
      <c r="P26" s="11" t="e">
        <f t="shared" ca="1" si="46"/>
        <v>#N/A</v>
      </c>
      <c r="Q26" s="11" t="e">
        <f t="shared" ca="1" si="50"/>
        <v>#N/A</v>
      </c>
      <c r="R26" s="10" t="e">
        <f ca="1">IF($J$19=1,TEXT(P26,"0.00%"),IF($J$19=2,TEXT(P26,"0.00" &amp; WB_Data!$EJ$2),""""))</f>
        <v>#N/A</v>
      </c>
      <c r="S26" s="70"/>
      <c r="T26" s="89"/>
      <c r="AR26" s="9" t="str">
        <f ca="1">Library!R26</f>
        <v>Sep</v>
      </c>
      <c r="AS26" s="302">
        <f ca="1">IFERROR(GETPIVOTDATA("[Measures].[Sum of Montant]",Analyse!Q170,"[Master_1].[Année]","[Master_1].[Année].&amp;["&amp;$AV$17&amp;"]","[Master_1].[Cat_3]","[Master_1].[Cat_3].&amp;["&amp;$AS$17&amp;"]","[Master_1].[Mois (Name)]","[Master_1].[Mois (Name)].&amp;["&amp;AR26&amp;"]"),NA())</f>
        <v>1.0000000000000001E-5</v>
      </c>
      <c r="AT26" s="302">
        <f ca="1">IFERROR(GETPIVOTDATA("[Measures].[Sum of Montant]",Analyse!Q196,"[Master_1].[Année]","[Master_1].[Année].&amp;["&amp;$AV$17&amp;"]","[Master_1].[Cat_3]","[Master_1].[Cat_3].&amp;["&amp;$AS$17&amp;"]","[Master_1].[Mois (Name)]","[Master_1].[Mois (Name)].&amp;["&amp;AR26&amp;"]"),NA())</f>
        <v>1.0000000000000001E-5</v>
      </c>
      <c r="AU26" s="302" t="e">
        <f ca="1">IFERROR(GETPIVOTDATA("[Measures].[Sum of Montant]",Analyse!$Q$162,"[Master_1].[Année]","[Master_1].[Année].&amp;["&amp;$AU$17&amp;"]","[Master_1].[Cat_3]","[Master_1].[Cat_3].&amp;["&amp;$AS$17&amp;"]","[Master_1].[Mois (Name)]","[Master_1].[Mois (Name)].&amp;["&amp;AR26&amp;"]"),NA())</f>
        <v>#N/A</v>
      </c>
      <c r="AV26" s="302">
        <f t="shared" ca="1" si="36"/>
        <v>1.0000000000000001E-5</v>
      </c>
      <c r="AW26" s="302">
        <f t="shared" ca="1" si="37"/>
        <v>1.0000000000000001E-5</v>
      </c>
      <c r="AX26" s="302" t="e">
        <f t="shared" ca="1" si="38"/>
        <v>#N/A</v>
      </c>
      <c r="AY26" s="302">
        <f t="shared" ca="1" si="39"/>
        <v>1.0000000000000001E-5</v>
      </c>
      <c r="AZ26" s="302" t="e">
        <f t="shared" ca="1" si="40"/>
        <v>#N/A</v>
      </c>
      <c r="CL26" s="5"/>
      <c r="EV26" s="5">
        <v>2049</v>
      </c>
      <c r="EW26" s="311">
        <v>0.01</v>
      </c>
      <c r="EX26" s="311">
        <v>0.01</v>
      </c>
      <c r="EY26" s="311">
        <v>0.01</v>
      </c>
      <c r="EZ26" s="29"/>
      <c r="FA26" s="5"/>
      <c r="FB26" s="311"/>
      <c r="FC26" s="311"/>
      <c r="FD26" s="311"/>
    </row>
    <row r="27" spans="1:160" x14ac:dyDescent="0.25">
      <c r="G27" s="9" t="b">
        <f t="shared" ca="1" si="47"/>
        <v>0</v>
      </c>
      <c r="H27" s="8">
        <f t="shared" ca="1" si="48"/>
        <v>0</v>
      </c>
      <c r="I27" s="8" t="str" cm="1">
        <f t="array" aca="1" ref="I27" ca="1">_xlfn.IFS(J27=i1_Income1[C221],"",L27="","",ISNUMBER(L27)=TRUE,J27)</f>
        <v/>
      </c>
      <c r="J27" s="90" t="str">
        <f t="shared" ca="1" si="41"/>
        <v/>
      </c>
      <c r="K27" s="103" t="str">
        <f t="shared" ca="1" si="42"/>
        <v/>
      </c>
      <c r="L27" s="106" t="str">
        <f t="shared" si="49"/>
        <v/>
      </c>
      <c r="M27" s="11" t="e">
        <f t="shared" ca="1" si="43"/>
        <v>#N/A</v>
      </c>
      <c r="N27" s="291" t="e">
        <f t="shared" ca="1" si="44"/>
        <v>#N/A</v>
      </c>
      <c r="O27" s="91" t="e">
        <f t="shared" ca="1" si="45"/>
        <v>#N/A</v>
      </c>
      <c r="P27" s="11" t="e">
        <f t="shared" ca="1" si="46"/>
        <v>#N/A</v>
      </c>
      <c r="Q27" s="11" t="e">
        <f t="shared" ca="1" si="50"/>
        <v>#N/A</v>
      </c>
      <c r="R27" s="10" t="e">
        <f ca="1">IF($J$19=1,TEXT(P27,"0.00%"),IF($J$19=2,TEXT(P27,"0.00" &amp; WB_Data!$EJ$2),""""))</f>
        <v>#N/A</v>
      </c>
      <c r="S27" s="70"/>
      <c r="T27" s="89"/>
      <c r="AR27" s="9" t="str">
        <f ca="1">Library!R27</f>
        <v>Oct</v>
      </c>
      <c r="AS27" s="302">
        <f ca="1">IFERROR(GETPIVOTDATA("[Measures].[Sum of Montant]",Analyse!Q171,"[Master_1].[Année]","[Master_1].[Année].&amp;["&amp;$AV$17&amp;"]","[Master_1].[Cat_3]","[Master_1].[Cat_3].&amp;["&amp;$AS$17&amp;"]","[Master_1].[Mois (Name)]","[Master_1].[Mois (Name)].&amp;["&amp;AR27&amp;"]"),NA())</f>
        <v>1.0000000000000001E-5</v>
      </c>
      <c r="AT27" s="302">
        <f ca="1">IFERROR(GETPIVOTDATA("[Measures].[Sum of Montant]",Analyse!Q197,"[Master_1].[Année]","[Master_1].[Année].&amp;["&amp;$AV$17&amp;"]","[Master_1].[Cat_3]","[Master_1].[Cat_3].&amp;["&amp;$AS$17&amp;"]","[Master_1].[Mois (Name)]","[Master_1].[Mois (Name)].&amp;["&amp;AR27&amp;"]"),NA())</f>
        <v>1.0000000000000001E-5</v>
      </c>
      <c r="AU27" s="302" t="e">
        <f ca="1">IFERROR(GETPIVOTDATA("[Measures].[Sum of Montant]",Analyse!$Q$162,"[Master_1].[Année]","[Master_1].[Année].&amp;["&amp;$AU$17&amp;"]","[Master_1].[Cat_3]","[Master_1].[Cat_3].&amp;["&amp;$AS$17&amp;"]","[Master_1].[Mois (Name)]","[Master_1].[Mois (Name)].&amp;["&amp;AR27&amp;"]"),NA())</f>
        <v>#N/A</v>
      </c>
      <c r="AV27" s="302">
        <f t="shared" ca="1" si="36"/>
        <v>1.0000000000000001E-5</v>
      </c>
      <c r="AW27" s="302">
        <f t="shared" ca="1" si="37"/>
        <v>1.0000000000000001E-5</v>
      </c>
      <c r="AX27" s="302" t="e">
        <f t="shared" ca="1" si="38"/>
        <v>#N/A</v>
      </c>
      <c r="AY27" s="302">
        <f t="shared" ca="1" si="39"/>
        <v>1.0000000000000001E-5</v>
      </c>
      <c r="AZ27" s="302" t="e">
        <f t="shared" ca="1" si="40"/>
        <v>#N/A</v>
      </c>
      <c r="CL27" s="5"/>
      <c r="EV27" s="5">
        <v>2050</v>
      </c>
      <c r="EW27" s="311">
        <v>0.01</v>
      </c>
      <c r="EX27" s="311">
        <v>0.01</v>
      </c>
      <c r="EY27" s="311">
        <v>0.01</v>
      </c>
      <c r="EZ27" s="29"/>
      <c r="FA27" s="5"/>
      <c r="FB27" s="311"/>
      <c r="FC27" s="311"/>
      <c r="FD27" s="311"/>
    </row>
    <row r="28" spans="1:160" x14ac:dyDescent="0.25">
      <c r="G28" s="9" t="b">
        <f t="shared" ca="1" si="47"/>
        <v>0</v>
      </c>
      <c r="H28" s="8">
        <f t="shared" ca="1" si="48"/>
        <v>0</v>
      </c>
      <c r="I28" s="8" t="str" cm="1">
        <f t="array" aca="1" ref="I28" ca="1">_xlfn.IFS(J28=i1_Income1[C221],"",L28="","",ISNUMBER(L28)=TRUE,J28)</f>
        <v/>
      </c>
      <c r="J28" s="90" t="str">
        <f t="shared" ca="1" si="41"/>
        <v/>
      </c>
      <c r="K28" s="103" t="str">
        <f t="shared" ca="1" si="42"/>
        <v/>
      </c>
      <c r="L28" s="106" t="str">
        <f t="shared" si="49"/>
        <v/>
      </c>
      <c r="M28" s="11" t="e">
        <f t="shared" ca="1" si="43"/>
        <v>#N/A</v>
      </c>
      <c r="N28" s="291" t="e">
        <f t="shared" ca="1" si="44"/>
        <v>#N/A</v>
      </c>
      <c r="O28" s="91" t="e">
        <f t="shared" ca="1" si="45"/>
        <v>#N/A</v>
      </c>
      <c r="P28" s="11" t="e">
        <f t="shared" ca="1" si="46"/>
        <v>#N/A</v>
      </c>
      <c r="Q28" s="11" t="e">
        <f t="shared" ca="1" si="50"/>
        <v>#N/A</v>
      </c>
      <c r="R28" s="10" t="e">
        <f ca="1">IF($J$19=1,TEXT(P28,"0.00%"),IF($J$19=2,TEXT(P28,"0.00" &amp; WB_Data!$EJ$2),""""))</f>
        <v>#N/A</v>
      </c>
      <c r="S28" s="70"/>
      <c r="T28" s="89"/>
      <c r="AR28" s="9" t="str">
        <f ca="1">Library!R28</f>
        <v>Nov</v>
      </c>
      <c r="AS28" s="302">
        <f ca="1">IFERROR(GETPIVOTDATA("[Measures].[Sum of Montant]",Analyse!Q172,"[Master_1].[Année]","[Master_1].[Année].&amp;["&amp;$AV$17&amp;"]","[Master_1].[Cat_3]","[Master_1].[Cat_3].&amp;["&amp;$AS$17&amp;"]","[Master_1].[Mois (Name)]","[Master_1].[Mois (Name)].&amp;["&amp;AR28&amp;"]"),NA())</f>
        <v>1.0000000000000001E-5</v>
      </c>
      <c r="AT28" s="302">
        <f ca="1">IFERROR(GETPIVOTDATA("[Measures].[Sum of Montant]",Analyse!Q198,"[Master_1].[Année]","[Master_1].[Année].&amp;["&amp;$AV$17&amp;"]","[Master_1].[Cat_3]","[Master_1].[Cat_3].&amp;["&amp;$AS$17&amp;"]","[Master_1].[Mois (Name)]","[Master_1].[Mois (Name)].&amp;["&amp;AR28&amp;"]"),NA())</f>
        <v>1.0000000000000001E-5</v>
      </c>
      <c r="AU28" s="302" t="e">
        <f ca="1">IFERROR(GETPIVOTDATA("[Measures].[Sum of Montant]",Analyse!$Q$162,"[Master_1].[Année]","[Master_1].[Année].&amp;["&amp;$AU$17&amp;"]","[Master_1].[Cat_3]","[Master_1].[Cat_3].&amp;["&amp;$AS$17&amp;"]","[Master_1].[Mois (Name)]","[Master_1].[Mois (Name)].&amp;["&amp;AR28&amp;"]"),NA())</f>
        <v>#N/A</v>
      </c>
      <c r="AV28" s="302">
        <f t="shared" ca="1" si="36"/>
        <v>1.0000000000000001E-5</v>
      </c>
      <c r="AW28" s="302">
        <f t="shared" ca="1" si="37"/>
        <v>1.0000000000000001E-5</v>
      </c>
      <c r="AX28" s="302" t="e">
        <f t="shared" ca="1" si="38"/>
        <v>#N/A</v>
      </c>
      <c r="AY28" s="302">
        <f t="shared" ca="1" si="39"/>
        <v>1.0000000000000001E-5</v>
      </c>
      <c r="AZ28" s="302" t="e">
        <f t="shared" ca="1" si="40"/>
        <v>#N/A</v>
      </c>
      <c r="CL28" s="5"/>
      <c r="EV28" s="5">
        <v>2051</v>
      </c>
      <c r="EW28" s="311">
        <v>0.01</v>
      </c>
      <c r="EX28" s="311">
        <v>0.01</v>
      </c>
      <c r="EY28" s="311">
        <v>0.01</v>
      </c>
      <c r="EZ28" s="29"/>
      <c r="FA28" s="5"/>
      <c r="FB28" s="311"/>
      <c r="FC28" s="311"/>
      <c r="FD28" s="311"/>
    </row>
    <row r="29" spans="1:160" x14ac:dyDescent="0.25">
      <c r="G29" s="9" t="b">
        <f t="shared" ca="1" si="47"/>
        <v>0</v>
      </c>
      <c r="H29" s="8">
        <f t="shared" ca="1" si="48"/>
        <v>0</v>
      </c>
      <c r="I29" s="8" t="str" cm="1">
        <f t="array" aca="1" ref="I29" ca="1">_xlfn.IFS(J29=i1_Income1[C221],"",L29="","",ISNUMBER(L29)=TRUE,J29)</f>
        <v/>
      </c>
      <c r="J29" s="90" t="str">
        <f t="shared" ca="1" si="41"/>
        <v/>
      </c>
      <c r="K29" s="103" t="str">
        <f t="shared" ca="1" si="42"/>
        <v/>
      </c>
      <c r="L29" s="106" t="str">
        <f t="shared" si="49"/>
        <v/>
      </c>
      <c r="M29" s="11" t="e">
        <f t="shared" ca="1" si="43"/>
        <v>#N/A</v>
      </c>
      <c r="N29" s="291" t="e">
        <f t="shared" ca="1" si="44"/>
        <v>#N/A</v>
      </c>
      <c r="O29" s="91" t="e">
        <f t="shared" ca="1" si="45"/>
        <v>#N/A</v>
      </c>
      <c r="P29" s="11" t="e">
        <f t="shared" ca="1" si="46"/>
        <v>#N/A</v>
      </c>
      <c r="Q29" s="11" t="e">
        <f t="shared" ca="1" si="50"/>
        <v>#N/A</v>
      </c>
      <c r="R29" s="10" t="e">
        <f ca="1">IF($J$19=1,TEXT(P29,"0.00%"),IF($J$19=2,TEXT(P29,"0.00" &amp; WB_Data!$EJ$2),""""))</f>
        <v>#N/A</v>
      </c>
      <c r="S29" s="70"/>
      <c r="T29" s="89"/>
      <c r="AR29" s="9" t="str">
        <f ca="1">Library!R29</f>
        <v>Dec</v>
      </c>
      <c r="AS29" s="302">
        <f ca="1">IFERROR(GETPIVOTDATA("[Measures].[Sum of Montant]",Analyse!Q173,"[Master_1].[Année]","[Master_1].[Année].&amp;["&amp;$AV$17&amp;"]","[Master_1].[Cat_3]","[Master_1].[Cat_3].&amp;["&amp;$AS$17&amp;"]","[Master_1].[Mois (Name)]","[Master_1].[Mois (Name)].&amp;["&amp;AR29&amp;"]"),NA())</f>
        <v>1.0000000000000001E-5</v>
      </c>
      <c r="AT29" s="302">
        <f ca="1">IFERROR(GETPIVOTDATA("[Measures].[Sum of Montant]",Analyse!Q199,"[Master_1].[Année]","[Master_1].[Année].&amp;["&amp;$AV$17&amp;"]","[Master_1].[Cat_3]","[Master_1].[Cat_3].&amp;["&amp;$AS$17&amp;"]","[Master_1].[Mois (Name)]","[Master_1].[Mois (Name)].&amp;["&amp;AR29&amp;"]"),NA())</f>
        <v>1.0000000000000001E-5</v>
      </c>
      <c r="AU29" s="302" t="e">
        <f ca="1">IFERROR(GETPIVOTDATA("[Measures].[Sum of Montant]",Analyse!$Q$162,"[Master_1].[Année]","[Master_1].[Année].&amp;["&amp;$AU$17&amp;"]","[Master_1].[Cat_3]","[Master_1].[Cat_3].&amp;["&amp;$AS$17&amp;"]","[Master_1].[Mois (Name)]","[Master_1].[Mois (Name)].&amp;["&amp;AR29&amp;"]"),NA())</f>
        <v>#N/A</v>
      </c>
      <c r="AV29" s="302">
        <f t="shared" ca="1" si="36"/>
        <v>1.0000000000000001E-5</v>
      </c>
      <c r="AW29" s="302">
        <f t="shared" ca="1" si="37"/>
        <v>1.0000000000000001E-5</v>
      </c>
      <c r="AX29" s="302" t="e">
        <f t="shared" ca="1" si="38"/>
        <v>#N/A</v>
      </c>
      <c r="AY29" s="302">
        <f t="shared" ca="1" si="39"/>
        <v>1.0000000000000001E-5</v>
      </c>
      <c r="AZ29" s="302" t="e">
        <f t="shared" ca="1" si="40"/>
        <v>#N/A</v>
      </c>
      <c r="CL29" s="5"/>
      <c r="EV29" s="5">
        <v>2052</v>
      </c>
      <c r="EW29" s="311">
        <v>0.01</v>
      </c>
      <c r="EX29" s="311">
        <v>0.01</v>
      </c>
      <c r="EY29" s="311">
        <v>0.01</v>
      </c>
      <c r="EZ29" s="29"/>
      <c r="FA29" s="5"/>
      <c r="FB29" s="311"/>
      <c r="FC29" s="311"/>
      <c r="FD29" s="311"/>
    </row>
    <row r="30" spans="1:160" x14ac:dyDescent="0.25">
      <c r="G30" s="9" t="b">
        <f t="shared" ca="1" si="47"/>
        <v>0</v>
      </c>
      <c r="H30" s="8">
        <f t="shared" ca="1" si="48"/>
        <v>0</v>
      </c>
      <c r="I30" s="8" t="str" cm="1">
        <f t="array" aca="1" ref="I30" ca="1">_xlfn.IFS(J30=i1_Income1[C221],"",L30="","",ISNUMBER(L30)=TRUE,J30)</f>
        <v/>
      </c>
      <c r="J30" s="90" t="str">
        <f t="shared" ca="1" si="41"/>
        <v/>
      </c>
      <c r="K30" s="103" t="str">
        <f t="shared" ca="1" si="42"/>
        <v/>
      </c>
      <c r="L30" s="106" t="str">
        <f t="shared" si="49"/>
        <v/>
      </c>
      <c r="M30" s="11" t="e">
        <f t="shared" ca="1" si="43"/>
        <v>#N/A</v>
      </c>
      <c r="N30" s="291" t="e">
        <f t="shared" ca="1" si="44"/>
        <v>#N/A</v>
      </c>
      <c r="O30" s="91" t="e">
        <f t="shared" ca="1" si="45"/>
        <v>#N/A</v>
      </c>
      <c r="P30" s="11" t="e">
        <f t="shared" ca="1" si="46"/>
        <v>#N/A</v>
      </c>
      <c r="Q30" s="11" t="e">
        <f t="shared" ca="1" si="50"/>
        <v>#N/A</v>
      </c>
      <c r="R30" s="10" t="e">
        <f ca="1">IF($J$19=1,TEXT(P30,"0.00%"),IF($J$19=2,TEXT(P30,"0.00" &amp; WB_Data!$EJ$2),""""))</f>
        <v>#N/A</v>
      </c>
      <c r="S30" s="70"/>
      <c r="T30" s="89"/>
      <c r="AR30" s="9"/>
      <c r="AS30" s="9"/>
      <c r="AT30" s="9"/>
      <c r="AU30" s="9"/>
      <c r="AV30" s="9">
        <f ca="1">IFERROR(12-COUNTIF(AW18:AW29,NA()),12)</f>
        <v>12</v>
      </c>
      <c r="AW30" s="303" cm="1">
        <f t="array" aca="1" ref="AW30" ca="1">SUM(IFERROR(AW18:AW29/AV30,0))</f>
        <v>9.9999999999999991E-6</v>
      </c>
      <c r="AX30" s="85"/>
      <c r="AY30" s="9">
        <f t="shared" ca="1" si="39"/>
        <v>12</v>
      </c>
      <c r="AZ30" s="303" cm="1">
        <f t="array" aca="1" ref="AZ30" ca="1">SUM(IFERROR(AZ18:AZ29/AY30,""))</f>
        <v>0</v>
      </c>
      <c r="CL30" s="5"/>
      <c r="EV30" s="5">
        <v>2053</v>
      </c>
      <c r="EW30" s="311">
        <v>0.01</v>
      </c>
      <c r="EX30" s="311">
        <v>0.01</v>
      </c>
      <c r="EY30" s="311">
        <v>0.01</v>
      </c>
      <c r="EZ30" s="29"/>
      <c r="FA30" s="5"/>
      <c r="FB30" s="311"/>
      <c r="FC30" s="311"/>
      <c r="FD30" s="311"/>
    </row>
    <row r="31" spans="1:160" x14ac:dyDescent="0.25">
      <c r="G31" s="9" t="b">
        <f t="shared" ca="1" si="47"/>
        <v>0</v>
      </c>
      <c r="H31" s="8">
        <f t="shared" ca="1" si="48"/>
        <v>0</v>
      </c>
      <c r="I31" s="8" t="str" cm="1">
        <f t="array" aca="1" ref="I31" ca="1">_xlfn.IFS(J31=i1_Income1[C221],"",L31="","",ISNUMBER(L31)=TRUE,J31)</f>
        <v/>
      </c>
      <c r="J31" s="90" t="str">
        <f t="shared" ca="1" si="41"/>
        <v/>
      </c>
      <c r="K31" s="103" t="str">
        <f t="shared" ca="1" si="42"/>
        <v/>
      </c>
      <c r="L31" s="106" t="str">
        <f t="shared" si="49"/>
        <v/>
      </c>
      <c r="M31" s="11" t="e">
        <f t="shared" ca="1" si="43"/>
        <v>#N/A</v>
      </c>
      <c r="N31" s="291" t="e">
        <f t="shared" ca="1" si="44"/>
        <v>#N/A</v>
      </c>
      <c r="O31" s="91" t="e">
        <f t="shared" ca="1" si="45"/>
        <v>#N/A</v>
      </c>
      <c r="P31" s="11" t="e">
        <f t="shared" ca="1" si="46"/>
        <v>#N/A</v>
      </c>
      <c r="Q31" s="11" t="e">
        <f t="shared" ca="1" si="50"/>
        <v>#N/A</v>
      </c>
      <c r="R31" s="10" t="e">
        <f ca="1">IF($J$19=1,TEXT(P31,"0.00%"),IF($J$19=2,TEXT(P31,"0.00" &amp; WB_Data!$EJ$2),""""))</f>
        <v>#N/A</v>
      </c>
      <c r="S31" s="70"/>
      <c r="T31" s="89"/>
      <c r="CL31" s="5"/>
      <c r="EV31" s="5">
        <v>2054</v>
      </c>
      <c r="EW31" s="311">
        <v>0.01</v>
      </c>
      <c r="EX31" s="311">
        <v>0.01</v>
      </c>
      <c r="EY31" s="311">
        <v>0.01</v>
      </c>
      <c r="EZ31" s="29"/>
      <c r="FA31" s="5"/>
      <c r="FB31" s="311"/>
      <c r="FC31" s="311"/>
      <c r="FD31" s="311"/>
    </row>
    <row r="32" spans="1:160" x14ac:dyDescent="0.25">
      <c r="G32" s="9" t="b">
        <f t="shared" ca="1" si="47"/>
        <v>0</v>
      </c>
      <c r="H32" s="8">
        <f t="shared" ca="1" si="48"/>
        <v>0</v>
      </c>
      <c r="I32" s="8" t="str" cm="1">
        <f t="array" aca="1" ref="I32" ca="1">_xlfn.IFS(J32=i1_Income1[C221],"",L32="","",ISNUMBER(L32)=TRUE,J32)</f>
        <v/>
      </c>
      <c r="J32" s="90" t="str">
        <f t="shared" ca="1" si="41"/>
        <v/>
      </c>
      <c r="K32" s="103" t="str">
        <f t="shared" ca="1" si="42"/>
        <v/>
      </c>
      <c r="L32" s="106" t="str">
        <f t="shared" si="49"/>
        <v/>
      </c>
      <c r="M32" s="11" t="e">
        <f t="shared" ca="1" si="43"/>
        <v>#N/A</v>
      </c>
      <c r="N32" s="291" t="e">
        <f t="shared" ca="1" si="44"/>
        <v>#N/A</v>
      </c>
      <c r="O32" s="91" t="e">
        <f t="shared" ca="1" si="45"/>
        <v>#N/A</v>
      </c>
      <c r="P32" s="11" t="e">
        <f t="shared" ca="1" si="46"/>
        <v>#N/A</v>
      </c>
      <c r="Q32" s="11" t="e">
        <f t="shared" ca="1" si="50"/>
        <v>#N/A</v>
      </c>
      <c r="R32" s="10" t="e">
        <f ca="1">IF($J$19=1,TEXT(P32,"0.00%"),IF($J$19=2,TEXT(P32,"0.00" &amp; WB_Data!$EJ$2),""""))</f>
        <v>#N/A</v>
      </c>
      <c r="S32" s="70"/>
      <c r="T32" s="89"/>
      <c r="CL32" s="5"/>
      <c r="EV32" s="5">
        <v>2055</v>
      </c>
      <c r="EW32" s="311">
        <v>0.01</v>
      </c>
      <c r="EX32" s="311">
        <v>0.01</v>
      </c>
      <c r="EY32" s="311">
        <v>0.01</v>
      </c>
      <c r="EZ32" s="29"/>
      <c r="FA32" s="5"/>
      <c r="FB32" s="311"/>
      <c r="FC32" s="311"/>
      <c r="FD32" s="311"/>
    </row>
    <row r="33" spans="1:160" x14ac:dyDescent="0.25">
      <c r="A33" s="12" t="s">
        <v>107</v>
      </c>
      <c r="B33" s="12">
        <f>Analyse!B29</f>
        <v>2025</v>
      </c>
      <c r="C33" s="12" t="str">
        <f>Analyse!C29</f>
        <v>-</v>
      </c>
      <c r="D33" s="12" t="s">
        <v>123</v>
      </c>
      <c r="G33" s="9" t="b">
        <f t="shared" ca="1" si="47"/>
        <v>0</v>
      </c>
      <c r="H33" s="8">
        <f t="shared" ca="1" si="48"/>
        <v>0</v>
      </c>
      <c r="I33" s="8" t="str" cm="1">
        <f t="array" aca="1" ref="I33" ca="1">_xlfn.IFS(J33=i1_Income1[C221],"",L33="","",ISNUMBER(L33)=TRUE,J33)</f>
        <v/>
      </c>
      <c r="J33" s="90" t="str">
        <f t="shared" ca="1" si="41"/>
        <v/>
      </c>
      <c r="K33" s="103" t="str">
        <f t="shared" ca="1" si="42"/>
        <v/>
      </c>
      <c r="L33" s="106" t="str">
        <f t="shared" si="49"/>
        <v/>
      </c>
      <c r="M33" s="11" t="e">
        <f t="shared" ca="1" si="43"/>
        <v>#N/A</v>
      </c>
      <c r="N33" s="291" t="e">
        <f t="shared" ca="1" si="44"/>
        <v>#N/A</v>
      </c>
      <c r="O33" s="91" t="e">
        <f t="shared" ca="1" si="45"/>
        <v>#N/A</v>
      </c>
      <c r="P33" s="11" t="e">
        <f t="shared" ca="1" si="46"/>
        <v>#N/A</v>
      </c>
      <c r="Q33" s="11" t="e">
        <f t="shared" ca="1" si="50"/>
        <v>#N/A</v>
      </c>
      <c r="R33" s="10" t="e">
        <f ca="1">IF($J$19=1,TEXT(P33,"0.00%"),IF($J$19=2,TEXT(P33,"0.00" &amp; WB_Data!$EJ$2),""""))</f>
        <v>#N/A</v>
      </c>
      <c r="S33" s="70"/>
      <c r="T33" s="89"/>
      <c r="CL33" s="5"/>
      <c r="EV33" s="5">
        <v>2056</v>
      </c>
      <c r="EW33" s="311">
        <v>0.01</v>
      </c>
      <c r="EX33" s="311">
        <v>0.01</v>
      </c>
      <c r="EY33" s="311">
        <v>0.01</v>
      </c>
      <c r="EZ33" s="29"/>
      <c r="FA33" s="5"/>
      <c r="FB33" s="311"/>
      <c r="FC33" s="311"/>
      <c r="FD33" s="311"/>
    </row>
    <row r="34" spans="1:160" x14ac:dyDescent="0.25">
      <c r="A34" s="9" t="str">
        <f ca="1">Library!R18</f>
        <v>Jan</v>
      </c>
      <c r="B34" s="9">
        <f ca="1">IFERROR(IF(GETPIVOTDATA("[Measures].[Sum of Montant]",Analyse!$A$10,"[Master_1].[Mois (Name)]","[Master_1].[Mois (Name)].&amp;["&amp;ControlChart!A34&amp;"]","[Master_1].[Année]","[Master_1].[Année].&amp;["&amp;ControlChart!$B$33&amp;"]")="",NA(),GETPIVOTDATA("[Measures].[Sum of Montant]",Analyse!$A$10,"[Master_1].[Mois (Name)]","[Master_1].[Mois (Name)].&amp;["&amp;ControlChart!A34&amp;"]","[Master_1].[Année]","[Master_1].[Année].&amp;["&amp;ControlChart!$B$33&amp;"]")),NA())</f>
        <v>1E-4</v>
      </c>
      <c r="C34" s="9" t="e">
        <f ca="1">IFERROR(GETPIVOTDATA("[Measures].[Sum of Montant]",Analyse!$A$10,"[Master_1].[Mois (Name)]","[Master_1].[Mois (Name)].&amp;["&amp;ControlChart!A34&amp;"]","[Master_1].[Année]","[Master_1].[Année].&amp;["&amp;ControlChart!$C$33&amp;"]"),NA())</f>
        <v>#N/A</v>
      </c>
      <c r="D34" s="9">
        <v>0</v>
      </c>
      <c r="G34" s="9" t="b">
        <f t="shared" ca="1" si="47"/>
        <v>0</v>
      </c>
      <c r="H34" s="8">
        <f t="shared" ca="1" si="48"/>
        <v>0</v>
      </c>
      <c r="I34" s="8" t="str" cm="1">
        <f t="array" aca="1" ref="I34" ca="1">_xlfn.IFS(J34=i1_Income1[C221],"",L34="","",ISNUMBER(L34)=TRUE,J34)</f>
        <v/>
      </c>
      <c r="J34" s="90" t="str">
        <f t="shared" ca="1" si="41"/>
        <v/>
      </c>
      <c r="K34" s="103" t="str">
        <f t="shared" ca="1" si="42"/>
        <v/>
      </c>
      <c r="L34" s="106" t="str">
        <f t="shared" si="49"/>
        <v/>
      </c>
      <c r="M34" s="11" t="e">
        <f t="shared" ca="1" si="43"/>
        <v>#N/A</v>
      </c>
      <c r="N34" s="291" t="e">
        <f t="shared" ca="1" si="44"/>
        <v>#N/A</v>
      </c>
      <c r="O34" s="91" t="e">
        <f t="shared" ca="1" si="45"/>
        <v>#N/A</v>
      </c>
      <c r="P34" s="11" t="e">
        <f t="shared" ca="1" si="46"/>
        <v>#N/A</v>
      </c>
      <c r="Q34" s="11" t="e">
        <f t="shared" ca="1" si="50"/>
        <v>#N/A</v>
      </c>
      <c r="R34" s="10" t="e">
        <f ca="1">IF($J$19=1,TEXT(P34,"0.00%"),IF($J$19=2,TEXT(P34,"0.00" &amp; WB_Data!$EJ$2),""""))</f>
        <v>#N/A</v>
      </c>
      <c r="S34" s="70"/>
      <c r="T34" s="89"/>
      <c r="AR34" s="12" t="s">
        <v>107</v>
      </c>
      <c r="AS34" s="9" t="str">
        <f>Analyse!R215</f>
        <v>Sub-Category3</v>
      </c>
      <c r="AT34" s="9" t="s">
        <v>138</v>
      </c>
      <c r="AU34" s="9" t="str">
        <f>IF(Analyse!S214="","-",Analyse!S214)</f>
        <v>-</v>
      </c>
      <c r="AV34" s="9">
        <f>IF(Analyse!R214="","",Analyse!R214)</f>
        <v>2025</v>
      </c>
      <c r="AW34" s="9" t="s">
        <v>138</v>
      </c>
      <c r="AX34" s="9" t="str">
        <f>AU34</f>
        <v>-</v>
      </c>
      <c r="AY34" s="9" t="s">
        <v>139</v>
      </c>
      <c r="AZ34" s="9" t="s">
        <v>140</v>
      </c>
      <c r="CL34" s="5"/>
      <c r="EV34" s="5">
        <v>2057</v>
      </c>
      <c r="EW34" s="311">
        <v>0.01</v>
      </c>
      <c r="EX34" s="311">
        <v>0.01</v>
      </c>
      <c r="EY34" s="311">
        <v>0.01</v>
      </c>
      <c r="EZ34" s="29"/>
      <c r="FA34" s="5"/>
      <c r="FB34" s="311"/>
      <c r="FC34" s="311"/>
      <c r="FD34" s="311"/>
    </row>
    <row r="35" spans="1:160" x14ac:dyDescent="0.25">
      <c r="A35" s="9" t="str">
        <f ca="1">Library!R19</f>
        <v>Feb</v>
      </c>
      <c r="B35" s="9">
        <f ca="1">IFERROR(IF(GETPIVOTDATA("[Measures].[Sum of Montant]",Analyse!$A$10,"[Master_1].[Mois (Name)]","[Master_1].[Mois (Name)].&amp;["&amp;ControlChart!A35&amp;"]","[Master_1].[Année]","[Master_1].[Année].&amp;["&amp;ControlChart!$B$33&amp;"]")="",NA(),GETPIVOTDATA("[Measures].[Sum of Montant]",Analyse!$A$10,"[Master_1].[Mois (Name)]","[Master_1].[Mois (Name)].&amp;["&amp;ControlChart!A35&amp;"]","[Master_1].[Année]","[Master_1].[Année].&amp;["&amp;ControlChart!$B$33&amp;"]")),NA())</f>
        <v>1E-4</v>
      </c>
      <c r="C35" s="9" t="e">
        <f ca="1">IFERROR(GETPIVOTDATA("[Measures].[Sum of Montant]",Analyse!$A$10,"[Master_1].[Mois (Name)]","[Master_1].[Mois (Name)].&amp;["&amp;ControlChart!A35&amp;"]","[Master_1].[Année]","[Master_1].[Année].&amp;["&amp;ControlChart!$C$33&amp;"]"),NA())</f>
        <v>#N/A</v>
      </c>
      <c r="D35" s="9">
        <v>0</v>
      </c>
      <c r="G35" s="9" t="b">
        <f t="shared" ca="1" si="47"/>
        <v>0</v>
      </c>
      <c r="H35" s="8">
        <f t="shared" ca="1" si="48"/>
        <v>0</v>
      </c>
      <c r="I35" s="8" t="str" cm="1">
        <f t="array" aca="1" ref="I35" ca="1">_xlfn.IFS(J35=i1_Income1[C221],"",L35="","",ISNUMBER(L35)=TRUE,J35)</f>
        <v/>
      </c>
      <c r="J35" s="90" t="str">
        <f t="shared" ca="1" si="41"/>
        <v/>
      </c>
      <c r="K35" s="103" t="str">
        <f t="shared" ca="1" si="42"/>
        <v/>
      </c>
      <c r="L35" s="106" t="str">
        <f t="shared" si="49"/>
        <v/>
      </c>
      <c r="M35" s="11" t="e">
        <f t="shared" ca="1" si="43"/>
        <v>#N/A</v>
      </c>
      <c r="N35" s="291" t="e">
        <f t="shared" ca="1" si="44"/>
        <v>#N/A</v>
      </c>
      <c r="O35" s="91" t="e">
        <f t="shared" ca="1" si="45"/>
        <v>#N/A</v>
      </c>
      <c r="P35" s="11" t="e">
        <f t="shared" ca="1" si="46"/>
        <v>#N/A</v>
      </c>
      <c r="Q35" s="11" t="e">
        <f t="shared" ca="1" si="50"/>
        <v>#N/A</v>
      </c>
      <c r="R35" s="10" t="e">
        <f ca="1">IF($J$19=1,TEXT(P35,"0.00%"),IF($J$19=2,TEXT(P35,"0.00" &amp; WB_Data!$EJ$2),""""))</f>
        <v>#N/A</v>
      </c>
      <c r="S35" s="70"/>
      <c r="T35" s="89"/>
      <c r="AR35" s="9" t="str">
        <f ca="1">Library!R18</f>
        <v>Jan</v>
      </c>
      <c r="AS35" s="302">
        <f ca="1">IFERROR(GETPIVOTDATA("[Measures].[Sum of Montant]",Analyse!Q213,"[Master_1].[Année]","[Master_1].[Année].&amp;["&amp;$AV$34&amp;"]","[Master_1].[Cat_3]","[Master_1].[Cat_3].&amp;["&amp;$AS$34&amp;"]","[Master_1].[Mois (Name)]","[Master_1].[Mois (Name)].&amp;["&amp;AR35&amp;"]"),NA())</f>
        <v>1.0000000000000001E-5</v>
      </c>
      <c r="AT35" s="302">
        <f ca="1">IFERROR(GETPIVOTDATA("[Measures].[Sum of Montant]",Analyse!Q243,"[Master_1].[Année]","[Master_1].[Année].&amp;["&amp;$AV$34&amp;"]","[Master_1].[Cat_3]","[Master_1].[Cat_3].&amp;["&amp;$AS$34&amp;"]","[Master_1].[Mois (Name)]","[Master_1].[Mois (Name)].&amp;["&amp;AR35&amp;"]"),NA())</f>
        <v>1.0000000000000001E-5</v>
      </c>
      <c r="AU35" s="302" t="e">
        <f ca="1">IFERROR(GETPIVOTDATA("[Measures].[Sum of Montant]",Analyse!Q213,"[Master_1].[Année]","[Master_1].[Année].&amp;["&amp;$AU$34&amp;"]","[Master_1].[Cat_3]","[Master_1].[Cat_3].&amp;["&amp;$AS$34&amp;"]","[Master_1].[Mois (Name)]","[Master_1].[Mois (Name)].&amp;["&amp;AR35&amp;"]"),NA())</f>
        <v>#N/A</v>
      </c>
      <c r="AV35" s="302">
        <f ca="1">IF(AS35=0,NA(),ABS(AS35))</f>
        <v>1.0000000000000001E-5</v>
      </c>
      <c r="AW35" s="302">
        <f ca="1">IF(AT35=0,NA(),ABS(AT35))</f>
        <v>1.0000000000000001E-5</v>
      </c>
      <c r="AX35" s="302" t="e">
        <f ca="1">ABS(AU35)</f>
        <v>#N/A</v>
      </c>
      <c r="AY35" s="302">
        <f ca="1">IF(ISNA(AW35),AW35,AV35)</f>
        <v>1.0000000000000001E-5</v>
      </c>
      <c r="AZ35" s="302" t="e">
        <f ca="1">IF(ISNA(AW35),NA(),AX35)</f>
        <v>#N/A</v>
      </c>
      <c r="CL35" s="5"/>
      <c r="EV35" s="5">
        <v>2058</v>
      </c>
      <c r="EW35" s="311">
        <v>0.01</v>
      </c>
      <c r="EX35" s="311">
        <v>0.01</v>
      </c>
      <c r="EY35" s="311">
        <v>0.01</v>
      </c>
      <c r="EZ35" s="29"/>
      <c r="FA35" s="5"/>
      <c r="FB35" s="311"/>
      <c r="FC35" s="311"/>
      <c r="FD35" s="311"/>
    </row>
    <row r="36" spans="1:160" x14ac:dyDescent="0.25">
      <c r="A36" s="9" t="str">
        <f ca="1">Library!R20</f>
        <v>Mar</v>
      </c>
      <c r="B36" s="9">
        <f ca="1">IFERROR(IF(GETPIVOTDATA("[Measures].[Sum of Montant]",Analyse!$A$10,"[Master_1].[Mois (Name)]","[Master_1].[Mois (Name)].&amp;["&amp;ControlChart!A36&amp;"]","[Master_1].[Année]","[Master_1].[Année].&amp;["&amp;ControlChart!$B$33&amp;"]")="",NA(),GETPIVOTDATA("[Measures].[Sum of Montant]",Analyse!$A$10,"[Master_1].[Mois (Name)]","[Master_1].[Mois (Name)].&amp;["&amp;ControlChart!A36&amp;"]","[Master_1].[Année]","[Master_1].[Année].&amp;["&amp;ControlChart!$B$33&amp;"]")),NA())</f>
        <v>1E-4</v>
      </c>
      <c r="C36" s="9" t="e">
        <f ca="1">IFERROR(GETPIVOTDATA("[Measures].[Sum of Montant]",Analyse!$A$10,"[Master_1].[Mois (Name)]","[Master_1].[Mois (Name)].&amp;["&amp;ControlChart!A36&amp;"]","[Master_1].[Année]","[Master_1].[Année].&amp;["&amp;ControlChart!$C$33&amp;"]"),NA())</f>
        <v>#N/A</v>
      </c>
      <c r="D36" s="9">
        <v>0</v>
      </c>
      <c r="G36" s="9" t="b">
        <f t="shared" ca="1" si="47"/>
        <v>0</v>
      </c>
      <c r="H36" s="8">
        <f t="shared" ca="1" si="48"/>
        <v>0</v>
      </c>
      <c r="I36" s="8" t="str" cm="1">
        <f t="array" aca="1" ref="I36" ca="1">_xlfn.IFS(J36=i1_Income1[C221],"",L36="","",ISNUMBER(L36)=TRUE,J36)</f>
        <v/>
      </c>
      <c r="J36" s="90" t="str">
        <f t="shared" ca="1" si="41"/>
        <v/>
      </c>
      <c r="K36" s="103" t="str">
        <f t="shared" ca="1" si="42"/>
        <v/>
      </c>
      <c r="L36" s="106" t="str">
        <f t="shared" si="49"/>
        <v/>
      </c>
      <c r="M36" s="11" t="e">
        <f t="shared" ca="1" si="43"/>
        <v>#N/A</v>
      </c>
      <c r="N36" s="291" t="e">
        <f t="shared" ca="1" si="44"/>
        <v>#N/A</v>
      </c>
      <c r="O36" s="91" t="e">
        <f t="shared" ca="1" si="45"/>
        <v>#N/A</v>
      </c>
      <c r="P36" s="11" t="e">
        <f t="shared" ca="1" si="46"/>
        <v>#N/A</v>
      </c>
      <c r="Q36" s="11" t="e">
        <f t="shared" ca="1" si="50"/>
        <v>#N/A</v>
      </c>
      <c r="R36" s="10" t="e">
        <f ca="1">IF($J$19=1,TEXT(P36,"0.00%"),IF($J$19=2,TEXT(P36,"0.00" &amp; WB_Data!$EJ$2),""""))</f>
        <v>#N/A</v>
      </c>
      <c r="S36" s="70"/>
      <c r="T36" s="89"/>
      <c r="AR36" s="9" t="str">
        <f ca="1">Library!R19</f>
        <v>Feb</v>
      </c>
      <c r="AS36" s="302">
        <f ca="1">IFERROR(GETPIVOTDATA("[Measures].[Sum of Montant]",Analyse!Q214,"[Master_1].[Année]","[Master_1].[Année].&amp;["&amp;$AV$34&amp;"]","[Master_1].[Cat_3]","[Master_1].[Cat_3].&amp;["&amp;$AS$34&amp;"]","[Master_1].[Mois (Name)]","[Master_1].[Mois (Name)].&amp;["&amp;AR36&amp;"]"),NA())</f>
        <v>1.0000000000000001E-5</v>
      </c>
      <c r="AT36" s="302">
        <f ca="1">IFERROR(GETPIVOTDATA("[Measures].[Sum of Montant]",Analyse!Q244,"[Master_1].[Année]","[Master_1].[Année].&amp;["&amp;$AV$34&amp;"]","[Master_1].[Cat_3]","[Master_1].[Cat_3].&amp;["&amp;$AS$34&amp;"]","[Master_1].[Mois (Name)]","[Master_1].[Mois (Name)].&amp;["&amp;AR36&amp;"]"),NA())</f>
        <v>1.0000000000000001E-5</v>
      </c>
      <c r="AU36" s="302" t="e">
        <f ca="1">IFERROR(GETPIVOTDATA("[Measures].[Sum of Montant]",Analyse!Q214,"[Master_1].[Année]","[Master_1].[Année].&amp;["&amp;$AU$34&amp;"]","[Master_1].[Cat_3]","[Master_1].[Cat_3].&amp;["&amp;$AS$34&amp;"]","[Master_1].[Mois (Name)]","[Master_1].[Mois (Name)].&amp;["&amp;AR36&amp;"]"),NA())</f>
        <v>#N/A</v>
      </c>
      <c r="AV36" s="302">
        <f t="shared" ref="AV36:AV46" ca="1" si="51">IF(AS36=0,NA(),ABS(AS36))</f>
        <v>1.0000000000000001E-5</v>
      </c>
      <c r="AW36" s="302">
        <f t="shared" ref="AW36:AW46" ca="1" si="52">IF(AT36=0,NA(),ABS(AT36))</f>
        <v>1.0000000000000001E-5</v>
      </c>
      <c r="AX36" s="302" t="e">
        <f t="shared" ref="AX36:AX46" ca="1" si="53">ABS(AU36)</f>
        <v>#N/A</v>
      </c>
      <c r="AY36" s="302">
        <f t="shared" ref="AY36:AY47" ca="1" si="54">IF(ISNA(AW36),AW36,AV36)</f>
        <v>1.0000000000000001E-5</v>
      </c>
      <c r="AZ36" s="302" t="e">
        <f t="shared" ref="AZ36:AZ46" ca="1" si="55">IF(ISNA(AW36),NA(),AX36)</f>
        <v>#N/A</v>
      </c>
      <c r="CL36" s="5"/>
      <c r="EV36" s="5">
        <v>2059</v>
      </c>
      <c r="EW36" s="311">
        <v>0.01</v>
      </c>
      <c r="EX36" s="311">
        <v>0.01</v>
      </c>
      <c r="EY36" s="311">
        <v>0.01</v>
      </c>
      <c r="EZ36" s="29"/>
      <c r="FA36" s="5"/>
      <c r="FB36" s="311"/>
      <c r="FC36" s="311"/>
      <c r="FD36" s="311"/>
    </row>
    <row r="37" spans="1:160" x14ac:dyDescent="0.25">
      <c r="A37" s="9" t="str">
        <f ca="1">Library!R21</f>
        <v>Apr</v>
      </c>
      <c r="B37" s="9">
        <f ca="1">IFERROR(IF(GETPIVOTDATA("[Measures].[Sum of Montant]",Analyse!$A$10,"[Master_1].[Mois (Name)]","[Master_1].[Mois (Name)].&amp;["&amp;ControlChart!A37&amp;"]","[Master_1].[Année]","[Master_1].[Année].&amp;["&amp;ControlChart!$B$33&amp;"]")="",NA(),GETPIVOTDATA("[Measures].[Sum of Montant]",Analyse!$A$10,"[Master_1].[Mois (Name)]","[Master_1].[Mois (Name)].&amp;["&amp;ControlChart!A37&amp;"]","[Master_1].[Année]","[Master_1].[Année].&amp;["&amp;ControlChart!$B$33&amp;"]")),NA())</f>
        <v>9.0000000000000006E-5</v>
      </c>
      <c r="C37" s="9" t="e">
        <f ca="1">IFERROR(GETPIVOTDATA("[Measures].[Sum of Montant]",Analyse!$A$10,"[Master_1].[Mois (Name)]","[Master_1].[Mois (Name)].&amp;["&amp;ControlChart!A37&amp;"]","[Master_1].[Année]","[Master_1].[Année].&amp;["&amp;ControlChart!$C$33&amp;"]"),NA())</f>
        <v>#N/A</v>
      </c>
      <c r="D37" s="9">
        <v>0</v>
      </c>
      <c r="G37" s="9" t="b">
        <f t="shared" ca="1" si="47"/>
        <v>0</v>
      </c>
      <c r="H37" s="8">
        <f t="shared" ca="1" si="48"/>
        <v>0</v>
      </c>
      <c r="I37" s="8" t="str" cm="1">
        <f t="array" aca="1" ref="I37" ca="1">_xlfn.IFS(J37=i1_Income1[C221],"",L37="","",ISNUMBER(L37)=TRUE,J37)</f>
        <v/>
      </c>
      <c r="J37" s="90" t="str">
        <f t="shared" ca="1" si="41"/>
        <v/>
      </c>
      <c r="K37" s="103" t="str">
        <f t="shared" ca="1" si="42"/>
        <v/>
      </c>
      <c r="L37" s="106" t="str">
        <f t="shared" si="49"/>
        <v/>
      </c>
      <c r="M37" s="11" t="e">
        <f t="shared" ca="1" si="43"/>
        <v>#N/A</v>
      </c>
      <c r="N37" s="291" t="e">
        <f t="shared" ca="1" si="44"/>
        <v>#N/A</v>
      </c>
      <c r="O37" s="91" t="e">
        <f t="shared" ca="1" si="45"/>
        <v>#N/A</v>
      </c>
      <c r="P37" s="11" t="e">
        <f t="shared" ca="1" si="46"/>
        <v>#N/A</v>
      </c>
      <c r="Q37" s="11" t="e">
        <f t="shared" ca="1" si="50"/>
        <v>#N/A</v>
      </c>
      <c r="R37" s="10" t="e">
        <f ca="1">IF($J$19=1,TEXT(P37,"0.00%"),IF($J$19=2,TEXT(P37,"0.00" &amp; WB_Data!$EJ$2),""""))</f>
        <v>#N/A</v>
      </c>
      <c r="AR37" s="9" t="str">
        <f ca="1">Library!R20</f>
        <v>Mar</v>
      </c>
      <c r="AS37" s="302">
        <f ca="1">IFERROR(GETPIVOTDATA("[Measures].[Sum of Montant]",Analyse!Q215,"[Master_1].[Année]","[Master_1].[Année].&amp;["&amp;$AV$34&amp;"]","[Master_1].[Cat_3]","[Master_1].[Cat_3].&amp;["&amp;$AS$34&amp;"]","[Master_1].[Mois (Name)]","[Master_1].[Mois (Name)].&amp;["&amp;AR37&amp;"]"),NA())</f>
        <v>1.0000000000000001E-5</v>
      </c>
      <c r="AT37" s="302">
        <f ca="1">IFERROR(GETPIVOTDATA("[Measures].[Sum of Montant]",Analyse!Q245,"[Master_1].[Année]","[Master_1].[Année].&amp;["&amp;$AV$34&amp;"]","[Master_1].[Cat_3]","[Master_1].[Cat_3].&amp;["&amp;$AS$34&amp;"]","[Master_1].[Mois (Name)]","[Master_1].[Mois (Name)].&amp;["&amp;AR37&amp;"]"),NA())</f>
        <v>1.0000000000000001E-5</v>
      </c>
      <c r="AU37" s="302" t="e">
        <f ca="1">IFERROR(GETPIVOTDATA("[Measures].[Sum of Montant]",Analyse!Q215,"[Master_1].[Année]","[Master_1].[Année].&amp;["&amp;$AU$34&amp;"]","[Master_1].[Cat_3]","[Master_1].[Cat_3].&amp;["&amp;$AS$34&amp;"]","[Master_1].[Mois (Name)]","[Master_1].[Mois (Name)].&amp;["&amp;AR37&amp;"]"),NA())</f>
        <v>#N/A</v>
      </c>
      <c r="AV37" s="302">
        <f t="shared" ca="1" si="51"/>
        <v>1.0000000000000001E-5</v>
      </c>
      <c r="AW37" s="302">
        <f t="shared" ca="1" si="52"/>
        <v>1.0000000000000001E-5</v>
      </c>
      <c r="AX37" s="302" t="e">
        <f t="shared" ca="1" si="53"/>
        <v>#N/A</v>
      </c>
      <c r="AY37" s="302">
        <f t="shared" ca="1" si="54"/>
        <v>1.0000000000000001E-5</v>
      </c>
      <c r="AZ37" s="302" t="e">
        <f t="shared" ca="1" si="55"/>
        <v>#N/A</v>
      </c>
      <c r="CL37" s="5"/>
      <c r="EV37" s="5">
        <v>2060</v>
      </c>
      <c r="EW37" s="311">
        <v>0.01</v>
      </c>
      <c r="EX37" s="311">
        <v>0.01</v>
      </c>
      <c r="EY37" s="311">
        <v>0.01</v>
      </c>
      <c r="EZ37" s="29"/>
      <c r="FA37" s="5"/>
      <c r="FB37" s="311"/>
      <c r="FC37" s="311"/>
      <c r="FD37" s="311"/>
    </row>
    <row r="38" spans="1:160" x14ac:dyDescent="0.25">
      <c r="A38" s="9" t="str">
        <f ca="1">Library!R22</f>
        <v>May</v>
      </c>
      <c r="B38" s="9">
        <f ca="1">IFERROR(IF(GETPIVOTDATA("[Measures].[Sum of Montant]",Analyse!$A$10,"[Master_1].[Mois (Name)]","[Master_1].[Mois (Name)].&amp;["&amp;ControlChart!A38&amp;"]","[Master_1].[Année]","[Master_1].[Année].&amp;["&amp;ControlChart!$B$33&amp;"]")="",NA(),GETPIVOTDATA("[Measures].[Sum of Montant]",Analyse!$A$10,"[Master_1].[Mois (Name)]","[Master_1].[Mois (Name)].&amp;["&amp;ControlChart!A38&amp;"]","[Master_1].[Année]","[Master_1].[Année].&amp;["&amp;ControlChart!$B$33&amp;"]")),NA())</f>
        <v>9.0000000000000006E-5</v>
      </c>
      <c r="C38" s="9" t="e">
        <f ca="1">IFERROR(GETPIVOTDATA("[Measures].[Sum of Montant]",Analyse!$A$10,"[Master_1].[Mois (Name)]","[Master_1].[Mois (Name)].&amp;["&amp;ControlChart!A38&amp;"]","[Master_1].[Année]","[Master_1].[Année].&amp;["&amp;ControlChart!$C$33&amp;"]"),NA())</f>
        <v>#N/A</v>
      </c>
      <c r="D38" s="9">
        <v>0</v>
      </c>
      <c r="AR38" s="9" t="str">
        <f ca="1">Library!R21</f>
        <v>Apr</v>
      </c>
      <c r="AS38" s="302">
        <f ca="1">IFERROR(GETPIVOTDATA("[Measures].[Sum of Montant]",Analyse!Q216,"[Master_1].[Année]","[Master_1].[Année].&amp;["&amp;$AV$34&amp;"]","[Master_1].[Cat_3]","[Master_1].[Cat_3].&amp;["&amp;$AS$34&amp;"]","[Master_1].[Mois (Name)]","[Master_1].[Mois (Name)].&amp;["&amp;AR38&amp;"]"),NA())</f>
        <v>1.0000000000000001E-5</v>
      </c>
      <c r="AT38" s="302">
        <f ca="1">IFERROR(GETPIVOTDATA("[Measures].[Sum of Montant]",Analyse!Q246,"[Master_1].[Année]","[Master_1].[Année].&amp;["&amp;$AV$34&amp;"]","[Master_1].[Cat_3]","[Master_1].[Cat_3].&amp;["&amp;$AS$34&amp;"]","[Master_1].[Mois (Name)]","[Master_1].[Mois (Name)].&amp;["&amp;AR38&amp;"]"),NA())</f>
        <v>1.0000000000000001E-5</v>
      </c>
      <c r="AU38" s="302" t="e">
        <f ca="1">IFERROR(GETPIVOTDATA("[Measures].[Sum of Montant]",Analyse!Q216,"[Master_1].[Année]","[Master_1].[Année].&amp;["&amp;$AU$34&amp;"]","[Master_1].[Cat_3]","[Master_1].[Cat_3].&amp;["&amp;$AS$34&amp;"]","[Master_1].[Mois (Name)]","[Master_1].[Mois (Name)].&amp;["&amp;AR38&amp;"]"),NA())</f>
        <v>#N/A</v>
      </c>
      <c r="AV38" s="302">
        <f t="shared" ca="1" si="51"/>
        <v>1.0000000000000001E-5</v>
      </c>
      <c r="AW38" s="302">
        <f t="shared" ca="1" si="52"/>
        <v>1.0000000000000001E-5</v>
      </c>
      <c r="AX38" s="302" t="e">
        <f t="shared" ca="1" si="53"/>
        <v>#N/A</v>
      </c>
      <c r="AY38" s="302">
        <f t="shared" ca="1" si="54"/>
        <v>1.0000000000000001E-5</v>
      </c>
      <c r="AZ38" s="302" t="e">
        <f t="shared" ca="1" si="55"/>
        <v>#N/A</v>
      </c>
      <c r="CL38" s="5"/>
      <c r="EV38" s="5">
        <v>2061</v>
      </c>
      <c r="EW38" s="311">
        <v>0.01</v>
      </c>
      <c r="EX38" s="311">
        <v>0.01</v>
      </c>
      <c r="EY38" s="311">
        <v>0.01</v>
      </c>
      <c r="EZ38" s="29"/>
      <c r="FA38" s="5"/>
      <c r="FB38" s="311"/>
      <c r="FC38" s="311"/>
      <c r="FD38" s="311"/>
    </row>
    <row r="39" spans="1:160" x14ac:dyDescent="0.25">
      <c r="A39" s="9" t="str">
        <f ca="1">Library!R23</f>
        <v>Jun</v>
      </c>
      <c r="B39" s="9">
        <f ca="1">IFERROR(IF(GETPIVOTDATA("[Measures].[Sum of Montant]",Analyse!$A$10,"[Master_1].[Mois (Name)]","[Master_1].[Mois (Name)].&amp;["&amp;ControlChart!A39&amp;"]","[Master_1].[Année]","[Master_1].[Année].&amp;["&amp;ControlChart!$B$33&amp;"]")="",NA(),GETPIVOTDATA("[Measures].[Sum of Montant]",Analyse!$A$10,"[Master_1].[Mois (Name)]","[Master_1].[Mois (Name)].&amp;["&amp;ControlChart!A39&amp;"]","[Master_1].[Année]","[Master_1].[Année].&amp;["&amp;ControlChart!$B$33&amp;"]")),NA())</f>
        <v>9.0000000000000006E-5</v>
      </c>
      <c r="C39" s="9" t="e">
        <f ca="1">IFERROR(GETPIVOTDATA("[Measures].[Sum of Montant]",Analyse!$A$10,"[Master_1].[Mois (Name)]","[Master_1].[Mois (Name)].&amp;["&amp;ControlChart!A39&amp;"]","[Master_1].[Année]","[Master_1].[Année].&amp;["&amp;ControlChart!$C$33&amp;"]"),NA())</f>
        <v>#N/A</v>
      </c>
      <c r="D39" s="9">
        <v>0</v>
      </c>
      <c r="AR39" s="9" t="str">
        <f ca="1">Library!R22</f>
        <v>May</v>
      </c>
      <c r="AS39" s="302">
        <f ca="1">IFERROR(GETPIVOTDATA("[Measures].[Sum of Montant]",Analyse!Q217,"[Master_1].[Année]","[Master_1].[Année].&amp;["&amp;$AV$34&amp;"]","[Master_1].[Cat_3]","[Master_1].[Cat_3].&amp;["&amp;$AS$34&amp;"]","[Master_1].[Mois (Name)]","[Master_1].[Mois (Name)].&amp;["&amp;AR39&amp;"]"),NA())</f>
        <v>1.0000000000000001E-5</v>
      </c>
      <c r="AT39" s="302">
        <f ca="1">IFERROR(GETPIVOTDATA("[Measures].[Sum of Montant]",Analyse!Q247,"[Master_1].[Année]","[Master_1].[Année].&amp;["&amp;$AV$34&amp;"]","[Master_1].[Cat_3]","[Master_1].[Cat_3].&amp;["&amp;$AS$34&amp;"]","[Master_1].[Mois (Name)]","[Master_1].[Mois (Name)].&amp;["&amp;AR39&amp;"]"),NA())</f>
        <v>1.0000000000000001E-5</v>
      </c>
      <c r="AU39" s="302" t="e">
        <f ca="1">IFERROR(GETPIVOTDATA("[Measures].[Sum of Montant]",Analyse!Q217,"[Master_1].[Année]","[Master_1].[Année].&amp;["&amp;$AU$34&amp;"]","[Master_1].[Cat_3]","[Master_1].[Cat_3].&amp;["&amp;$AS$34&amp;"]","[Master_1].[Mois (Name)]","[Master_1].[Mois (Name)].&amp;["&amp;AR39&amp;"]"),NA())</f>
        <v>#N/A</v>
      </c>
      <c r="AV39" s="302">
        <f t="shared" ca="1" si="51"/>
        <v>1.0000000000000001E-5</v>
      </c>
      <c r="AW39" s="302">
        <f t="shared" ca="1" si="52"/>
        <v>1.0000000000000001E-5</v>
      </c>
      <c r="AX39" s="302" t="e">
        <f t="shared" ca="1" si="53"/>
        <v>#N/A</v>
      </c>
      <c r="AY39" s="302">
        <f t="shared" ca="1" si="54"/>
        <v>1.0000000000000001E-5</v>
      </c>
      <c r="AZ39" s="302" t="e">
        <f t="shared" ca="1" si="55"/>
        <v>#N/A</v>
      </c>
      <c r="CL39" s="5"/>
      <c r="EV39" s="5">
        <v>2062</v>
      </c>
      <c r="EW39" s="311">
        <v>0.01</v>
      </c>
      <c r="EX39" s="311">
        <v>0.01</v>
      </c>
      <c r="EY39" s="311">
        <v>0.01</v>
      </c>
      <c r="EZ39" s="29"/>
      <c r="FA39" s="5"/>
      <c r="FB39" s="311"/>
      <c r="FC39" s="311"/>
      <c r="FD39" s="311"/>
    </row>
    <row r="40" spans="1:160" x14ac:dyDescent="0.25">
      <c r="A40" s="9" t="str">
        <f ca="1">Library!R24</f>
        <v>Jul</v>
      </c>
      <c r="B40" s="9">
        <f ca="1">IFERROR(IF(GETPIVOTDATA("[Measures].[Sum of Montant]",Analyse!$A$10,"[Master_1].[Mois (Name)]","[Master_1].[Mois (Name)].&amp;["&amp;ControlChart!A40&amp;"]","[Master_1].[Année]","[Master_1].[Année].&amp;["&amp;ControlChart!$B$33&amp;"]")="",NA(),GETPIVOTDATA("[Measures].[Sum of Montant]",Analyse!$A$10,"[Master_1].[Mois (Name)]","[Master_1].[Mois (Name)].&amp;["&amp;ControlChart!A40&amp;"]","[Master_1].[Année]","[Master_1].[Année].&amp;["&amp;ControlChart!$B$33&amp;"]")),NA())</f>
        <v>9.0000000000000006E-5</v>
      </c>
      <c r="C40" s="9" t="e">
        <f ca="1">IFERROR(GETPIVOTDATA("[Measures].[Sum of Montant]",Analyse!$A$10,"[Master_1].[Mois (Name)]","[Master_1].[Mois (Name)].&amp;["&amp;ControlChart!A40&amp;"]","[Master_1].[Année]","[Master_1].[Année].&amp;["&amp;ControlChart!$C$33&amp;"]"),NA())</f>
        <v>#N/A</v>
      </c>
      <c r="D40" s="9">
        <v>0</v>
      </c>
      <c r="AR40" s="9" t="str">
        <f ca="1">Library!R23</f>
        <v>Jun</v>
      </c>
      <c r="AS40" s="302">
        <f ca="1">IFERROR(GETPIVOTDATA("[Measures].[Sum of Montant]",Analyse!Q218,"[Master_1].[Année]","[Master_1].[Année].&amp;["&amp;$AV$34&amp;"]","[Master_1].[Cat_3]","[Master_1].[Cat_3].&amp;["&amp;$AS$34&amp;"]","[Master_1].[Mois (Name)]","[Master_1].[Mois (Name)].&amp;["&amp;AR40&amp;"]"),NA())</f>
        <v>1.0000000000000001E-5</v>
      </c>
      <c r="AT40" s="302">
        <f ca="1">IFERROR(GETPIVOTDATA("[Measures].[Sum of Montant]",Analyse!Q248,"[Master_1].[Année]","[Master_1].[Année].&amp;["&amp;$AV$34&amp;"]","[Master_1].[Cat_3]","[Master_1].[Cat_3].&amp;["&amp;$AS$34&amp;"]","[Master_1].[Mois (Name)]","[Master_1].[Mois (Name)].&amp;["&amp;AR40&amp;"]"),NA())</f>
        <v>1.0000000000000001E-5</v>
      </c>
      <c r="AU40" s="302" t="e">
        <f ca="1">IFERROR(GETPIVOTDATA("[Measures].[Sum of Montant]",Analyse!Q218,"[Master_1].[Année]","[Master_1].[Année].&amp;["&amp;$AU$34&amp;"]","[Master_1].[Cat_3]","[Master_1].[Cat_3].&amp;["&amp;$AS$34&amp;"]","[Master_1].[Mois (Name)]","[Master_1].[Mois (Name)].&amp;["&amp;AR40&amp;"]"),NA())</f>
        <v>#N/A</v>
      </c>
      <c r="AV40" s="302">
        <f t="shared" ca="1" si="51"/>
        <v>1.0000000000000001E-5</v>
      </c>
      <c r="AW40" s="302">
        <f t="shared" ca="1" si="52"/>
        <v>1.0000000000000001E-5</v>
      </c>
      <c r="AX40" s="302" t="e">
        <f t="shared" ca="1" si="53"/>
        <v>#N/A</v>
      </c>
      <c r="AY40" s="302">
        <f t="shared" ca="1" si="54"/>
        <v>1.0000000000000001E-5</v>
      </c>
      <c r="AZ40" s="302" t="e">
        <f t="shared" ca="1" si="55"/>
        <v>#N/A</v>
      </c>
      <c r="CL40" s="5"/>
      <c r="EV40" s="5">
        <v>2063</v>
      </c>
      <c r="EW40" s="311">
        <v>0.01</v>
      </c>
      <c r="EX40" s="311">
        <v>0.01</v>
      </c>
      <c r="EY40" s="311">
        <v>0.01</v>
      </c>
      <c r="EZ40" s="29"/>
      <c r="FA40" s="5"/>
      <c r="FB40" s="311"/>
      <c r="FC40" s="311"/>
      <c r="FD40" s="311"/>
    </row>
    <row r="41" spans="1:160" x14ac:dyDescent="0.25">
      <c r="A41" s="9" t="str">
        <f ca="1">Library!R25</f>
        <v>Aug</v>
      </c>
      <c r="B41" s="9">
        <f ca="1">IFERROR(IF(GETPIVOTDATA("[Measures].[Sum of Montant]",Analyse!$A$10,"[Master_1].[Mois (Name)]","[Master_1].[Mois (Name)].&amp;["&amp;ControlChart!A41&amp;"]","[Master_1].[Année]","[Master_1].[Année].&amp;["&amp;ControlChart!$B$33&amp;"]")="",NA(),GETPIVOTDATA("[Measures].[Sum of Montant]",Analyse!$A$10,"[Master_1].[Mois (Name)]","[Master_1].[Mois (Name)].&amp;["&amp;ControlChart!A41&amp;"]","[Master_1].[Année]","[Master_1].[Année].&amp;["&amp;ControlChart!$B$33&amp;"]")),NA())</f>
        <v>9.0000000000000006E-5</v>
      </c>
      <c r="C41" s="9" t="e">
        <f ca="1">IFERROR(GETPIVOTDATA("[Measures].[Sum of Montant]",Analyse!$A$10,"[Master_1].[Mois (Name)]","[Master_1].[Mois (Name)].&amp;["&amp;ControlChart!A41&amp;"]","[Master_1].[Année]","[Master_1].[Année].&amp;["&amp;ControlChart!$C$33&amp;"]"),NA())</f>
        <v>#N/A</v>
      </c>
      <c r="D41" s="9">
        <v>0</v>
      </c>
      <c r="AR41" s="9" t="str">
        <f ca="1">Library!R24</f>
        <v>Jul</v>
      </c>
      <c r="AS41" s="302">
        <f ca="1">IFERROR(GETPIVOTDATA("[Measures].[Sum of Montant]",Analyse!Q219,"[Master_1].[Année]","[Master_1].[Année].&amp;["&amp;$AV$34&amp;"]","[Master_1].[Cat_3]","[Master_1].[Cat_3].&amp;["&amp;$AS$34&amp;"]","[Master_1].[Mois (Name)]","[Master_1].[Mois (Name)].&amp;["&amp;AR41&amp;"]"),NA())</f>
        <v>1.0000000000000001E-5</v>
      </c>
      <c r="AT41" s="302">
        <f ca="1">IFERROR(GETPIVOTDATA("[Measures].[Sum of Montant]",Analyse!Q249,"[Master_1].[Année]","[Master_1].[Année].&amp;["&amp;$AV$34&amp;"]","[Master_1].[Cat_3]","[Master_1].[Cat_3].&amp;["&amp;$AS$34&amp;"]","[Master_1].[Mois (Name)]","[Master_1].[Mois (Name)].&amp;["&amp;AR41&amp;"]"),NA())</f>
        <v>1.0000000000000001E-5</v>
      </c>
      <c r="AU41" s="302" t="e">
        <f ca="1">IFERROR(GETPIVOTDATA("[Measures].[Sum of Montant]",Analyse!Q219,"[Master_1].[Année]","[Master_1].[Année].&amp;["&amp;$AU$34&amp;"]","[Master_1].[Cat_3]","[Master_1].[Cat_3].&amp;["&amp;$AS$34&amp;"]","[Master_1].[Mois (Name)]","[Master_1].[Mois (Name)].&amp;["&amp;AR41&amp;"]"),NA())</f>
        <v>#N/A</v>
      </c>
      <c r="AV41" s="302">
        <f t="shared" ca="1" si="51"/>
        <v>1.0000000000000001E-5</v>
      </c>
      <c r="AW41" s="302">
        <f t="shared" ca="1" si="52"/>
        <v>1.0000000000000001E-5</v>
      </c>
      <c r="AX41" s="302" t="e">
        <f t="shared" ca="1" si="53"/>
        <v>#N/A</v>
      </c>
      <c r="AY41" s="302">
        <f t="shared" ca="1" si="54"/>
        <v>1.0000000000000001E-5</v>
      </c>
      <c r="AZ41" s="302" t="e">
        <f t="shared" ca="1" si="55"/>
        <v>#N/A</v>
      </c>
      <c r="CL41" s="5"/>
      <c r="EV41" s="5">
        <v>2064</v>
      </c>
      <c r="EW41" s="311">
        <v>0.01</v>
      </c>
      <c r="EX41" s="311">
        <v>0.01</v>
      </c>
      <c r="EY41" s="311">
        <v>0.01</v>
      </c>
      <c r="EZ41" s="29"/>
      <c r="FA41" s="5"/>
      <c r="FB41" s="311"/>
      <c r="FC41" s="311"/>
      <c r="FD41" s="311"/>
    </row>
    <row r="42" spans="1:160" x14ac:dyDescent="0.25">
      <c r="A42" s="9" t="str">
        <f ca="1">Library!R26</f>
        <v>Sep</v>
      </c>
      <c r="B42" s="9">
        <f ca="1">IFERROR(IF(GETPIVOTDATA("[Measures].[Sum of Montant]",Analyse!$A$10,"[Master_1].[Mois (Name)]","[Master_1].[Mois (Name)].&amp;["&amp;ControlChart!A42&amp;"]","[Master_1].[Année]","[Master_1].[Année].&amp;["&amp;ControlChart!$B$33&amp;"]")="",NA(),GETPIVOTDATA("[Measures].[Sum of Montant]",Analyse!$A$10,"[Master_1].[Mois (Name)]","[Master_1].[Mois (Name)].&amp;["&amp;ControlChart!A42&amp;"]","[Master_1].[Année]","[Master_1].[Année].&amp;["&amp;ControlChart!$B$33&amp;"]")),NA())</f>
        <v>1E-4</v>
      </c>
      <c r="C42" s="9" t="e">
        <f ca="1">IFERROR(GETPIVOTDATA("[Measures].[Sum of Montant]",Analyse!$A$10,"[Master_1].[Mois (Name)]","[Master_1].[Mois (Name)].&amp;["&amp;ControlChart!A42&amp;"]","[Master_1].[Année]","[Master_1].[Année].&amp;["&amp;ControlChart!$C$33&amp;"]"),NA())</f>
        <v>#N/A</v>
      </c>
      <c r="D42" s="9">
        <v>0</v>
      </c>
      <c r="AR42" s="9" t="str">
        <f ca="1">Library!R25</f>
        <v>Aug</v>
      </c>
      <c r="AS42" s="302">
        <f ca="1">IFERROR(GETPIVOTDATA("[Measures].[Sum of Montant]",Analyse!Q220,"[Master_1].[Année]","[Master_1].[Année].&amp;["&amp;$AV$34&amp;"]","[Master_1].[Cat_3]","[Master_1].[Cat_3].&amp;["&amp;$AS$34&amp;"]","[Master_1].[Mois (Name)]","[Master_1].[Mois (Name)].&amp;["&amp;AR42&amp;"]"),NA())</f>
        <v>1.0000000000000001E-5</v>
      </c>
      <c r="AT42" s="302">
        <f ca="1">IFERROR(GETPIVOTDATA("[Measures].[Sum of Montant]",Analyse!Q250,"[Master_1].[Année]","[Master_1].[Année].&amp;["&amp;$AV$34&amp;"]","[Master_1].[Cat_3]","[Master_1].[Cat_3].&amp;["&amp;$AS$34&amp;"]","[Master_1].[Mois (Name)]","[Master_1].[Mois (Name)].&amp;["&amp;AR42&amp;"]"),NA())</f>
        <v>1.0000000000000001E-5</v>
      </c>
      <c r="AU42" s="302" t="e">
        <f ca="1">IFERROR(GETPIVOTDATA("[Measures].[Sum of Montant]",Analyse!Q220,"[Master_1].[Année]","[Master_1].[Année].&amp;["&amp;$AU$34&amp;"]","[Master_1].[Cat_3]","[Master_1].[Cat_3].&amp;["&amp;$AS$34&amp;"]","[Master_1].[Mois (Name)]","[Master_1].[Mois (Name)].&amp;["&amp;AR42&amp;"]"),NA())</f>
        <v>#N/A</v>
      </c>
      <c r="AV42" s="302">
        <f t="shared" ca="1" si="51"/>
        <v>1.0000000000000001E-5</v>
      </c>
      <c r="AW42" s="302">
        <f t="shared" ca="1" si="52"/>
        <v>1.0000000000000001E-5</v>
      </c>
      <c r="AX42" s="302" t="e">
        <f t="shared" ca="1" si="53"/>
        <v>#N/A</v>
      </c>
      <c r="AY42" s="302">
        <f t="shared" ca="1" si="54"/>
        <v>1.0000000000000001E-5</v>
      </c>
      <c r="AZ42" s="302" t="e">
        <f t="shared" ca="1" si="55"/>
        <v>#N/A</v>
      </c>
      <c r="CL42" s="5"/>
      <c r="EV42" s="5">
        <v>2065</v>
      </c>
      <c r="EW42" s="311">
        <v>0.01</v>
      </c>
      <c r="EX42" s="311">
        <v>0.01</v>
      </c>
      <c r="EY42" s="311">
        <v>0.01</v>
      </c>
      <c r="EZ42" s="29"/>
      <c r="FA42" s="5"/>
      <c r="FB42" s="311"/>
      <c r="FC42" s="311"/>
      <c r="FD42" s="311"/>
    </row>
    <row r="43" spans="1:160" x14ac:dyDescent="0.25">
      <c r="A43" s="9" t="str">
        <f ca="1">Library!R27</f>
        <v>Oct</v>
      </c>
      <c r="B43" s="9">
        <f ca="1">IFERROR(IF(GETPIVOTDATA("[Measures].[Sum of Montant]",Analyse!$A$10,"[Master_1].[Mois (Name)]","[Master_1].[Mois (Name)].&amp;["&amp;ControlChart!A43&amp;"]","[Master_1].[Année]","[Master_1].[Année].&amp;["&amp;ControlChart!$B$33&amp;"]")="",NA(),GETPIVOTDATA("[Measures].[Sum of Montant]",Analyse!$A$10,"[Master_1].[Mois (Name)]","[Master_1].[Mois (Name)].&amp;["&amp;ControlChart!A43&amp;"]","[Master_1].[Année]","[Master_1].[Année].&amp;["&amp;ControlChart!$B$33&amp;"]")),NA())</f>
        <v>9.0000000000000006E-5</v>
      </c>
      <c r="C43" s="9" t="e">
        <f ca="1">IFERROR(GETPIVOTDATA("[Measures].[Sum of Montant]",Analyse!$A$10,"[Master_1].[Mois (Name)]","[Master_1].[Mois (Name)].&amp;["&amp;ControlChart!A43&amp;"]","[Master_1].[Année]","[Master_1].[Année].&amp;["&amp;ControlChart!$C$33&amp;"]"),NA())</f>
        <v>#N/A</v>
      </c>
      <c r="D43" s="9">
        <v>0</v>
      </c>
      <c r="AR43" s="9" t="str">
        <f ca="1">Library!R26</f>
        <v>Sep</v>
      </c>
      <c r="AS43" s="302">
        <f ca="1">IFERROR(GETPIVOTDATA("[Measures].[Sum of Montant]",Analyse!Q221,"[Master_1].[Année]","[Master_1].[Année].&amp;["&amp;$AV$34&amp;"]","[Master_1].[Cat_3]","[Master_1].[Cat_3].&amp;["&amp;$AS$34&amp;"]","[Master_1].[Mois (Name)]","[Master_1].[Mois (Name)].&amp;["&amp;AR43&amp;"]"),NA())</f>
        <v>1.0000000000000001E-5</v>
      </c>
      <c r="AT43" s="302">
        <f ca="1">IFERROR(GETPIVOTDATA("[Measures].[Sum of Montant]",Analyse!Q251,"[Master_1].[Année]","[Master_1].[Année].&amp;["&amp;$AV$34&amp;"]","[Master_1].[Cat_3]","[Master_1].[Cat_3].&amp;["&amp;$AS$34&amp;"]","[Master_1].[Mois (Name)]","[Master_1].[Mois (Name)].&amp;["&amp;AR43&amp;"]"),NA())</f>
        <v>1.0000000000000001E-5</v>
      </c>
      <c r="AU43" s="302" t="e">
        <f ca="1">IFERROR(GETPIVOTDATA("[Measures].[Sum of Montant]",Analyse!Q221,"[Master_1].[Année]","[Master_1].[Année].&amp;["&amp;$AU$34&amp;"]","[Master_1].[Cat_3]","[Master_1].[Cat_3].&amp;["&amp;$AS$34&amp;"]","[Master_1].[Mois (Name)]","[Master_1].[Mois (Name)].&amp;["&amp;AR43&amp;"]"),NA())</f>
        <v>#N/A</v>
      </c>
      <c r="AV43" s="302">
        <f t="shared" ca="1" si="51"/>
        <v>1.0000000000000001E-5</v>
      </c>
      <c r="AW43" s="302">
        <f t="shared" ca="1" si="52"/>
        <v>1.0000000000000001E-5</v>
      </c>
      <c r="AX43" s="302" t="e">
        <f t="shared" ca="1" si="53"/>
        <v>#N/A</v>
      </c>
      <c r="AY43" s="302">
        <f t="shared" ca="1" si="54"/>
        <v>1.0000000000000001E-5</v>
      </c>
      <c r="AZ43" s="302" t="e">
        <f t="shared" ca="1" si="55"/>
        <v>#N/A</v>
      </c>
      <c r="CL43" s="5"/>
      <c r="EV43" s="5">
        <v>2066</v>
      </c>
      <c r="EW43" s="311">
        <v>0.01</v>
      </c>
      <c r="EX43" s="311">
        <v>0.01</v>
      </c>
      <c r="EY43" s="311">
        <v>0.01</v>
      </c>
      <c r="EZ43" s="29"/>
      <c r="FA43" s="5"/>
      <c r="FB43" s="311"/>
      <c r="FC43" s="311"/>
      <c r="FD43" s="311"/>
    </row>
    <row r="44" spans="1:160" x14ac:dyDescent="0.25">
      <c r="A44" s="9" t="str">
        <f ca="1">Library!R28</f>
        <v>Nov</v>
      </c>
      <c r="B44" s="9">
        <f ca="1">IFERROR(IF(GETPIVOTDATA("[Measures].[Sum of Montant]",Analyse!$A$10,"[Master_1].[Mois (Name)]","[Master_1].[Mois (Name)].&amp;["&amp;ControlChart!A44&amp;"]","[Master_1].[Année]","[Master_1].[Année].&amp;["&amp;ControlChart!$B$33&amp;"]")="",NA(),GETPIVOTDATA("[Measures].[Sum of Montant]",Analyse!$A$10,"[Master_1].[Mois (Name)]","[Master_1].[Mois (Name)].&amp;["&amp;ControlChart!A44&amp;"]","[Master_1].[Année]","[Master_1].[Année].&amp;["&amp;ControlChart!$B$33&amp;"]")),NA())</f>
        <v>9.0000000000000006E-5</v>
      </c>
      <c r="C44" s="9" t="e">
        <f ca="1">IFERROR(GETPIVOTDATA("[Measures].[Sum of Montant]",Analyse!$A$10,"[Master_1].[Mois (Name)]","[Master_1].[Mois (Name)].&amp;["&amp;ControlChart!A44&amp;"]","[Master_1].[Année]","[Master_1].[Année].&amp;["&amp;ControlChart!$C$33&amp;"]"),NA())</f>
        <v>#N/A</v>
      </c>
      <c r="D44" s="9">
        <v>0</v>
      </c>
      <c r="AR44" s="9" t="str">
        <f ca="1">Library!R27</f>
        <v>Oct</v>
      </c>
      <c r="AS44" s="302">
        <f ca="1">IFERROR(GETPIVOTDATA("[Measures].[Sum of Montant]",Analyse!Q222,"[Master_1].[Année]","[Master_1].[Année].&amp;["&amp;$AV$34&amp;"]","[Master_1].[Cat_3]","[Master_1].[Cat_3].&amp;["&amp;$AS$34&amp;"]","[Master_1].[Mois (Name)]","[Master_1].[Mois (Name)].&amp;["&amp;AR44&amp;"]"),NA())</f>
        <v>1.0000000000000001E-5</v>
      </c>
      <c r="AT44" s="302">
        <f ca="1">IFERROR(GETPIVOTDATA("[Measures].[Sum of Montant]",Analyse!Q252,"[Master_1].[Année]","[Master_1].[Année].&amp;["&amp;$AV$34&amp;"]","[Master_1].[Cat_3]","[Master_1].[Cat_3].&amp;["&amp;$AS$34&amp;"]","[Master_1].[Mois (Name)]","[Master_1].[Mois (Name)].&amp;["&amp;AR44&amp;"]"),NA())</f>
        <v>1.0000000000000001E-5</v>
      </c>
      <c r="AU44" s="302" t="e">
        <f ca="1">IFERROR(GETPIVOTDATA("[Measures].[Sum of Montant]",Analyse!Q222,"[Master_1].[Année]","[Master_1].[Année].&amp;["&amp;$AU$34&amp;"]","[Master_1].[Cat_3]","[Master_1].[Cat_3].&amp;["&amp;$AS$34&amp;"]","[Master_1].[Mois (Name)]","[Master_1].[Mois (Name)].&amp;["&amp;AR44&amp;"]"),NA())</f>
        <v>#N/A</v>
      </c>
      <c r="AV44" s="302">
        <f t="shared" ca="1" si="51"/>
        <v>1.0000000000000001E-5</v>
      </c>
      <c r="AW44" s="302">
        <f t="shared" ca="1" si="52"/>
        <v>1.0000000000000001E-5</v>
      </c>
      <c r="AX44" s="302" t="e">
        <f t="shared" ca="1" si="53"/>
        <v>#N/A</v>
      </c>
      <c r="AY44" s="302">
        <f t="shared" ca="1" si="54"/>
        <v>1.0000000000000001E-5</v>
      </c>
      <c r="AZ44" s="302" t="e">
        <f t="shared" ca="1" si="55"/>
        <v>#N/A</v>
      </c>
      <c r="CL44" s="5"/>
      <c r="EV44" s="5">
        <v>2067</v>
      </c>
      <c r="EW44" s="311">
        <v>0.01</v>
      </c>
      <c r="EX44" s="311">
        <v>0.01</v>
      </c>
      <c r="EY44" s="311">
        <v>0.01</v>
      </c>
      <c r="EZ44" s="29"/>
      <c r="FA44" s="5"/>
      <c r="FB44" s="311"/>
      <c r="FC44" s="311"/>
      <c r="FD44" s="311"/>
    </row>
    <row r="45" spans="1:160" x14ac:dyDescent="0.25">
      <c r="A45" s="9" t="str">
        <f ca="1">Library!R29</f>
        <v>Dec</v>
      </c>
      <c r="B45" s="9">
        <f ca="1">IFERROR(IF(GETPIVOTDATA("[Measures].[Sum of Montant]",Analyse!$A$10,"[Master_1].[Mois (Name)]","[Master_1].[Mois (Name)].&amp;["&amp;ControlChart!A45&amp;"]","[Master_1].[Année]","[Master_1].[Année].&amp;["&amp;ControlChart!$B$33&amp;"]")="",NA(),GETPIVOTDATA("[Measures].[Sum of Montant]",Analyse!$A$10,"[Master_1].[Mois (Name)]","[Master_1].[Mois (Name)].&amp;["&amp;ControlChart!A45&amp;"]","[Master_1].[Année]","[Master_1].[Année].&amp;["&amp;ControlChart!$B$33&amp;"]")),NA())</f>
        <v>9.0000000000000006E-5</v>
      </c>
      <c r="C45" s="9" t="e">
        <f ca="1">IFERROR(GETPIVOTDATA("[Measures].[Sum of Montant]",Analyse!$A$10,"[Master_1].[Mois (Name)]","[Master_1].[Mois (Name)].&amp;["&amp;ControlChart!A45&amp;"]","[Master_1].[Année]","[Master_1].[Année].&amp;["&amp;ControlChart!$C$33&amp;"]"),NA())</f>
        <v>#N/A</v>
      </c>
      <c r="D45" s="9">
        <v>0</v>
      </c>
      <c r="AR45" s="9" t="str">
        <f ca="1">Library!R28</f>
        <v>Nov</v>
      </c>
      <c r="AS45" s="302">
        <f ca="1">IFERROR(GETPIVOTDATA("[Measures].[Sum of Montant]",Analyse!Q223,"[Master_1].[Année]","[Master_1].[Année].&amp;["&amp;$AV$34&amp;"]","[Master_1].[Cat_3]","[Master_1].[Cat_3].&amp;["&amp;$AS$34&amp;"]","[Master_1].[Mois (Name)]","[Master_1].[Mois (Name)].&amp;["&amp;AR45&amp;"]"),NA())</f>
        <v>1.0000000000000001E-5</v>
      </c>
      <c r="AT45" s="302">
        <f ca="1">IFERROR(GETPIVOTDATA("[Measures].[Sum of Montant]",Analyse!Q253,"[Master_1].[Année]","[Master_1].[Année].&amp;["&amp;$AV$34&amp;"]","[Master_1].[Cat_3]","[Master_1].[Cat_3].&amp;["&amp;$AS$34&amp;"]","[Master_1].[Mois (Name)]","[Master_1].[Mois (Name)].&amp;["&amp;AR45&amp;"]"),NA())</f>
        <v>1.0000000000000001E-5</v>
      </c>
      <c r="AU45" s="302" t="e">
        <f ca="1">IFERROR(GETPIVOTDATA("[Measures].[Sum of Montant]",Analyse!Q223,"[Master_1].[Année]","[Master_1].[Année].&amp;["&amp;$AU$34&amp;"]","[Master_1].[Cat_3]","[Master_1].[Cat_3].&amp;["&amp;$AS$34&amp;"]","[Master_1].[Mois (Name)]","[Master_1].[Mois (Name)].&amp;["&amp;AR45&amp;"]"),NA())</f>
        <v>#N/A</v>
      </c>
      <c r="AV45" s="302">
        <f t="shared" ca="1" si="51"/>
        <v>1.0000000000000001E-5</v>
      </c>
      <c r="AW45" s="302">
        <f t="shared" ca="1" si="52"/>
        <v>1.0000000000000001E-5</v>
      </c>
      <c r="AX45" s="302" t="e">
        <f t="shared" ca="1" si="53"/>
        <v>#N/A</v>
      </c>
      <c r="AY45" s="302">
        <f t="shared" ca="1" si="54"/>
        <v>1.0000000000000001E-5</v>
      </c>
      <c r="AZ45" s="302" t="e">
        <f t="shared" ca="1" si="55"/>
        <v>#N/A</v>
      </c>
      <c r="CL45" s="5"/>
      <c r="EV45" s="5">
        <v>2068</v>
      </c>
      <c r="EW45" s="311">
        <v>0.01</v>
      </c>
      <c r="EX45" s="311">
        <v>0.01</v>
      </c>
      <c r="EY45" s="311">
        <v>0.01</v>
      </c>
      <c r="EZ45" s="29"/>
      <c r="FA45" s="5"/>
      <c r="FB45" s="311"/>
      <c r="FC45" s="311"/>
      <c r="FD45" s="311"/>
    </row>
    <row r="46" spans="1:160" x14ac:dyDescent="0.25">
      <c r="A46" s="8"/>
      <c r="B46" s="9"/>
      <c r="C46" s="9"/>
      <c r="D46" s="8"/>
      <c r="AR46" s="9" t="str">
        <f ca="1">Library!R29</f>
        <v>Dec</v>
      </c>
      <c r="AS46" s="302">
        <f ca="1">IFERROR(GETPIVOTDATA("[Measures].[Sum of Montant]",Analyse!Q224,"[Master_1].[Année]","[Master_1].[Année].&amp;["&amp;$AV$34&amp;"]","[Master_1].[Cat_3]","[Master_1].[Cat_3].&amp;["&amp;$AS$34&amp;"]","[Master_1].[Mois (Name)]","[Master_1].[Mois (Name)].&amp;["&amp;AR46&amp;"]"),NA())</f>
        <v>1.0000000000000001E-5</v>
      </c>
      <c r="AT46" s="302">
        <f ca="1">IFERROR(GETPIVOTDATA("[Measures].[Sum of Montant]",Analyse!Q254,"[Master_1].[Année]","[Master_1].[Année].&amp;["&amp;$AV$34&amp;"]","[Master_1].[Cat_3]","[Master_1].[Cat_3].&amp;["&amp;$AS$34&amp;"]","[Master_1].[Mois (Name)]","[Master_1].[Mois (Name)].&amp;["&amp;AR46&amp;"]"),NA())</f>
        <v>1.0000000000000001E-5</v>
      </c>
      <c r="AU46" s="302" t="e">
        <f ca="1">IFERROR(GETPIVOTDATA("[Measures].[Sum of Montant]",Analyse!Q224,"[Master_1].[Année]","[Master_1].[Année].&amp;["&amp;$AU$34&amp;"]","[Master_1].[Cat_3]","[Master_1].[Cat_3].&amp;["&amp;$AS$34&amp;"]","[Master_1].[Mois (Name)]","[Master_1].[Mois (Name)].&amp;["&amp;AR46&amp;"]"),NA())</f>
        <v>#N/A</v>
      </c>
      <c r="AV46" s="302">
        <f t="shared" ca="1" si="51"/>
        <v>1.0000000000000001E-5</v>
      </c>
      <c r="AW46" s="302">
        <f t="shared" ca="1" si="52"/>
        <v>1.0000000000000001E-5</v>
      </c>
      <c r="AX46" s="302" t="e">
        <f t="shared" ca="1" si="53"/>
        <v>#N/A</v>
      </c>
      <c r="AY46" s="302">
        <f t="shared" ca="1" si="54"/>
        <v>1.0000000000000001E-5</v>
      </c>
      <c r="AZ46" s="302" t="e">
        <f t="shared" ca="1" si="55"/>
        <v>#N/A</v>
      </c>
      <c r="CL46" s="5"/>
      <c r="EV46" s="5">
        <v>2069</v>
      </c>
      <c r="EW46" s="311">
        <v>0.01</v>
      </c>
      <c r="EX46" s="311">
        <v>0.01</v>
      </c>
      <c r="EY46" s="311">
        <v>0.01</v>
      </c>
      <c r="EZ46" s="29"/>
      <c r="FA46" s="5"/>
      <c r="FB46" s="311"/>
      <c r="FC46" s="311"/>
      <c r="FD46" s="311"/>
    </row>
    <row r="47" spans="1:160" x14ac:dyDescent="0.25">
      <c r="AR47" s="9"/>
      <c r="AS47" s="9"/>
      <c r="AT47" s="9"/>
      <c r="AU47" s="9"/>
      <c r="AV47" s="9">
        <f ca="1">IFERROR(12-COUNTIF(AW35:AW46,NA()),12)</f>
        <v>12</v>
      </c>
      <c r="AW47" s="303" cm="1">
        <f t="array" aca="1" ref="AW47" ca="1">SUM(IFERROR(AW35:AW46/AV47,0))</f>
        <v>9.9999999999999991E-6</v>
      </c>
      <c r="AX47" s="85"/>
      <c r="AY47" s="9">
        <f t="shared" ca="1" si="54"/>
        <v>12</v>
      </c>
      <c r="AZ47" s="303" cm="1">
        <f t="array" aca="1" ref="AZ47" ca="1">SUM(IFERROR(AZ35:AZ46/AY47,""))</f>
        <v>0</v>
      </c>
      <c r="CL47" s="5"/>
      <c r="EV47" s="5">
        <v>2070</v>
      </c>
      <c r="EW47" s="311">
        <v>0.01</v>
      </c>
      <c r="EX47" s="311">
        <v>0.01</v>
      </c>
      <c r="EY47" s="311">
        <v>0.01</v>
      </c>
      <c r="EZ47" s="29"/>
      <c r="FA47" s="5"/>
      <c r="FB47" s="311"/>
      <c r="FC47" s="311"/>
      <c r="FD47" s="311"/>
    </row>
    <row r="48" spans="1:160" x14ac:dyDescent="0.25">
      <c r="CL48" s="5"/>
      <c r="EV48" s="5">
        <v>2071</v>
      </c>
      <c r="EW48" s="311">
        <v>0.01</v>
      </c>
      <c r="EX48" s="311">
        <v>0.01</v>
      </c>
      <c r="EY48" s="311">
        <v>0.01</v>
      </c>
      <c r="EZ48" s="29"/>
      <c r="FA48" s="5"/>
      <c r="FB48" s="311"/>
      <c r="FC48" s="311"/>
      <c r="FD48" s="311"/>
    </row>
    <row r="49" spans="2:160" x14ac:dyDescent="0.25">
      <c r="CL49" s="5"/>
      <c r="EV49" s="5">
        <v>2072</v>
      </c>
      <c r="EW49" s="311">
        <v>0.01</v>
      </c>
      <c r="EX49" s="311">
        <v>0.01</v>
      </c>
      <c r="EY49" s="311">
        <v>0.01</v>
      </c>
      <c r="EZ49" s="29"/>
      <c r="FA49" s="5"/>
      <c r="FB49" s="311"/>
      <c r="FC49" s="311"/>
      <c r="FD49" s="311"/>
    </row>
    <row r="50" spans="2:160" x14ac:dyDescent="0.25">
      <c r="CL50" s="5"/>
      <c r="EV50" s="5">
        <v>2073</v>
      </c>
      <c r="EW50" s="311">
        <v>0.01</v>
      </c>
      <c r="EX50" s="311">
        <v>0.01</v>
      </c>
      <c r="EY50" s="311">
        <v>0.01</v>
      </c>
      <c r="EZ50" s="29"/>
      <c r="FA50" s="5"/>
      <c r="FB50" s="311"/>
      <c r="FC50" s="311"/>
      <c r="FD50" s="311"/>
    </row>
    <row r="51" spans="2:160" x14ac:dyDescent="0.25">
      <c r="B51" s="5"/>
      <c r="C51" s="5"/>
      <c r="CL51" s="5"/>
      <c r="EV51" s="5">
        <v>2074</v>
      </c>
      <c r="EW51" s="311">
        <v>0.01</v>
      </c>
      <c r="EX51" s="311">
        <v>0.01</v>
      </c>
      <c r="EY51" s="311">
        <v>0.01</v>
      </c>
      <c r="EZ51" s="29"/>
      <c r="FA51" s="5"/>
      <c r="FB51" s="311"/>
      <c r="FC51" s="311"/>
      <c r="FD51" s="311"/>
    </row>
    <row r="52" spans="2:160" x14ac:dyDescent="0.25">
      <c r="B52" s="5"/>
      <c r="C52" s="5"/>
      <c r="CL52" s="5"/>
      <c r="EV52" s="5">
        <v>2075</v>
      </c>
      <c r="EW52" s="311">
        <v>0.01</v>
      </c>
      <c r="EX52" s="311">
        <v>0.01</v>
      </c>
      <c r="EY52" s="311">
        <v>0.01</v>
      </c>
      <c r="EZ52" s="29"/>
      <c r="FA52" s="5"/>
      <c r="FB52" s="311"/>
      <c r="FC52" s="311"/>
      <c r="FD52" s="311"/>
    </row>
    <row r="53" spans="2:160" x14ac:dyDescent="0.25">
      <c r="B53" s="5"/>
      <c r="C53" s="5"/>
      <c r="CL53" s="5"/>
      <c r="EV53" s="5">
        <v>2076</v>
      </c>
      <c r="EW53" s="311">
        <v>0.01</v>
      </c>
      <c r="EX53" s="311">
        <v>0.01</v>
      </c>
      <c r="EY53" s="311">
        <v>0.01</v>
      </c>
      <c r="EZ53" s="29"/>
      <c r="FA53" s="5"/>
      <c r="FB53" s="311"/>
      <c r="FC53" s="311"/>
      <c r="FD53" s="311"/>
    </row>
    <row r="54" spans="2:160" x14ac:dyDescent="0.25">
      <c r="B54" s="5"/>
      <c r="C54" s="5"/>
      <c r="CL54" s="5"/>
      <c r="EV54" s="5">
        <v>2077</v>
      </c>
      <c r="EW54" s="311">
        <v>0.01</v>
      </c>
      <c r="EX54" s="311">
        <v>0.01</v>
      </c>
      <c r="EY54" s="311">
        <v>0.01</v>
      </c>
      <c r="EZ54" s="29"/>
      <c r="FA54" s="5"/>
      <c r="FB54" s="311"/>
      <c r="FC54" s="311"/>
      <c r="FD54" s="311"/>
    </row>
    <row r="55" spans="2:160" x14ac:dyDescent="0.25">
      <c r="B55" s="5"/>
      <c r="C55" s="5"/>
      <c r="CL55" s="5"/>
      <c r="EV55" s="5">
        <v>2078</v>
      </c>
      <c r="EW55" s="311">
        <v>0.01</v>
      </c>
      <c r="EX55" s="311">
        <v>0.01</v>
      </c>
      <c r="EY55" s="311">
        <v>0.01</v>
      </c>
      <c r="EZ55" s="29"/>
      <c r="FA55" s="5"/>
      <c r="FB55" s="311"/>
      <c r="FC55" s="311"/>
      <c r="FD55" s="311"/>
    </row>
    <row r="56" spans="2:160" x14ac:dyDescent="0.25">
      <c r="B56" s="5"/>
      <c r="C56" s="5"/>
      <c r="CL56" s="5"/>
      <c r="EV56" s="5">
        <v>2079</v>
      </c>
      <c r="EW56" s="311">
        <v>0.01</v>
      </c>
      <c r="EX56" s="311">
        <v>0.01</v>
      </c>
      <c r="EY56" s="311">
        <v>0.01</v>
      </c>
      <c r="EZ56" s="29"/>
      <c r="FA56" s="5"/>
      <c r="FB56" s="311"/>
      <c r="FC56" s="311"/>
      <c r="FD56" s="311"/>
    </row>
    <row r="57" spans="2:160" x14ac:dyDescent="0.25">
      <c r="B57" s="5"/>
      <c r="C57" s="5"/>
      <c r="CL57" s="5"/>
      <c r="EV57" s="5">
        <v>2080</v>
      </c>
      <c r="EW57" s="311">
        <v>0.01</v>
      </c>
      <c r="EX57" s="311">
        <v>0.01</v>
      </c>
      <c r="EY57" s="311">
        <v>0.01</v>
      </c>
      <c r="EZ57" s="29"/>
      <c r="FA57" s="5"/>
      <c r="FB57" s="311"/>
      <c r="FC57" s="311"/>
      <c r="FD57" s="311"/>
    </row>
    <row r="58" spans="2:160" x14ac:dyDescent="0.25">
      <c r="B58" s="5"/>
      <c r="C58" s="5"/>
      <c r="CL58" s="5"/>
      <c r="EV58" s="5">
        <v>2081</v>
      </c>
      <c r="EW58" s="311"/>
      <c r="EX58" s="311"/>
      <c r="EY58" s="311"/>
      <c r="EZ58" s="29"/>
      <c r="FA58" s="5"/>
      <c r="FB58" s="311"/>
      <c r="FC58" s="311"/>
      <c r="FD58" s="311"/>
    </row>
    <row r="59" spans="2:160" x14ac:dyDescent="0.25">
      <c r="B59" s="5"/>
      <c r="C59" s="5"/>
      <c r="CL59" s="5"/>
      <c r="EV59" s="5">
        <v>2082</v>
      </c>
      <c r="EW59" s="311"/>
      <c r="EX59" s="311"/>
      <c r="EY59" s="311"/>
      <c r="EZ59" s="29"/>
      <c r="FA59" s="5"/>
      <c r="FB59" s="311"/>
      <c r="FC59" s="311"/>
      <c r="FD59" s="311"/>
    </row>
    <row r="60" spans="2:160" x14ac:dyDescent="0.25">
      <c r="B60" s="5"/>
      <c r="C60" s="5"/>
      <c r="CL60" s="5"/>
      <c r="EV60" s="5">
        <v>2083</v>
      </c>
      <c r="EW60" s="311"/>
      <c r="EX60" s="311"/>
      <c r="EY60" s="311"/>
      <c r="EZ60" s="29"/>
      <c r="FA60" s="5"/>
      <c r="FB60" s="311"/>
      <c r="FC60" s="311"/>
      <c r="FD60" s="311"/>
    </row>
    <row r="61" spans="2:160" x14ac:dyDescent="0.25">
      <c r="B61" s="5"/>
      <c r="C61" s="5"/>
      <c r="CL61" s="5"/>
      <c r="EV61" s="5">
        <v>2084</v>
      </c>
      <c r="EW61" s="311"/>
      <c r="EX61" s="311"/>
      <c r="EY61" s="311"/>
      <c r="EZ61" s="29"/>
      <c r="FA61" s="5"/>
      <c r="FB61" s="311"/>
      <c r="FC61" s="311"/>
      <c r="FD61" s="311"/>
    </row>
    <row r="62" spans="2:160" x14ac:dyDescent="0.25">
      <c r="B62" s="5"/>
      <c r="C62" s="5"/>
      <c r="CL62" s="5"/>
      <c r="EV62" s="5">
        <v>2085</v>
      </c>
      <c r="EW62" s="311"/>
      <c r="EX62" s="311"/>
      <c r="EY62" s="311"/>
      <c r="EZ62" s="29"/>
      <c r="FA62" s="5"/>
      <c r="FB62" s="311"/>
      <c r="FC62" s="311"/>
      <c r="FD62" s="311"/>
    </row>
    <row r="63" spans="2:160" x14ac:dyDescent="0.25">
      <c r="B63" s="5"/>
      <c r="C63" s="5"/>
      <c r="CL63" s="5"/>
      <c r="EV63" s="5">
        <v>2086</v>
      </c>
      <c r="EW63" s="311"/>
      <c r="EX63" s="311"/>
      <c r="EY63" s="311"/>
      <c r="EZ63" s="29"/>
      <c r="FA63" s="5"/>
      <c r="FB63" s="311"/>
      <c r="FC63" s="311"/>
      <c r="FD63" s="311"/>
    </row>
    <row r="64" spans="2:160" x14ac:dyDescent="0.25">
      <c r="CL64" s="5"/>
      <c r="EV64" s="5">
        <v>2087</v>
      </c>
      <c r="EW64" s="311"/>
      <c r="EX64" s="311"/>
      <c r="EY64" s="311"/>
      <c r="EZ64" s="29"/>
      <c r="FA64" s="5"/>
      <c r="FB64" s="311"/>
      <c r="FC64" s="311"/>
      <c r="FD64" s="311"/>
    </row>
    <row r="65" spans="90:160" x14ac:dyDescent="0.25">
      <c r="CL65" s="5"/>
      <c r="EV65" s="5">
        <v>2088</v>
      </c>
      <c r="EW65" s="311"/>
      <c r="EX65" s="311"/>
      <c r="EY65" s="311"/>
      <c r="EZ65" s="29"/>
      <c r="FA65" s="5"/>
      <c r="FB65" s="311"/>
      <c r="FC65" s="311"/>
      <c r="FD65" s="311"/>
    </row>
    <row r="66" spans="90:160" x14ac:dyDescent="0.25">
      <c r="CL66" s="5"/>
      <c r="EV66" s="5">
        <v>2089</v>
      </c>
      <c r="EW66" s="311"/>
      <c r="EX66" s="311"/>
      <c r="EY66" s="311"/>
      <c r="EZ66" s="29"/>
      <c r="FA66" s="5"/>
      <c r="FB66" s="311"/>
      <c r="FC66" s="311"/>
      <c r="FD66" s="311"/>
    </row>
    <row r="67" spans="90:160" x14ac:dyDescent="0.25">
      <c r="CL67" s="5"/>
      <c r="EV67" s="5">
        <v>2090</v>
      </c>
      <c r="EW67" s="311"/>
      <c r="EX67" s="311"/>
      <c r="EY67" s="311"/>
      <c r="EZ67" s="29"/>
      <c r="FA67" s="5"/>
      <c r="FB67" s="311"/>
      <c r="FC67" s="311"/>
      <c r="FD67" s="311"/>
    </row>
    <row r="68" spans="90:160" x14ac:dyDescent="0.25">
      <c r="CL68" s="5"/>
      <c r="EV68" s="5">
        <v>2091</v>
      </c>
      <c r="EW68" s="311"/>
      <c r="EX68" s="311"/>
      <c r="EY68" s="311"/>
      <c r="EZ68" s="29"/>
      <c r="FA68" s="5"/>
      <c r="FB68" s="311"/>
      <c r="FC68" s="311"/>
      <c r="FD68" s="311"/>
    </row>
    <row r="69" spans="90:160" x14ac:dyDescent="0.25">
      <c r="CL69" s="5"/>
      <c r="EV69" s="5">
        <v>2092</v>
      </c>
      <c r="EW69" s="311"/>
      <c r="EX69" s="311"/>
      <c r="EY69" s="311"/>
      <c r="EZ69" s="29"/>
      <c r="FA69" s="5"/>
      <c r="FB69" s="311"/>
      <c r="FC69" s="311"/>
      <c r="FD69" s="311"/>
    </row>
    <row r="70" spans="90:160" x14ac:dyDescent="0.25">
      <c r="CL70" s="5"/>
      <c r="EV70" s="5">
        <v>2093</v>
      </c>
      <c r="EW70" s="311"/>
      <c r="EX70" s="311"/>
      <c r="EY70" s="311"/>
      <c r="EZ70" s="29"/>
      <c r="FA70" s="5"/>
      <c r="FB70" s="311"/>
      <c r="FC70" s="311"/>
      <c r="FD70" s="311"/>
    </row>
    <row r="71" spans="90:160" x14ac:dyDescent="0.25">
      <c r="CL71" s="5"/>
      <c r="EV71" s="5">
        <v>2094</v>
      </c>
      <c r="EW71" s="311"/>
      <c r="EX71" s="311"/>
      <c r="EY71" s="311"/>
      <c r="EZ71" s="29"/>
      <c r="FA71" s="5"/>
      <c r="FB71" s="311"/>
      <c r="FC71" s="311"/>
      <c r="FD71" s="311"/>
    </row>
    <row r="72" spans="90:160" x14ac:dyDescent="0.25">
      <c r="CL72" s="5"/>
      <c r="EV72" s="5">
        <v>2095</v>
      </c>
      <c r="EW72" s="311"/>
      <c r="EX72" s="311"/>
      <c r="EY72" s="311"/>
      <c r="EZ72" s="29"/>
      <c r="FA72" s="5"/>
      <c r="FB72" s="311"/>
      <c r="FC72" s="311"/>
      <c r="FD72" s="311"/>
    </row>
    <row r="73" spans="90:160" x14ac:dyDescent="0.25">
      <c r="CL73" s="5"/>
      <c r="EV73" s="5">
        <v>2096</v>
      </c>
      <c r="EW73" s="311"/>
      <c r="EX73" s="311"/>
      <c r="EY73" s="311"/>
      <c r="EZ73" s="29"/>
      <c r="FA73" s="5"/>
      <c r="FB73" s="311"/>
      <c r="FC73" s="311"/>
      <c r="FD73" s="311"/>
    </row>
    <row r="74" spans="90:160" x14ac:dyDescent="0.25">
      <c r="CL74" s="5"/>
      <c r="EV74" s="5">
        <v>2097</v>
      </c>
      <c r="EW74" s="311"/>
      <c r="EX74" s="311"/>
      <c r="EY74" s="311"/>
      <c r="EZ74" s="29"/>
      <c r="FA74" s="5"/>
      <c r="FB74" s="311"/>
      <c r="FC74" s="311"/>
      <c r="FD74" s="311"/>
    </row>
    <row r="75" spans="90:160" x14ac:dyDescent="0.25">
      <c r="CL75" s="5"/>
      <c r="EV75" s="5">
        <v>2098</v>
      </c>
      <c r="EW75" s="311"/>
      <c r="EX75" s="311"/>
      <c r="EY75" s="311"/>
      <c r="EZ75" s="29"/>
      <c r="FA75" s="5"/>
      <c r="FB75" s="311"/>
      <c r="FC75" s="311"/>
      <c r="FD75" s="311"/>
    </row>
    <row r="76" spans="90:160" x14ac:dyDescent="0.25">
      <c r="CL76" s="5"/>
      <c r="EV76" s="5">
        <v>2099</v>
      </c>
      <c r="EW76" s="311"/>
      <c r="EX76" s="311"/>
      <c r="EY76" s="311"/>
      <c r="EZ76" s="29"/>
      <c r="FA76" s="5"/>
      <c r="FB76" s="311"/>
      <c r="FC76" s="311"/>
      <c r="FD76" s="311"/>
    </row>
    <row r="77" spans="90:160" x14ac:dyDescent="0.25">
      <c r="CL77" s="5"/>
      <c r="EV77" s="5">
        <v>2100</v>
      </c>
      <c r="EW77" s="311"/>
      <c r="EX77" s="311"/>
      <c r="EY77" s="311"/>
      <c r="EZ77" s="29"/>
      <c r="FA77" s="5"/>
      <c r="FB77" s="311"/>
      <c r="FC77" s="311"/>
      <c r="FD77" s="311"/>
    </row>
    <row r="78" spans="90:160" x14ac:dyDescent="0.25">
      <c r="CL78" s="5"/>
      <c r="EV78" s="5">
        <v>2101</v>
      </c>
      <c r="EW78" s="311"/>
      <c r="EX78" s="311"/>
      <c r="EY78" s="311"/>
      <c r="EZ78" s="29"/>
      <c r="FA78" s="5"/>
      <c r="FB78" s="311"/>
      <c r="FC78" s="311"/>
      <c r="FD78" s="311"/>
    </row>
    <row r="79" spans="90:160" x14ac:dyDescent="0.25">
      <c r="CL79" s="5"/>
      <c r="EV79" s="5">
        <v>2102</v>
      </c>
      <c r="EW79" s="311"/>
      <c r="EX79" s="311"/>
      <c r="EY79" s="311"/>
      <c r="EZ79" s="29"/>
      <c r="FA79" s="5"/>
      <c r="FB79" s="311"/>
      <c r="FC79" s="311"/>
      <c r="FD79" s="311"/>
    </row>
    <row r="80" spans="90:160" x14ac:dyDescent="0.25">
      <c r="CL80" s="5"/>
      <c r="EV80" s="5">
        <v>2103</v>
      </c>
      <c r="EW80" s="311"/>
      <c r="EX80" s="311"/>
      <c r="EY80" s="311"/>
      <c r="EZ80" s="29"/>
      <c r="FA80" s="5"/>
      <c r="FB80" s="311"/>
      <c r="FC80" s="311"/>
      <c r="FD80" s="311"/>
    </row>
    <row r="81" spans="90:160" x14ac:dyDescent="0.25">
      <c r="CL81" s="5"/>
      <c r="EV81" s="5">
        <v>2104</v>
      </c>
      <c r="EW81" s="311"/>
      <c r="EX81" s="311"/>
      <c r="EY81" s="311"/>
      <c r="EZ81" s="29"/>
      <c r="FA81" s="5"/>
      <c r="FB81" s="311"/>
      <c r="FC81" s="311"/>
      <c r="FD81" s="311"/>
    </row>
    <row r="82" spans="90:160" x14ac:dyDescent="0.25">
      <c r="CL82" s="5"/>
      <c r="EV82" s="5">
        <v>2105</v>
      </c>
      <c r="EW82" s="311"/>
      <c r="EX82" s="311"/>
      <c r="EY82" s="311"/>
      <c r="EZ82" s="29"/>
      <c r="FA82" s="5"/>
      <c r="FB82" s="311"/>
      <c r="FC82" s="311"/>
      <c r="FD82" s="311"/>
    </row>
    <row r="83" spans="90:160" x14ac:dyDescent="0.25">
      <c r="CL83" s="5"/>
      <c r="EV83" s="5">
        <v>2106</v>
      </c>
      <c r="EW83" s="311"/>
      <c r="EX83" s="311"/>
      <c r="EY83" s="311"/>
      <c r="EZ83" s="29"/>
      <c r="FA83" s="5"/>
      <c r="FB83" s="311"/>
      <c r="FC83" s="311"/>
      <c r="FD83" s="311"/>
    </row>
    <row r="84" spans="90:160" x14ac:dyDescent="0.25">
      <c r="CL84" s="5"/>
      <c r="EV84" s="5">
        <v>2107</v>
      </c>
      <c r="EW84" s="311"/>
      <c r="EX84" s="311"/>
      <c r="EY84" s="311"/>
      <c r="EZ84" s="29"/>
      <c r="FA84" s="5"/>
      <c r="FB84" s="311"/>
      <c r="FC84" s="311"/>
      <c r="FD84" s="311"/>
    </row>
    <row r="85" spans="90:160" x14ac:dyDescent="0.25">
      <c r="CL85" s="5"/>
      <c r="EV85" s="5">
        <v>2108</v>
      </c>
      <c r="EW85" s="311"/>
      <c r="EX85" s="311"/>
      <c r="EY85" s="311"/>
      <c r="EZ85" s="29"/>
      <c r="FA85" s="5"/>
      <c r="FB85" s="311"/>
      <c r="FC85" s="311"/>
      <c r="FD85" s="311"/>
    </row>
    <row r="86" spans="90:160" x14ac:dyDescent="0.25">
      <c r="CL86" s="5"/>
      <c r="EV86" s="5">
        <v>2109</v>
      </c>
      <c r="EW86" s="311"/>
      <c r="EX86" s="311"/>
      <c r="EY86" s="311"/>
      <c r="EZ86" s="29"/>
      <c r="FA86" s="5"/>
      <c r="FB86" s="311"/>
      <c r="FC86" s="311"/>
      <c r="FD86" s="311"/>
    </row>
    <row r="87" spans="90:160" x14ac:dyDescent="0.25">
      <c r="CL87" s="5"/>
      <c r="EV87" s="5">
        <v>2110</v>
      </c>
      <c r="EW87" s="311"/>
      <c r="EX87" s="311"/>
      <c r="EY87" s="311"/>
      <c r="EZ87" s="29"/>
      <c r="FA87" s="5"/>
      <c r="FB87" s="311"/>
      <c r="FC87" s="311"/>
      <c r="FD87" s="311"/>
    </row>
    <row r="88" spans="90:160" x14ac:dyDescent="0.25">
      <c r="CL88" s="5"/>
      <c r="EV88" s="5">
        <v>2111</v>
      </c>
      <c r="EW88" s="311"/>
      <c r="EX88" s="311"/>
      <c r="EY88" s="311"/>
      <c r="EZ88" s="29"/>
      <c r="FA88" s="5"/>
      <c r="FB88" s="311"/>
      <c r="FC88" s="311"/>
      <c r="FD88" s="311"/>
    </row>
    <row r="89" spans="90:160" x14ac:dyDescent="0.25">
      <c r="CL89" s="5"/>
      <c r="EV89" s="5">
        <v>2112</v>
      </c>
      <c r="EW89" s="311"/>
      <c r="EX89" s="311"/>
      <c r="EY89" s="311"/>
      <c r="EZ89" s="29"/>
      <c r="FA89" s="5"/>
      <c r="FB89" s="311"/>
      <c r="FC89" s="311"/>
      <c r="FD89" s="311"/>
    </row>
    <row r="90" spans="90:160" x14ac:dyDescent="0.25">
      <c r="CL90" s="5"/>
      <c r="EV90" s="5">
        <v>2113</v>
      </c>
      <c r="EW90" s="311"/>
      <c r="EX90" s="311"/>
      <c r="EY90" s="311"/>
      <c r="EZ90" s="29"/>
      <c r="FA90" s="5"/>
      <c r="FB90" s="311"/>
      <c r="FC90" s="311"/>
      <c r="FD90" s="311"/>
    </row>
    <row r="91" spans="90:160" x14ac:dyDescent="0.25">
      <c r="CL91" s="5"/>
      <c r="EV91" s="5">
        <v>2114</v>
      </c>
      <c r="EW91" s="311"/>
      <c r="EX91" s="311"/>
      <c r="EY91" s="311"/>
      <c r="EZ91" s="29"/>
      <c r="FA91" s="5"/>
      <c r="FB91" s="311"/>
      <c r="FC91" s="311"/>
      <c r="FD91" s="311"/>
    </row>
    <row r="92" spans="90:160" x14ac:dyDescent="0.25">
      <c r="CL92" s="5"/>
      <c r="EV92" s="5">
        <v>2115</v>
      </c>
      <c r="EW92" s="311"/>
      <c r="EX92" s="311"/>
      <c r="EY92" s="311"/>
      <c r="EZ92" s="29"/>
      <c r="FA92" s="5"/>
      <c r="FB92" s="311"/>
      <c r="FC92" s="311"/>
      <c r="FD92" s="311"/>
    </row>
    <row r="93" spans="90:160" x14ac:dyDescent="0.25">
      <c r="CL93" s="5"/>
      <c r="EV93" s="5">
        <v>2116</v>
      </c>
      <c r="EW93" s="311"/>
      <c r="EX93" s="311"/>
      <c r="EY93" s="311"/>
      <c r="EZ93" s="29"/>
      <c r="FA93" s="5"/>
      <c r="FB93" s="311"/>
      <c r="FC93" s="311"/>
      <c r="FD93" s="311"/>
    </row>
    <row r="94" spans="90:160" x14ac:dyDescent="0.25">
      <c r="CL94" s="5"/>
      <c r="EV94" s="5">
        <v>2117</v>
      </c>
      <c r="EW94" s="311"/>
      <c r="EX94" s="311"/>
      <c r="EY94" s="311"/>
      <c r="EZ94" s="29"/>
      <c r="FA94" s="5"/>
      <c r="FB94" s="311"/>
      <c r="FC94" s="311"/>
      <c r="FD94" s="311"/>
    </row>
    <row r="95" spans="90:160" x14ac:dyDescent="0.25">
      <c r="EV95" s="5">
        <v>2118</v>
      </c>
      <c r="EW95" s="311"/>
      <c r="EX95" s="311"/>
      <c r="EY95" s="311"/>
      <c r="EZ95" s="29"/>
      <c r="FA95" s="5"/>
      <c r="FB95" s="311"/>
      <c r="FC95" s="311"/>
      <c r="FD95" s="311"/>
    </row>
    <row r="96" spans="90:160" x14ac:dyDescent="0.25">
      <c r="EV96" s="5">
        <v>2119</v>
      </c>
      <c r="EW96" s="311"/>
      <c r="EX96" s="311"/>
      <c r="EY96" s="311"/>
      <c r="EZ96" s="29"/>
      <c r="FA96" s="5"/>
      <c r="FB96" s="311"/>
      <c r="FC96" s="311"/>
      <c r="FD96" s="311"/>
    </row>
    <row r="97" spans="152:160" x14ac:dyDescent="0.25">
      <c r="EV97" s="5">
        <v>2120</v>
      </c>
      <c r="EW97" s="311"/>
      <c r="EX97" s="311"/>
      <c r="EY97" s="311"/>
      <c r="EZ97" s="29"/>
      <c r="FA97" s="5"/>
      <c r="FB97" s="311"/>
      <c r="FC97" s="311"/>
      <c r="FD97" s="311"/>
    </row>
    <row r="98" spans="152:160" x14ac:dyDescent="0.25">
      <c r="EV98" s="5">
        <v>2121</v>
      </c>
      <c r="EW98" s="311"/>
      <c r="EX98" s="311"/>
      <c r="EY98" s="311"/>
      <c r="EZ98" s="29"/>
      <c r="FA98" s="5"/>
      <c r="FB98" s="311"/>
      <c r="FC98" s="311"/>
      <c r="FD98" s="311"/>
    </row>
    <row r="99" spans="152:160" x14ac:dyDescent="0.25">
      <c r="EV99" s="5">
        <v>2122</v>
      </c>
      <c r="EW99" s="311"/>
      <c r="EX99" s="311"/>
      <c r="EY99" s="311"/>
      <c r="EZ99" s="29"/>
      <c r="FA99" s="5"/>
      <c r="FB99" s="311"/>
      <c r="FC99" s="311"/>
      <c r="FD99" s="311"/>
    </row>
    <row r="100" spans="152:160" x14ac:dyDescent="0.25">
      <c r="EV100" s="5">
        <v>2123</v>
      </c>
      <c r="EW100" s="311"/>
      <c r="EX100" s="311"/>
      <c r="EY100" s="311"/>
      <c r="EZ100" s="29"/>
      <c r="FA100" s="5"/>
      <c r="FB100" s="311"/>
      <c r="FC100" s="311"/>
      <c r="FD100" s="311"/>
    </row>
    <row r="101" spans="152:160" x14ac:dyDescent="0.25">
      <c r="EV101" s="5">
        <v>2124</v>
      </c>
      <c r="EW101" s="311"/>
      <c r="EX101" s="311"/>
      <c r="EY101" s="311"/>
      <c r="EZ101" s="29"/>
      <c r="FA101" s="5"/>
      <c r="FB101" s="311"/>
      <c r="FC101" s="311"/>
      <c r="FD101" s="311"/>
    </row>
    <row r="102" spans="152:160" x14ac:dyDescent="0.25">
      <c r="EV102" s="5">
        <v>2125</v>
      </c>
      <c r="EW102" s="311"/>
      <c r="EX102" s="311"/>
      <c r="EY102" s="311"/>
      <c r="EZ102" s="29"/>
      <c r="FA102" s="5"/>
      <c r="FB102" s="311"/>
      <c r="FC102" s="311"/>
      <c r="FD102" s="311"/>
    </row>
    <row r="103" spans="152:160" x14ac:dyDescent="0.25">
      <c r="EV103" s="5">
        <v>2126</v>
      </c>
      <c r="EW103" s="311"/>
      <c r="EX103" s="311"/>
      <c r="EY103" s="311"/>
      <c r="EZ103" s="29"/>
      <c r="FA103" s="5"/>
      <c r="FB103" s="311"/>
      <c r="FC103" s="311"/>
      <c r="FD103" s="311"/>
    </row>
    <row r="104" spans="152:160" x14ac:dyDescent="0.25">
      <c r="EV104" s="5">
        <v>2127</v>
      </c>
      <c r="EW104" s="311"/>
      <c r="EX104" s="311"/>
      <c r="EY104" s="311"/>
      <c r="EZ104" s="29"/>
      <c r="FA104" s="5"/>
      <c r="FB104" s="311"/>
      <c r="FC104" s="311"/>
      <c r="FD104" s="311"/>
    </row>
    <row r="105" spans="152:160" x14ac:dyDescent="0.25">
      <c r="EV105" s="5">
        <v>2128</v>
      </c>
      <c r="EW105" s="311"/>
      <c r="EX105" s="311"/>
      <c r="EY105" s="311"/>
      <c r="EZ105" s="29"/>
      <c r="FA105" s="5"/>
      <c r="FB105" s="311"/>
      <c r="FC105" s="311"/>
      <c r="FD105" s="311"/>
    </row>
    <row r="106" spans="152:160" x14ac:dyDescent="0.25">
      <c r="EV106" s="5">
        <v>2129</v>
      </c>
      <c r="EW106" s="311"/>
      <c r="EX106" s="311"/>
      <c r="EY106" s="311"/>
      <c r="EZ106" s="29"/>
      <c r="FA106" s="5"/>
      <c r="FB106" s="311"/>
      <c r="FC106" s="311"/>
      <c r="FD106" s="311"/>
    </row>
    <row r="107" spans="152:160" x14ac:dyDescent="0.25">
      <c r="EV107" s="5">
        <v>2130</v>
      </c>
      <c r="EW107" s="311"/>
      <c r="EX107" s="311"/>
      <c r="EY107" s="311"/>
      <c r="EZ107" s="29"/>
      <c r="FA107" s="5"/>
      <c r="FB107" s="311"/>
      <c r="FC107" s="311"/>
      <c r="FD107" s="311"/>
    </row>
    <row r="108" spans="152:160" x14ac:dyDescent="0.25">
      <c r="EV108" s="5">
        <v>2131</v>
      </c>
      <c r="EW108" s="311"/>
      <c r="EX108" s="311"/>
      <c r="EY108" s="311"/>
      <c r="EZ108" s="29"/>
      <c r="FA108" s="5"/>
      <c r="FB108" s="311"/>
      <c r="FC108" s="311"/>
      <c r="FD108" s="311"/>
    </row>
    <row r="109" spans="152:160" x14ac:dyDescent="0.25">
      <c r="EV109" s="5">
        <v>2132</v>
      </c>
      <c r="EW109" s="311"/>
      <c r="EX109" s="311"/>
      <c r="EY109" s="311"/>
      <c r="EZ109" s="29"/>
      <c r="FA109" s="5"/>
      <c r="FB109" s="311"/>
      <c r="FC109" s="311"/>
      <c r="FD109" s="311"/>
    </row>
    <row r="110" spans="152:160" x14ac:dyDescent="0.25">
      <c r="EV110" s="5">
        <v>2133</v>
      </c>
      <c r="EW110" s="311"/>
      <c r="EX110" s="311"/>
      <c r="EY110" s="311"/>
      <c r="EZ110" s="29"/>
      <c r="FA110" s="5"/>
      <c r="FB110" s="311"/>
      <c r="FC110" s="311"/>
      <c r="FD110" s="311"/>
    </row>
    <row r="111" spans="152:160" x14ac:dyDescent="0.25">
      <c r="EV111" s="5">
        <v>2134</v>
      </c>
      <c r="EW111" s="311"/>
      <c r="EX111" s="311"/>
      <c r="EY111" s="311"/>
      <c r="EZ111" s="29"/>
      <c r="FA111" s="5"/>
      <c r="FB111" s="311"/>
      <c r="FC111" s="311"/>
      <c r="FD111" s="311"/>
    </row>
    <row r="112" spans="152:160" x14ac:dyDescent="0.25">
      <c r="EV112" s="5">
        <v>2135</v>
      </c>
      <c r="EW112" s="311"/>
      <c r="EX112" s="311"/>
      <c r="EY112" s="311"/>
      <c r="EZ112" s="29"/>
      <c r="FA112" s="5"/>
      <c r="FB112" s="311"/>
      <c r="FC112" s="311"/>
      <c r="FD112" s="311"/>
    </row>
    <row r="113" spans="152:160" x14ac:dyDescent="0.25">
      <c r="EV113" s="5">
        <v>2136</v>
      </c>
      <c r="EW113" s="311"/>
      <c r="EX113" s="311"/>
      <c r="EY113" s="311"/>
      <c r="EZ113" s="29"/>
      <c r="FA113" s="5"/>
      <c r="FB113" s="311"/>
      <c r="FC113" s="311"/>
      <c r="FD113" s="311"/>
    </row>
    <row r="114" spans="152:160" x14ac:dyDescent="0.25">
      <c r="EV114" s="5">
        <v>2137</v>
      </c>
      <c r="EW114" s="311"/>
      <c r="EX114" s="311"/>
      <c r="EY114" s="311"/>
      <c r="EZ114" s="29"/>
      <c r="FA114" s="5"/>
      <c r="FB114" s="311"/>
      <c r="FC114" s="311"/>
      <c r="FD114" s="311"/>
    </row>
    <row r="115" spans="152:160" x14ac:dyDescent="0.25">
      <c r="EV115" s="5">
        <v>2138</v>
      </c>
      <c r="EW115" s="311"/>
      <c r="EX115" s="311"/>
      <c r="EY115" s="311"/>
      <c r="EZ115" s="29"/>
      <c r="FA115" s="5"/>
      <c r="FB115" s="311"/>
      <c r="FC115" s="311"/>
      <c r="FD115" s="311"/>
    </row>
    <row r="116" spans="152:160" x14ac:dyDescent="0.25">
      <c r="EV116" s="5">
        <v>2139</v>
      </c>
      <c r="EW116" s="311"/>
      <c r="EX116" s="311"/>
      <c r="EY116" s="311"/>
      <c r="EZ116" s="29"/>
      <c r="FA116" s="5"/>
      <c r="FB116" s="311"/>
      <c r="FC116" s="311"/>
      <c r="FD116" s="311"/>
    </row>
    <row r="117" spans="152:160" x14ac:dyDescent="0.25">
      <c r="EV117" s="5">
        <v>2140</v>
      </c>
      <c r="EW117" s="311"/>
      <c r="EX117" s="311"/>
      <c r="EY117" s="311"/>
      <c r="EZ117" s="29"/>
      <c r="FA117" s="5"/>
      <c r="FB117" s="311"/>
      <c r="FC117" s="311"/>
      <c r="FD117" s="311"/>
    </row>
    <row r="118" spans="152:160" x14ac:dyDescent="0.25">
      <c r="EV118" s="5">
        <v>2141</v>
      </c>
      <c r="EW118" s="311"/>
      <c r="EX118" s="311"/>
      <c r="EY118" s="311"/>
      <c r="EZ118" s="29"/>
      <c r="FA118" s="5"/>
      <c r="FB118" s="311"/>
      <c r="FC118" s="311"/>
      <c r="FD118" s="311"/>
    </row>
    <row r="119" spans="152:160" x14ac:dyDescent="0.25">
      <c r="EV119" s="5">
        <v>2142</v>
      </c>
      <c r="EW119" s="311"/>
      <c r="EX119" s="311"/>
      <c r="EY119" s="311"/>
      <c r="EZ119" s="29"/>
      <c r="FA119" s="5"/>
      <c r="FB119" s="311"/>
      <c r="FC119" s="311"/>
      <c r="FD119" s="311"/>
    </row>
    <row r="120" spans="152:160" x14ac:dyDescent="0.25">
      <c r="EV120" s="5">
        <v>2143</v>
      </c>
      <c r="EW120" s="311"/>
      <c r="EX120" s="311"/>
      <c r="EY120" s="311"/>
      <c r="EZ120" s="29"/>
      <c r="FA120" s="5"/>
      <c r="FB120" s="311"/>
      <c r="FC120" s="311"/>
      <c r="FD120" s="311"/>
    </row>
    <row r="121" spans="152:160" x14ac:dyDescent="0.25">
      <c r="EV121" s="5">
        <v>2144</v>
      </c>
      <c r="EW121" s="311"/>
      <c r="EX121" s="311"/>
      <c r="EY121" s="311"/>
      <c r="EZ121" s="29"/>
      <c r="FA121" s="5"/>
      <c r="FB121" s="311"/>
      <c r="FC121" s="311"/>
      <c r="FD121" s="311"/>
    </row>
    <row r="122" spans="152:160" x14ac:dyDescent="0.25">
      <c r="EV122" s="5">
        <v>2145</v>
      </c>
      <c r="EW122" s="311"/>
      <c r="EX122" s="311"/>
      <c r="EY122" s="311"/>
      <c r="EZ122" s="29"/>
      <c r="FA122" s="5"/>
      <c r="FB122" s="311"/>
      <c r="FC122" s="311"/>
      <c r="FD122" s="311"/>
    </row>
    <row r="123" spans="152:160" x14ac:dyDescent="0.25">
      <c r="EV123" s="5">
        <v>2146</v>
      </c>
      <c r="EW123" s="311"/>
      <c r="EX123" s="311"/>
      <c r="EY123" s="311"/>
      <c r="EZ123" s="29"/>
      <c r="FA123" s="5"/>
      <c r="FB123" s="311"/>
      <c r="FC123" s="311"/>
      <c r="FD123" s="311"/>
    </row>
    <row r="124" spans="152:160" x14ac:dyDescent="0.25">
      <c r="EV124" s="5">
        <v>2147</v>
      </c>
      <c r="EW124" s="311"/>
      <c r="EX124" s="311"/>
      <c r="EY124" s="311"/>
      <c r="EZ124" s="29"/>
      <c r="FA124" s="5"/>
      <c r="FB124" s="311"/>
      <c r="FC124" s="311"/>
      <c r="FD124" s="311"/>
    </row>
    <row r="125" spans="152:160" x14ac:dyDescent="0.25">
      <c r="EV125" s="5">
        <v>2148</v>
      </c>
      <c r="EW125" s="311"/>
      <c r="EX125" s="311"/>
      <c r="EY125" s="311"/>
      <c r="EZ125" s="29"/>
      <c r="FA125" s="5"/>
      <c r="FB125" s="311"/>
      <c r="FC125" s="311"/>
      <c r="FD125" s="311"/>
    </row>
    <row r="126" spans="152:160" x14ac:dyDescent="0.25">
      <c r="EV126" s="5">
        <v>2149</v>
      </c>
      <c r="EW126" s="311"/>
      <c r="EX126" s="311"/>
      <c r="EY126" s="311"/>
      <c r="EZ126" s="29"/>
      <c r="FA126" s="5"/>
      <c r="FB126" s="311"/>
      <c r="FC126" s="311"/>
      <c r="FD126" s="311"/>
    </row>
    <row r="127" spans="152:160" x14ac:dyDescent="0.25">
      <c r="EV127" s="5">
        <v>2150</v>
      </c>
      <c r="EW127" s="311"/>
      <c r="EX127" s="311"/>
      <c r="EY127" s="311"/>
      <c r="EZ127" s="29"/>
      <c r="FA127" s="5"/>
      <c r="FB127" s="311"/>
      <c r="FC127" s="311"/>
      <c r="FD127" s="311"/>
    </row>
  </sheetData>
  <sheetProtection algorithmName="SHA-512" hashValue="pYVgfBpIayl7veIHEhjZkeKxWE2qZP2y9wmxvx4SgNlDEKoJ79UYlRLHZafpMT6bm2Ngi4ARvYevcstlnFx/VA==" saltValue="HTFM8PGimYgQEFF1RCwaVw==" spinCount="100000" sheet="1" objects="1" scenarios="1"/>
  <phoneticPr fontId="5" type="noConversion"/>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80D36-9FC4-4FA7-A8D4-D732479D9E5A}">
  <sheetPr codeName="Sheet16">
    <tabColor theme="1"/>
  </sheetPr>
  <dimension ref="A1:AJ257"/>
  <sheetViews>
    <sheetView showGridLines="0" showRowColHeaders="0" workbookViewId="0">
      <selection activeCell="J3" sqref="J3"/>
    </sheetView>
  </sheetViews>
  <sheetFormatPr defaultRowHeight="11.5" x14ac:dyDescent="0.25"/>
  <cols>
    <col min="1" max="1" width="8.796875" customWidth="1"/>
    <col min="18" max="19" width="11.09765625" customWidth="1"/>
    <col min="20" max="20" width="10.3984375" customWidth="1"/>
    <col min="21" max="22" width="13.59765625" customWidth="1"/>
    <col min="23" max="23" width="13" customWidth="1"/>
    <col min="29" max="29" width="8.796875" style="5"/>
    <col min="34" max="34" width="18.296875" customWidth="1"/>
    <col min="36" max="36" width="11.796875" customWidth="1"/>
  </cols>
  <sheetData>
    <row r="1" spans="1:36" ht="12.5" x14ac:dyDescent="0.25">
      <c r="A1" t="str">
        <f>HLOOKUP(WB_Data!EL2,Library!B1:F2,2,FALSE)</f>
        <v>$C$8:$C$257</v>
      </c>
      <c r="B1" s="257" t="str">
        <f>WB_Data!EK2</f>
        <v>Français</v>
      </c>
      <c r="C1" s="12" t="str">
        <f>WB_Data!EK3</f>
        <v>English</v>
      </c>
      <c r="D1" s="12" t="s">
        <v>469</v>
      </c>
      <c r="E1" s="12" t="s">
        <v>1093</v>
      </c>
      <c r="F1" s="12" t="s">
        <v>470</v>
      </c>
      <c r="R1" s="9" t="str">
        <f>HLOOKUP(WB_Data!EL2,Library!S1:W14,14,FALSE)</f>
        <v>$T$2:$T$13</v>
      </c>
      <c r="S1" s="17" t="s">
        <v>263</v>
      </c>
      <c r="T1" s="252" t="s">
        <v>264</v>
      </c>
      <c r="U1" s="252" t="s">
        <v>469</v>
      </c>
      <c r="V1" s="253" t="s">
        <v>470</v>
      </c>
      <c r="W1" s="252" t="s">
        <v>1093</v>
      </c>
      <c r="AB1" s="264"/>
      <c r="AE1" s="5"/>
      <c r="AG1" s="43"/>
    </row>
    <row r="2" spans="1:36" ht="12.5" x14ac:dyDescent="0.25">
      <c r="A2" s="5">
        <f t="array" ref="A2">ROW(INDEX(B:B, MAX(IF(B:B&lt;&gt;"", ROW(B:B)))))</f>
        <v>257</v>
      </c>
      <c r="B2" s="9" t="str">
        <f>ADDRESS(ROW(B8), COLUMN(B8)) &amp; ":" &amp; ADDRESS(ROW(B257), COLUMN(B257))</f>
        <v>$B$8:$B$257</v>
      </c>
      <c r="C2" s="9" t="str">
        <f t="shared" ref="C2:F2" si="0">ADDRESS(ROW(C8), COLUMN(C8)) &amp; ":" &amp; ADDRESS(ROW(C257), COLUMN(C257))</f>
        <v>$C$8:$C$257</v>
      </c>
      <c r="D2" s="9" t="str">
        <f t="shared" si="0"/>
        <v>$D$8:$D$257</v>
      </c>
      <c r="E2" s="9" t="str">
        <f t="shared" si="0"/>
        <v>$E$8:$E$257</v>
      </c>
      <c r="F2" s="9" t="str">
        <f t="shared" si="0"/>
        <v>$F$8:$F$257</v>
      </c>
      <c r="R2" s="9" t="str" cm="1">
        <f t="array" aca="1" ref="R2:R13" ca="1">INDIRECT(R1)</f>
        <v>January</v>
      </c>
      <c r="S2" s="250" t="s">
        <v>22</v>
      </c>
      <c r="T2" s="18" t="s">
        <v>433</v>
      </c>
      <c r="U2" s="18" t="s">
        <v>445</v>
      </c>
      <c r="V2" s="251" t="s">
        <v>468</v>
      </c>
      <c r="W2" s="258" t="s">
        <v>1098</v>
      </c>
      <c r="AB2" s="264"/>
    </row>
    <row r="3" spans="1:36" ht="12.5" x14ac:dyDescent="0.25">
      <c r="R3" s="9" t="str">
        <f ca="1"/>
        <v>February</v>
      </c>
      <c r="S3" s="250" t="s">
        <v>17</v>
      </c>
      <c r="T3" s="18" t="s">
        <v>434</v>
      </c>
      <c r="U3" s="18" t="s">
        <v>446</v>
      </c>
      <c r="V3" s="251" t="s">
        <v>467</v>
      </c>
      <c r="W3" s="258" t="s">
        <v>1099</v>
      </c>
      <c r="AB3" s="265"/>
      <c r="AH3" s="43"/>
      <c r="AI3" s="43"/>
    </row>
    <row r="4" spans="1:36" ht="12.5" x14ac:dyDescent="0.25">
      <c r="A4" s="220" t="s">
        <v>262</v>
      </c>
      <c r="R4" s="9" t="str">
        <f ca="1"/>
        <v>March</v>
      </c>
      <c r="S4" s="250" t="s">
        <v>23</v>
      </c>
      <c r="T4" s="18" t="s">
        <v>435</v>
      </c>
      <c r="U4" s="18" t="s">
        <v>447</v>
      </c>
      <c r="V4" s="251" t="s">
        <v>466</v>
      </c>
      <c r="W4" s="258" t="s">
        <v>1100</v>
      </c>
      <c r="AB4" s="265"/>
      <c r="AC4" s="264"/>
      <c r="AI4" s="43"/>
      <c r="AJ4" s="43"/>
    </row>
    <row r="5" spans="1:36" ht="12.5" x14ac:dyDescent="0.25">
      <c r="A5" s="221" t="s">
        <v>247</v>
      </c>
      <c r="R5" s="9" t="str">
        <f ca="1"/>
        <v>April</v>
      </c>
      <c r="S5" s="250" t="s">
        <v>24</v>
      </c>
      <c r="T5" s="18" t="s">
        <v>436</v>
      </c>
      <c r="U5" s="18" t="s">
        <v>448</v>
      </c>
      <c r="V5" s="251" t="s">
        <v>465</v>
      </c>
      <c r="W5" s="258" t="s">
        <v>436</v>
      </c>
      <c r="AB5" s="265"/>
      <c r="AC5" s="264"/>
      <c r="AI5" s="43"/>
      <c r="AJ5" s="43"/>
    </row>
    <row r="6" spans="1:36" ht="12.5" x14ac:dyDescent="0.25">
      <c r="A6" s="222" t="s">
        <v>253</v>
      </c>
      <c r="R6" s="9" t="str">
        <f ca="1"/>
        <v>May</v>
      </c>
      <c r="S6" s="250" t="s">
        <v>25</v>
      </c>
      <c r="T6" s="18" t="s">
        <v>437</v>
      </c>
      <c r="U6" s="18" t="s">
        <v>449</v>
      </c>
      <c r="V6" s="251" t="s">
        <v>464</v>
      </c>
      <c r="W6" s="258" t="s">
        <v>1095</v>
      </c>
      <c r="AB6" s="265"/>
      <c r="AC6" s="264"/>
      <c r="AI6" s="43"/>
      <c r="AJ6" s="43"/>
    </row>
    <row r="7" spans="1:36" ht="12.5" x14ac:dyDescent="0.25">
      <c r="A7" s="223" t="s">
        <v>261</v>
      </c>
      <c r="R7" s="9" t="str">
        <f ca="1"/>
        <v>June</v>
      </c>
      <c r="S7" s="250" t="s">
        <v>26</v>
      </c>
      <c r="T7" s="18" t="s">
        <v>438</v>
      </c>
      <c r="U7" s="18" t="s">
        <v>450</v>
      </c>
      <c r="V7" s="251" t="s">
        <v>463</v>
      </c>
      <c r="W7" s="258" t="s">
        <v>1101</v>
      </c>
      <c r="AB7" s="266"/>
      <c r="AJ7" s="43"/>
    </row>
    <row r="8" spans="1:36" ht="12.5" x14ac:dyDescent="0.25">
      <c r="A8" s="105" t="str" cm="1">
        <f t="array" aca="1" ref="A8:A257" ca="1">INDIRECT(A1)</f>
        <v>Are you sure you want to start extrapolating?</v>
      </c>
      <c r="B8" s="105" t="s">
        <v>243</v>
      </c>
      <c r="C8" s="230" t="s">
        <v>505</v>
      </c>
      <c r="D8" s="105" t="s">
        <v>533</v>
      </c>
      <c r="E8" s="105" t="s">
        <v>581</v>
      </c>
      <c r="F8" s="105" t="s">
        <v>1194</v>
      </c>
      <c r="R8" s="9" t="str">
        <f ca="1"/>
        <v>July</v>
      </c>
      <c r="S8" s="250" t="s">
        <v>27</v>
      </c>
      <c r="T8" s="18" t="s">
        <v>439</v>
      </c>
      <c r="U8" s="18" t="s">
        <v>451</v>
      </c>
      <c r="V8" s="251" t="s">
        <v>462</v>
      </c>
      <c r="W8" s="258" t="s">
        <v>1102</v>
      </c>
      <c r="AB8" s="266"/>
      <c r="AG8" s="43"/>
      <c r="AI8" s="43"/>
      <c r="AJ8" s="43"/>
    </row>
    <row r="9" spans="1:36" ht="12.5" x14ac:dyDescent="0.25">
      <c r="A9" s="105" t="str">
        <f ca="1"/>
        <v>This year is not recorded! Do you want to add it to your binder?</v>
      </c>
      <c r="B9" s="105" t="s">
        <v>244</v>
      </c>
      <c r="C9" s="230" t="s">
        <v>506</v>
      </c>
      <c r="D9" s="105" t="s">
        <v>534</v>
      </c>
      <c r="E9" s="105" t="s">
        <v>582</v>
      </c>
      <c r="F9" s="105" t="s">
        <v>1193</v>
      </c>
      <c r="R9" s="9" t="str">
        <f ca="1"/>
        <v>August</v>
      </c>
      <c r="S9" s="250" t="s">
        <v>58</v>
      </c>
      <c r="T9" s="18" t="s">
        <v>440</v>
      </c>
      <c r="U9" s="18" t="s">
        <v>452</v>
      </c>
      <c r="V9" s="251" t="s">
        <v>461</v>
      </c>
      <c r="W9" s="258" t="s">
        <v>440</v>
      </c>
      <c r="AB9" s="266"/>
      <c r="AG9" s="43"/>
    </row>
    <row r="10" spans="1:36" ht="13" customHeight="1" x14ac:dyDescent="0.25">
      <c r="A10" s="105" t="str">
        <f ca="1"/>
        <v>Are you sure you want to delete everything?</v>
      </c>
      <c r="B10" s="105" t="s">
        <v>245</v>
      </c>
      <c r="C10" s="230" t="s">
        <v>302</v>
      </c>
      <c r="D10" s="105" t="s">
        <v>535</v>
      </c>
      <c r="E10" s="105" t="s">
        <v>583</v>
      </c>
      <c r="F10" s="105" t="s">
        <v>625</v>
      </c>
      <c r="R10" s="9" t="str">
        <f ca="1"/>
        <v>September</v>
      </c>
      <c r="S10" s="250" t="s">
        <v>28</v>
      </c>
      <c r="T10" s="18" t="s">
        <v>441</v>
      </c>
      <c r="U10" s="18" t="s">
        <v>453</v>
      </c>
      <c r="V10" s="251" t="s">
        <v>460</v>
      </c>
      <c r="W10" s="258" t="s">
        <v>441</v>
      </c>
      <c r="AB10" s="266"/>
      <c r="AC10" s="264"/>
      <c r="AH10" s="43"/>
    </row>
    <row r="11" spans="1:36" ht="12.5" x14ac:dyDescent="0.25">
      <c r="A11" s="105" t="str">
        <f ca="1"/>
        <v>Are you sure you want to delete the history?</v>
      </c>
      <c r="B11" s="105" t="s">
        <v>246</v>
      </c>
      <c r="C11" s="230" t="s">
        <v>303</v>
      </c>
      <c r="D11" s="105" t="s">
        <v>536</v>
      </c>
      <c r="E11" s="105" t="s">
        <v>584</v>
      </c>
      <c r="F11" s="105" t="s">
        <v>1195</v>
      </c>
      <c r="R11" s="9" t="str">
        <f ca="1"/>
        <v>October</v>
      </c>
      <c r="S11" s="250" t="s">
        <v>29</v>
      </c>
      <c r="T11" s="18" t="s">
        <v>442</v>
      </c>
      <c r="U11" s="18" t="s">
        <v>454</v>
      </c>
      <c r="V11" s="251" t="s">
        <v>459</v>
      </c>
      <c r="W11" s="258" t="s">
        <v>1103</v>
      </c>
      <c r="AB11" s="266"/>
      <c r="AC11" s="264"/>
      <c r="AH11" s="43"/>
      <c r="AI11" s="43"/>
      <c r="AJ11" s="43"/>
    </row>
    <row r="12" spans="1:36" ht="12.5" x14ac:dyDescent="0.25">
      <c r="A12" s="121" t="str">
        <f ca="1"/>
        <v>This option is not yet available!</v>
      </c>
      <c r="B12" s="121" t="s">
        <v>248</v>
      </c>
      <c r="C12" s="231" t="s">
        <v>304</v>
      </c>
      <c r="D12" s="121" t="s">
        <v>537</v>
      </c>
      <c r="E12" s="121" t="s">
        <v>585</v>
      </c>
      <c r="F12" s="121" t="s">
        <v>1196</v>
      </c>
      <c r="R12" s="9" t="str">
        <f ca="1"/>
        <v>November</v>
      </c>
      <c r="S12" s="250" t="s">
        <v>30</v>
      </c>
      <c r="T12" s="18" t="s">
        <v>443</v>
      </c>
      <c r="U12" s="18" t="s">
        <v>455</v>
      </c>
      <c r="V12" s="251" t="s">
        <v>458</v>
      </c>
      <c r="W12" s="258" t="s">
        <v>443</v>
      </c>
      <c r="AB12" s="266"/>
      <c r="AC12" s="264"/>
      <c r="AH12" s="43"/>
    </row>
    <row r="13" spans="1:36" ht="12.5" x14ac:dyDescent="0.25">
      <c r="A13" s="121" t="str">
        <f ca="1"/>
        <v>Make sure you have at least 1 year (12 months) of data!</v>
      </c>
      <c r="B13" s="121" t="s">
        <v>249</v>
      </c>
      <c r="C13" s="231" t="s">
        <v>507</v>
      </c>
      <c r="D13" s="121" t="s">
        <v>538</v>
      </c>
      <c r="E13" s="121" t="s">
        <v>586</v>
      </c>
      <c r="F13" s="121" t="s">
        <v>1197</v>
      </c>
      <c r="R13" s="16" t="str">
        <f ca="1"/>
        <v>December</v>
      </c>
      <c r="S13" s="254" t="s">
        <v>31</v>
      </c>
      <c r="T13" s="255" t="s">
        <v>444</v>
      </c>
      <c r="U13" s="255" t="s">
        <v>456</v>
      </c>
      <c r="V13" s="256" t="s">
        <v>457</v>
      </c>
      <c r="W13" s="258" t="s">
        <v>1104</v>
      </c>
      <c r="AB13" s="266"/>
      <c r="AC13" s="264"/>
      <c r="AH13" s="43"/>
    </row>
    <row r="14" spans="1:36" ht="12.5" x14ac:dyDescent="0.25">
      <c r="A14" s="121" t="str">
        <f ca="1"/>
        <v>Oops! The year was not found in the system!</v>
      </c>
      <c r="B14" s="121" t="s">
        <v>250</v>
      </c>
      <c r="C14" s="231" t="s">
        <v>305</v>
      </c>
      <c r="D14" s="121" t="s">
        <v>539</v>
      </c>
      <c r="E14" s="121" t="s">
        <v>587</v>
      </c>
      <c r="F14" s="121" t="s">
        <v>1198</v>
      </c>
      <c r="R14" s="9" t="str">
        <f>HLOOKUP(WB_Data!EL2,Library!S1:W15,15,FALSE)</f>
        <v>[$-409]</v>
      </c>
      <c r="S14" s="9" t="str">
        <f>ADDRESS(ROW(S2), COLUMN(S2)) &amp; ":" &amp; ADDRESS(ROW(S13), COLUMN(S13))</f>
        <v>$S$2:$S$13</v>
      </c>
      <c r="T14" s="9" t="str">
        <f>ADDRESS(ROW(T2), COLUMN(T2)) &amp; ":" &amp; ADDRESS(ROW(T13), COLUMN(T13))</f>
        <v>$T$2:$T$13</v>
      </c>
      <c r="U14" s="9" t="str">
        <f>ADDRESS(ROW(U2), COLUMN(U2)) &amp; ":" &amp; ADDRESS(ROW(U13), COLUMN(U13))</f>
        <v>$U$2:$U$13</v>
      </c>
      <c r="V14" s="9" t="str">
        <f>ADDRESS(ROW(V2), COLUMN(V2)) &amp; ":" &amp; ADDRESS(ROW(V13), COLUMN(V13))</f>
        <v>$V$2:$V$13</v>
      </c>
      <c r="W14" s="9" t="str">
        <f>ADDRESS(ROW(W2), COLUMN(W2)) &amp; ":" &amp; ADDRESS(ROW(W13), COLUMN(W13))</f>
        <v>$W$2:$W$13</v>
      </c>
      <c r="AC14" s="264"/>
      <c r="AG14" s="43"/>
    </row>
    <row r="15" spans="1:36" ht="12.5" x14ac:dyDescent="0.25">
      <c r="A15" s="121" t="str">
        <f ca="1"/>
        <v>Code: WB_data Table Data_Line</v>
      </c>
      <c r="B15" s="121" t="s">
        <v>251</v>
      </c>
      <c r="C15" s="231" t="s">
        <v>306</v>
      </c>
      <c r="D15" s="121" t="s">
        <v>540</v>
      </c>
      <c r="E15" s="121" t="s">
        <v>588</v>
      </c>
      <c r="F15" s="121" t="s">
        <v>1199</v>
      </c>
      <c r="S15" s="9" t="s">
        <v>1111</v>
      </c>
      <c r="T15" s="9" t="s">
        <v>1110</v>
      </c>
      <c r="U15" s="9" t="s">
        <v>1112</v>
      </c>
      <c r="V15" s="9" t="s">
        <v>1114</v>
      </c>
      <c r="W15" s="9" t="s">
        <v>1113</v>
      </c>
      <c r="AC15" s="264"/>
      <c r="AG15" s="43"/>
      <c r="AH15" s="43"/>
    </row>
    <row r="16" spans="1:36" ht="12.5" x14ac:dyDescent="0.25">
      <c r="A16" s="121" t="str">
        <f ca="1"/>
        <v>You haven't yet recorded enough data to perform extrapolation (1 month minimum). The extrapolation is interrupted.</v>
      </c>
      <c r="B16" s="121" t="s">
        <v>252</v>
      </c>
      <c r="C16" s="231" t="s">
        <v>508</v>
      </c>
      <c r="D16" s="121" t="s">
        <v>541</v>
      </c>
      <c r="E16" s="121" t="s">
        <v>589</v>
      </c>
      <c r="F16" s="121" t="s">
        <v>1200</v>
      </c>
      <c r="AC16" s="264"/>
      <c r="AH16" s="43"/>
    </row>
    <row r="17" spans="1:34" ht="12.5" x14ac:dyDescent="0.25">
      <c r="A17" s="219" t="str">
        <f ca="1"/>
        <v xml:space="preserve">Remember to set your balance at the beginning of the year </v>
      </c>
      <c r="B17" s="219" t="s">
        <v>254</v>
      </c>
      <c r="C17" s="232" t="s">
        <v>509</v>
      </c>
      <c r="D17" s="219" t="s">
        <v>542</v>
      </c>
      <c r="E17" s="219" t="s">
        <v>590</v>
      </c>
      <c r="F17" s="219" t="s">
        <v>1201</v>
      </c>
      <c r="R17" s="9" t="str">
        <f>HLOOKUP(WB_Data!EL2,Library!S17:W30,14,FALSE)</f>
        <v>$T$18:$T$29</v>
      </c>
      <c r="S17" s="17" t="s">
        <v>263</v>
      </c>
      <c r="T17" s="252" t="s">
        <v>264</v>
      </c>
      <c r="U17" s="252" t="s">
        <v>469</v>
      </c>
      <c r="V17" s="252" t="s">
        <v>470</v>
      </c>
      <c r="W17" s="253" t="s">
        <v>1093</v>
      </c>
      <c r="AC17" s="264"/>
      <c r="AH17" s="43"/>
    </row>
    <row r="18" spans="1:34" x14ac:dyDescent="0.25">
      <c r="A18" s="219" t="str">
        <f ca="1"/>
        <v>and your savings target.</v>
      </c>
      <c r="B18" s="219" t="s">
        <v>255</v>
      </c>
      <c r="C18" s="232" t="s">
        <v>510</v>
      </c>
      <c r="D18" s="219" t="s">
        <v>543</v>
      </c>
      <c r="E18" s="219" t="s">
        <v>591</v>
      </c>
      <c r="F18" s="219" t="s">
        <v>1202</v>
      </c>
      <c r="R18" s="9" t="str" cm="1">
        <f t="array" aca="1" ref="R18:R29" ca="1">INDIRECT(R17)</f>
        <v>Jan</v>
      </c>
      <c r="S18" s="144" t="s">
        <v>66</v>
      </c>
      <c r="T18" s="9" t="s">
        <v>471</v>
      </c>
      <c r="U18" s="9" t="s">
        <v>472</v>
      </c>
      <c r="V18" s="9" t="s">
        <v>473</v>
      </c>
      <c r="W18" s="143" t="s">
        <v>471</v>
      </c>
      <c r="AC18" s="22"/>
    </row>
    <row r="19" spans="1:34" x14ac:dyDescent="0.25">
      <c r="A19" s="219" t="str">
        <f ca="1"/>
        <v xml:space="preserve"> does not seem to exist...</v>
      </c>
      <c r="B19" s="219" t="s">
        <v>256</v>
      </c>
      <c r="C19" s="232" t="s">
        <v>511</v>
      </c>
      <c r="D19" s="219" t="s">
        <v>544</v>
      </c>
      <c r="E19" s="219" t="s">
        <v>592</v>
      </c>
      <c r="F19" s="219" t="s">
        <v>627</v>
      </c>
      <c r="R19" s="9" t="str">
        <f ca="1"/>
        <v>Feb</v>
      </c>
      <c r="S19" s="144" t="s">
        <v>67</v>
      </c>
      <c r="T19" s="9" t="s">
        <v>474</v>
      </c>
      <c r="U19" s="9" t="s">
        <v>475</v>
      </c>
      <c r="V19" s="9" t="s">
        <v>476</v>
      </c>
      <c r="W19" s="251" t="s">
        <v>474</v>
      </c>
      <c r="AC19" s="22"/>
      <c r="AH19" s="43"/>
    </row>
    <row r="20" spans="1:34" ht="12.5" x14ac:dyDescent="0.25">
      <c r="A20" s="219" t="str">
        <f ca="1"/>
        <v xml:space="preserve"> missed transaction(s)</v>
      </c>
      <c r="B20" s="219" t="s">
        <v>257</v>
      </c>
      <c r="C20" s="232" t="s">
        <v>512</v>
      </c>
      <c r="D20" s="219" t="s">
        <v>545</v>
      </c>
      <c r="E20" s="219" t="s">
        <v>593</v>
      </c>
      <c r="F20" s="219" t="s">
        <v>1203</v>
      </c>
      <c r="R20" s="9" t="str">
        <f ca="1"/>
        <v>Mar</v>
      </c>
      <c r="S20" s="144" t="s">
        <v>23</v>
      </c>
      <c r="T20" s="9" t="s">
        <v>477</v>
      </c>
      <c r="U20" s="9" t="s">
        <v>478</v>
      </c>
      <c r="V20" s="9" t="s">
        <v>479</v>
      </c>
      <c r="W20" s="251" t="s">
        <v>1094</v>
      </c>
      <c r="AC20" s="264"/>
      <c r="AH20" s="43"/>
    </row>
    <row r="21" spans="1:34" x14ac:dyDescent="0.25">
      <c r="A21" s="219" t="str">
        <f ca="1"/>
        <v xml:space="preserve"> transaction(s) processed.</v>
      </c>
      <c r="B21" s="219" t="s">
        <v>258</v>
      </c>
      <c r="C21" s="232" t="s">
        <v>307</v>
      </c>
      <c r="D21" s="219" t="s">
        <v>546</v>
      </c>
      <c r="E21" s="219" t="s">
        <v>594</v>
      </c>
      <c r="F21" s="219" t="s">
        <v>1204</v>
      </c>
      <c r="R21" s="9" t="str">
        <f ca="1"/>
        <v>Apr</v>
      </c>
      <c r="S21" s="144" t="s">
        <v>60</v>
      </c>
      <c r="T21" s="9" t="s">
        <v>480</v>
      </c>
      <c r="U21" s="9" t="s">
        <v>481</v>
      </c>
      <c r="V21" s="9" t="s">
        <v>482</v>
      </c>
      <c r="W21" s="251" t="s">
        <v>480</v>
      </c>
    </row>
    <row r="22" spans="1:34" x14ac:dyDescent="0.25">
      <c r="A22" s="219" t="str">
        <f ca="1"/>
        <v>Analysis successfully completed!</v>
      </c>
      <c r="B22" s="219" t="s">
        <v>259</v>
      </c>
      <c r="C22" s="232" t="s">
        <v>513</v>
      </c>
      <c r="D22" s="219" t="s">
        <v>547</v>
      </c>
      <c r="E22" s="219" t="s">
        <v>595</v>
      </c>
      <c r="F22" s="219" t="s">
        <v>1205</v>
      </c>
      <c r="R22" s="9" t="str">
        <f ca="1"/>
        <v>May</v>
      </c>
      <c r="S22" s="144" t="s">
        <v>25</v>
      </c>
      <c r="T22" s="9" t="s">
        <v>437</v>
      </c>
      <c r="U22" s="9" t="s">
        <v>483</v>
      </c>
      <c r="V22" s="9" t="s">
        <v>484</v>
      </c>
      <c r="W22" s="251" t="s">
        <v>1095</v>
      </c>
      <c r="AH22" s="43"/>
    </row>
    <row r="23" spans="1:34" x14ac:dyDescent="0.25">
      <c r="A23" s="219" t="str">
        <f ca="1"/>
        <v xml:space="preserve"> missing transaction(s)</v>
      </c>
      <c r="B23" s="219" t="s">
        <v>260</v>
      </c>
      <c r="C23" s="232" t="s">
        <v>514</v>
      </c>
      <c r="D23" s="219" t="s">
        <v>548</v>
      </c>
      <c r="E23" s="219" t="s">
        <v>596</v>
      </c>
      <c r="F23" s="219" t="s">
        <v>1206</v>
      </c>
      <c r="R23" s="9" t="str">
        <f ca="1"/>
        <v>Jun</v>
      </c>
      <c r="S23" s="144" t="s">
        <v>26</v>
      </c>
      <c r="T23" s="9" t="s">
        <v>485</v>
      </c>
      <c r="U23" s="9" t="s">
        <v>486</v>
      </c>
      <c r="V23" s="9" t="s">
        <v>487</v>
      </c>
      <c r="W23" s="251" t="s">
        <v>485</v>
      </c>
      <c r="AG23" s="43"/>
    </row>
    <row r="24" spans="1:34" x14ac:dyDescent="0.25">
      <c r="A24" s="224" t="str">
        <f ca="1"/>
        <v>AddAn</v>
      </c>
      <c r="B24" s="224" t="s">
        <v>268</v>
      </c>
      <c r="C24" s="233" t="s">
        <v>268</v>
      </c>
      <c r="D24" s="137" t="s">
        <v>549</v>
      </c>
      <c r="E24" s="137" t="s">
        <v>268</v>
      </c>
      <c r="F24" s="137" t="s">
        <v>628</v>
      </c>
      <c r="R24" s="9" t="str">
        <f ca="1"/>
        <v>Jul</v>
      </c>
      <c r="S24" s="144" t="s">
        <v>61</v>
      </c>
      <c r="T24" s="9" t="s">
        <v>488</v>
      </c>
      <c r="U24" s="9" t="s">
        <v>489</v>
      </c>
      <c r="V24" s="9" t="s">
        <v>490</v>
      </c>
      <c r="W24" s="251" t="s">
        <v>488</v>
      </c>
      <c r="AG24" s="43"/>
    </row>
    <row r="25" spans="1:34" x14ac:dyDescent="0.25">
      <c r="A25" s="137" t="str">
        <f ca="1"/>
        <v>Add a year.</v>
      </c>
      <c r="B25" s="137" t="s">
        <v>265</v>
      </c>
      <c r="C25" s="234" t="s">
        <v>308</v>
      </c>
      <c r="D25" s="137" t="s">
        <v>550</v>
      </c>
      <c r="E25" s="137" t="s">
        <v>597</v>
      </c>
      <c r="F25" s="137" t="s">
        <v>1208</v>
      </c>
      <c r="R25" s="9" t="str">
        <f ca="1"/>
        <v>Aug</v>
      </c>
      <c r="S25" s="144" t="s">
        <v>58</v>
      </c>
      <c r="T25" s="9" t="s">
        <v>491</v>
      </c>
      <c r="U25" s="9" t="s">
        <v>492</v>
      </c>
      <c r="V25" s="9" t="s">
        <v>493</v>
      </c>
      <c r="W25" s="251" t="s">
        <v>491</v>
      </c>
      <c r="AC25" s="22"/>
      <c r="AG25" s="43"/>
    </row>
    <row r="26" spans="1:34" x14ac:dyDescent="0.25">
      <c r="A26" s="137" t="str">
        <f ca="1"/>
        <v>Add your new year:</v>
      </c>
      <c r="B26" s="137" t="s">
        <v>266</v>
      </c>
      <c r="C26" s="234" t="s">
        <v>309</v>
      </c>
      <c r="D26" s="137" t="s">
        <v>551</v>
      </c>
      <c r="E26" s="137" t="s">
        <v>598</v>
      </c>
      <c r="F26" s="137" t="s">
        <v>629</v>
      </c>
      <c r="R26" s="9" t="str">
        <f ca="1"/>
        <v>Sep</v>
      </c>
      <c r="S26" s="144" t="s">
        <v>62</v>
      </c>
      <c r="T26" s="9" t="s">
        <v>494</v>
      </c>
      <c r="U26" s="9" t="s">
        <v>495</v>
      </c>
      <c r="V26" s="9" t="s">
        <v>496</v>
      </c>
      <c r="W26" s="251" t="s">
        <v>494</v>
      </c>
      <c r="AC26" s="22"/>
      <c r="AG26" s="43"/>
    </row>
    <row r="27" spans="1:34" x14ac:dyDescent="0.25">
      <c r="A27" s="137" t="str">
        <f ca="1"/>
        <v>Format: yyyy</v>
      </c>
      <c r="B27" s="137" t="s">
        <v>267</v>
      </c>
      <c r="C27" s="234" t="s">
        <v>267</v>
      </c>
      <c r="D27" s="137" t="s">
        <v>552</v>
      </c>
      <c r="E27" s="137" t="s">
        <v>267</v>
      </c>
      <c r="F27" s="137" t="s">
        <v>630</v>
      </c>
      <c r="R27" s="9" t="str">
        <f ca="1"/>
        <v>Oct</v>
      </c>
      <c r="S27" s="144" t="s">
        <v>63</v>
      </c>
      <c r="T27" s="9" t="s">
        <v>497</v>
      </c>
      <c r="U27" s="9" t="s">
        <v>63</v>
      </c>
      <c r="V27" s="9" t="s">
        <v>498</v>
      </c>
      <c r="W27" s="251" t="s">
        <v>1096</v>
      </c>
      <c r="AC27" s="22"/>
      <c r="AG27" s="43"/>
    </row>
    <row r="28" spans="1:34" x14ac:dyDescent="0.25">
      <c r="A28" s="137" t="str">
        <f ca="1"/>
        <v>Submit</v>
      </c>
      <c r="B28" s="137" t="s">
        <v>269</v>
      </c>
      <c r="C28" s="234" t="s">
        <v>310</v>
      </c>
      <c r="D28" s="137" t="s">
        <v>553</v>
      </c>
      <c r="E28" s="137" t="s">
        <v>599</v>
      </c>
      <c r="F28" s="137" t="s">
        <v>631</v>
      </c>
      <c r="R28" s="9" t="str">
        <f ca="1"/>
        <v>Nov</v>
      </c>
      <c r="S28" s="144" t="s">
        <v>64</v>
      </c>
      <c r="T28" s="9" t="s">
        <v>499</v>
      </c>
      <c r="U28" s="9" t="s">
        <v>64</v>
      </c>
      <c r="V28" s="9" t="s">
        <v>500</v>
      </c>
      <c r="W28" s="251" t="s">
        <v>499</v>
      </c>
      <c r="AC28" s="22"/>
      <c r="AG28" s="43"/>
    </row>
    <row r="29" spans="1:34" x14ac:dyDescent="0.25">
      <c r="A29" s="225" t="str">
        <f ca="1"/>
        <v>AddCat</v>
      </c>
      <c r="B29" s="225" t="s">
        <v>270</v>
      </c>
      <c r="C29" s="243" t="s">
        <v>270</v>
      </c>
      <c r="D29" s="122" t="s">
        <v>554</v>
      </c>
      <c r="E29" s="122" t="s">
        <v>270</v>
      </c>
      <c r="F29" s="122" t="s">
        <v>632</v>
      </c>
      <c r="R29" s="9" t="str">
        <f ca="1"/>
        <v>Dec</v>
      </c>
      <c r="S29" s="260" t="s">
        <v>65</v>
      </c>
      <c r="T29" s="13" t="s">
        <v>501</v>
      </c>
      <c r="U29" s="13" t="s">
        <v>502</v>
      </c>
      <c r="V29" s="13" t="s">
        <v>503</v>
      </c>
      <c r="W29" s="256" t="s">
        <v>1097</v>
      </c>
      <c r="AG29" s="43"/>
    </row>
    <row r="30" spans="1:34" x14ac:dyDescent="0.25">
      <c r="A30" s="122" t="str">
        <f ca="1"/>
        <v>Add a sub-category.</v>
      </c>
      <c r="B30" s="122" t="s">
        <v>271</v>
      </c>
      <c r="C30" s="235" t="s">
        <v>515</v>
      </c>
      <c r="D30" s="122" t="s">
        <v>555</v>
      </c>
      <c r="E30" s="122" t="s">
        <v>600</v>
      </c>
      <c r="F30" s="122" t="s">
        <v>1209</v>
      </c>
      <c r="R30" s="9"/>
      <c r="S30" s="9" t="str">
        <f>ADDRESS(ROW(S18), COLUMN(S18)) &amp; ":" &amp; ADDRESS(ROW(S29), COLUMN(S29))</f>
        <v>$S$18:$S$29</v>
      </c>
      <c r="T30" s="9" t="str">
        <f>ADDRESS(ROW(T18), COLUMN(T18)) &amp; ":" &amp; ADDRESS(ROW(T29), COLUMN(T29))</f>
        <v>$T$18:$T$29</v>
      </c>
      <c r="U30" s="9" t="str">
        <f>ADDRESS(ROW(U18), COLUMN(U18)) &amp; ":" &amp; ADDRESS(ROW(U29), COLUMN(U29))</f>
        <v>$U$18:$U$29</v>
      </c>
      <c r="V30" s="9" t="str">
        <f>ADDRESS(ROW(V18), COLUMN(V18)) &amp; ":" &amp; ADDRESS(ROW(V29), COLUMN(V29))</f>
        <v>$V$18:$V$29</v>
      </c>
      <c r="W30" s="9" t="str">
        <f>ADDRESS(ROW(W18), COLUMN(W18)) &amp; ":" &amp; ADDRESS(ROW(W29), COLUMN(W29))</f>
        <v>$W$18:$W$29</v>
      </c>
      <c r="AG30" s="43"/>
    </row>
    <row r="31" spans="1:34" x14ac:dyDescent="0.25">
      <c r="A31" s="122" t="str">
        <f ca="1"/>
        <v>Insert a new sub-category in the category :</v>
      </c>
      <c r="B31" s="122" t="s">
        <v>272</v>
      </c>
      <c r="C31" s="235" t="s">
        <v>516</v>
      </c>
      <c r="D31" s="122" t="s">
        <v>556</v>
      </c>
      <c r="E31" s="122" t="s">
        <v>601</v>
      </c>
      <c r="F31" s="122" t="s">
        <v>633</v>
      </c>
      <c r="S31" s="9"/>
      <c r="T31" s="9"/>
      <c r="U31" s="9"/>
      <c r="V31" s="9"/>
      <c r="W31" s="9"/>
      <c r="AG31" s="43"/>
    </row>
    <row r="32" spans="1:34" x14ac:dyDescent="0.25">
      <c r="A32" s="122" t="str">
        <f ca="1"/>
        <v>Submit</v>
      </c>
      <c r="B32" s="122" t="s">
        <v>269</v>
      </c>
      <c r="C32" s="235" t="s">
        <v>310</v>
      </c>
      <c r="D32" s="122" t="s">
        <v>553</v>
      </c>
      <c r="E32" s="122" t="s">
        <v>310</v>
      </c>
      <c r="F32" s="122" t="s">
        <v>631</v>
      </c>
      <c r="AG32" s="43"/>
    </row>
    <row r="33" spans="1:33" x14ac:dyDescent="0.25">
      <c r="A33" s="226" t="str">
        <f ca="1"/>
        <v>TFSA</v>
      </c>
      <c r="B33" s="226" t="s">
        <v>1117</v>
      </c>
      <c r="C33" s="242" t="s">
        <v>517</v>
      </c>
      <c r="D33" s="226" t="s">
        <v>517</v>
      </c>
      <c r="E33" s="226" t="s">
        <v>517</v>
      </c>
      <c r="F33" s="226" t="s">
        <v>517</v>
      </c>
      <c r="AG33" s="43"/>
    </row>
    <row r="34" spans="1:33" x14ac:dyDescent="0.25">
      <c r="A34" s="227" t="str">
        <f ca="1"/>
        <v>TFSA limit</v>
      </c>
      <c r="B34" s="227" t="s">
        <v>273</v>
      </c>
      <c r="C34" s="236" t="s">
        <v>518</v>
      </c>
      <c r="D34" s="227" t="s">
        <v>557</v>
      </c>
      <c r="E34" s="227" t="s">
        <v>602</v>
      </c>
      <c r="F34" s="227" t="s">
        <v>1211</v>
      </c>
      <c r="AC34" s="22"/>
      <c r="AG34" s="43"/>
    </row>
    <row r="35" spans="1:33" x14ac:dyDescent="0.25">
      <c r="A35" s="227" t="str">
        <f ca="1"/>
        <v>First year :</v>
      </c>
      <c r="B35" s="227" t="s">
        <v>274</v>
      </c>
      <c r="C35" s="236" t="s">
        <v>519</v>
      </c>
      <c r="D35" s="227" t="s">
        <v>558</v>
      </c>
      <c r="E35" s="227" t="s">
        <v>603</v>
      </c>
      <c r="F35" s="227" t="s">
        <v>634</v>
      </c>
      <c r="S35" t="str">
        <f ca="1">CONCATENATE(WB_Data!D2&amp; " ; " &amp; WB_Data!D3 &amp; " ; " &amp; WB_Data!D4 &amp; " ; " &amp; WB_Data!D5 &amp; " ; " &amp; WB_Data!D6 &amp; " ; " &amp; WB_Data!D7 &amp; " ; etc..")</f>
        <v>January ; February ; March ; April ; May ; June ; etc..</v>
      </c>
      <c r="AG35" s="43"/>
    </row>
    <row r="36" spans="1:33" x14ac:dyDescent="0.25">
      <c r="A36" s="227" t="str">
        <f ca="1"/>
        <v>(SIN Valid)</v>
      </c>
      <c r="B36" s="227" t="s">
        <v>275</v>
      </c>
      <c r="C36" s="236" t="s">
        <v>520</v>
      </c>
      <c r="D36" s="227" t="s">
        <v>559</v>
      </c>
      <c r="E36" s="227" t="s">
        <v>604</v>
      </c>
      <c r="F36" s="227" t="s">
        <v>635</v>
      </c>
      <c r="S36" t="str">
        <f ca="1">CONCATENATE(WB_Data!D2&amp;" ; "&amp;WB_Data!D3&amp;" ; "&amp;"___ ; "&amp;WB_Data!D5&amp;" ; "&amp;"___ ; "&amp;WB_Data!D7&amp;" ; etc..")</f>
        <v>January ; February ; ___ ; April ; ___ ; June ; etc..</v>
      </c>
      <c r="AG36" s="43"/>
    </row>
    <row r="37" spans="1:33" x14ac:dyDescent="0.25">
      <c r="A37" s="227" t="str">
        <f ca="1"/>
        <v>Annual limit</v>
      </c>
      <c r="B37" s="227" t="s">
        <v>276</v>
      </c>
      <c r="C37" s="236" t="s">
        <v>311</v>
      </c>
      <c r="D37" s="227" t="s">
        <v>560</v>
      </c>
      <c r="E37" s="227" t="s">
        <v>605</v>
      </c>
      <c r="F37" s="227" t="s">
        <v>636</v>
      </c>
      <c r="AG37" s="43"/>
    </row>
    <row r="38" spans="1:33" x14ac:dyDescent="0.25">
      <c r="A38" s="227" t="str">
        <f ca="1"/>
        <v>Submit</v>
      </c>
      <c r="B38" s="227" t="s">
        <v>269</v>
      </c>
      <c r="C38" s="236" t="s">
        <v>310</v>
      </c>
      <c r="D38" s="227" t="s">
        <v>553</v>
      </c>
      <c r="E38" s="227" t="s">
        <v>599</v>
      </c>
      <c r="F38" s="227" t="s">
        <v>631</v>
      </c>
      <c r="AC38" s="22"/>
      <c r="AD38" s="259"/>
      <c r="AG38" s="43"/>
    </row>
    <row r="39" spans="1:33" x14ac:dyDescent="0.25">
      <c r="A39" s="228" t="str">
        <f ca="1"/>
        <v>ChangeCAT</v>
      </c>
      <c r="B39" s="228" t="s">
        <v>277</v>
      </c>
      <c r="C39" s="241" t="s">
        <v>277</v>
      </c>
      <c r="D39" s="229" t="s">
        <v>561</v>
      </c>
      <c r="E39" s="229" t="s">
        <v>277</v>
      </c>
      <c r="F39" s="229" t="s">
        <v>637</v>
      </c>
      <c r="AG39" s="43"/>
    </row>
    <row r="40" spans="1:33" x14ac:dyDescent="0.25">
      <c r="A40" s="229" t="str">
        <f ca="1"/>
        <v>System settings</v>
      </c>
      <c r="B40" s="229" t="s">
        <v>1159</v>
      </c>
      <c r="C40" s="237" t="s">
        <v>1161</v>
      </c>
      <c r="D40" s="229" t="s">
        <v>1160</v>
      </c>
      <c r="E40" s="229" t="s">
        <v>1134</v>
      </c>
      <c r="F40" s="229" t="s">
        <v>1219</v>
      </c>
      <c r="AC40" s="22"/>
    </row>
    <row r="41" spans="1:33" x14ac:dyDescent="0.25">
      <c r="A41" s="229" t="str">
        <f ca="1"/>
        <v>CLOSE</v>
      </c>
      <c r="B41" s="229" t="s">
        <v>278</v>
      </c>
      <c r="C41" s="237" t="s">
        <v>312</v>
      </c>
      <c r="D41" s="229" t="s">
        <v>562</v>
      </c>
      <c r="E41" s="229" t="s">
        <v>606</v>
      </c>
      <c r="F41" s="229" t="s">
        <v>638</v>
      </c>
      <c r="AC41" s="22"/>
      <c r="AG41" s="43"/>
    </row>
    <row r="42" spans="1:33" x14ac:dyDescent="0.25">
      <c r="A42" s="229" t="str">
        <f ca="1"/>
        <v>Add</v>
      </c>
      <c r="B42" s="229" t="s">
        <v>279</v>
      </c>
      <c r="C42" s="237" t="s">
        <v>313</v>
      </c>
      <c r="D42" s="229" t="s">
        <v>563</v>
      </c>
      <c r="E42" s="229" t="s">
        <v>607</v>
      </c>
      <c r="F42" s="229" t="s">
        <v>639</v>
      </c>
      <c r="AG42" s="43"/>
    </row>
    <row r="43" spans="1:33" x14ac:dyDescent="0.25">
      <c r="A43" s="229" t="str">
        <f ca="1"/>
        <v>Edit</v>
      </c>
      <c r="B43" s="229" t="s">
        <v>280</v>
      </c>
      <c r="C43" s="237" t="s">
        <v>521</v>
      </c>
      <c r="D43" s="229" t="s">
        <v>564</v>
      </c>
      <c r="E43" s="229" t="s">
        <v>608</v>
      </c>
      <c r="F43" s="229" t="s">
        <v>640</v>
      </c>
      <c r="AG43" s="43"/>
    </row>
    <row r="44" spans="1:33" x14ac:dyDescent="0.25">
      <c r="A44" s="229" t="str">
        <f ca="1"/>
        <v>Select a sub-category then edit</v>
      </c>
      <c r="B44" s="229" t="s">
        <v>281</v>
      </c>
      <c r="C44" s="237" t="s">
        <v>522</v>
      </c>
      <c r="D44" s="229" t="s">
        <v>565</v>
      </c>
      <c r="E44" s="229" t="s">
        <v>609</v>
      </c>
      <c r="F44" s="229" t="s">
        <v>641</v>
      </c>
      <c r="AC44" s="22"/>
      <c r="AG44" s="43"/>
    </row>
    <row r="45" spans="1:33" x14ac:dyDescent="0.25">
      <c r="A45" s="229" t="str">
        <f ca="1"/>
        <v>Expenses</v>
      </c>
      <c r="B45" s="229" t="s">
        <v>14</v>
      </c>
      <c r="C45" s="237" t="s">
        <v>523</v>
      </c>
      <c r="D45" s="229" t="s">
        <v>566</v>
      </c>
      <c r="E45" s="229" t="s">
        <v>610</v>
      </c>
      <c r="F45" s="229" t="s">
        <v>642</v>
      </c>
      <c r="AC45" s="22"/>
    </row>
    <row r="46" spans="1:33" x14ac:dyDescent="0.25">
      <c r="A46" s="229" t="str">
        <f ca="1"/>
        <v>Income</v>
      </c>
      <c r="B46" s="229" t="s">
        <v>13</v>
      </c>
      <c r="C46" s="237" t="s">
        <v>13</v>
      </c>
      <c r="D46" s="229" t="s">
        <v>567</v>
      </c>
      <c r="E46" s="229" t="s">
        <v>611</v>
      </c>
      <c r="F46" s="229" t="s">
        <v>643</v>
      </c>
    </row>
    <row r="47" spans="1:33" x14ac:dyDescent="0.25">
      <c r="A47" s="229" t="str">
        <f ca="1"/>
        <v>MODIFICATION</v>
      </c>
      <c r="B47" s="229" t="s">
        <v>282</v>
      </c>
      <c r="C47" s="237" t="s">
        <v>282</v>
      </c>
      <c r="D47" s="229" t="s">
        <v>568</v>
      </c>
      <c r="E47" s="229" t="s">
        <v>612</v>
      </c>
      <c r="F47" s="229" t="s">
        <v>644</v>
      </c>
    </row>
    <row r="48" spans="1:33" x14ac:dyDescent="0.25">
      <c r="A48" s="229" t="str">
        <f ca="1"/>
        <v>Password</v>
      </c>
      <c r="B48" s="229" t="s">
        <v>283</v>
      </c>
      <c r="C48" s="237" t="s">
        <v>314</v>
      </c>
      <c r="D48" s="229" t="s">
        <v>569</v>
      </c>
      <c r="E48" s="229" t="s">
        <v>613</v>
      </c>
      <c r="F48" s="229" t="s">
        <v>645</v>
      </c>
    </row>
    <row r="49" spans="1:29" x14ac:dyDescent="0.25">
      <c r="A49" s="229" t="str">
        <f ca="1"/>
        <v>ACCEPT</v>
      </c>
      <c r="B49" s="229" t="s">
        <v>284</v>
      </c>
      <c r="C49" s="237" t="s">
        <v>524</v>
      </c>
      <c r="D49" s="229" t="s">
        <v>570</v>
      </c>
      <c r="E49" s="229" t="s">
        <v>614</v>
      </c>
      <c r="F49" s="229" t="s">
        <v>646</v>
      </c>
      <c r="AC49" s="22"/>
    </row>
    <row r="50" spans="1:29" x14ac:dyDescent="0.25">
      <c r="A50" s="229" t="str">
        <f ca="1"/>
        <v>Income_1 : Fixed income</v>
      </c>
      <c r="B50" s="229" t="s">
        <v>285</v>
      </c>
      <c r="C50" s="237" t="s">
        <v>525</v>
      </c>
      <c r="D50" s="229" t="s">
        <v>571</v>
      </c>
      <c r="E50" s="229" t="s">
        <v>615</v>
      </c>
      <c r="F50" s="229" t="s">
        <v>647</v>
      </c>
      <c r="AC50" s="22"/>
    </row>
    <row r="51" spans="1:29" x14ac:dyDescent="0.25">
      <c r="A51" s="229" t="str">
        <f ca="1"/>
        <v>Income_2 : Savings</v>
      </c>
      <c r="B51" s="229" t="s">
        <v>286</v>
      </c>
      <c r="C51" s="237" t="s">
        <v>526</v>
      </c>
      <c r="D51" s="229" t="s">
        <v>572</v>
      </c>
      <c r="E51" s="229" t="s">
        <v>616</v>
      </c>
      <c r="F51" s="229" t="s">
        <v>648</v>
      </c>
    </row>
    <row r="52" spans="1:29" x14ac:dyDescent="0.25">
      <c r="A52" s="229" t="str">
        <f ca="1"/>
        <v>Income_3 : Punctual Income</v>
      </c>
      <c r="B52" s="229" t="s">
        <v>287</v>
      </c>
      <c r="C52" s="237" t="s">
        <v>527</v>
      </c>
      <c r="D52" s="229" t="s">
        <v>573</v>
      </c>
      <c r="E52" s="229" t="s">
        <v>617</v>
      </c>
      <c r="F52" s="229" t="s">
        <v>649</v>
      </c>
    </row>
    <row r="53" spans="1:29" x14ac:dyDescent="0.25">
      <c r="A53" s="229" t="str">
        <f ca="1"/>
        <v>Currencies</v>
      </c>
      <c r="B53" s="229" t="s">
        <v>288</v>
      </c>
      <c r="C53" s="237" t="s">
        <v>315</v>
      </c>
      <c r="D53" s="229" t="s">
        <v>574</v>
      </c>
      <c r="E53" s="229" t="s">
        <v>618</v>
      </c>
      <c r="F53" s="229" t="s">
        <v>650</v>
      </c>
      <c r="AC53" s="22"/>
    </row>
    <row r="54" spans="1:29" x14ac:dyDescent="0.25">
      <c r="A54" s="229" t="str">
        <f ca="1"/>
        <v>Sub Categories</v>
      </c>
      <c r="B54" s="229" t="s">
        <v>289</v>
      </c>
      <c r="C54" s="237" t="s">
        <v>528</v>
      </c>
      <c r="D54" s="229" t="s">
        <v>575</v>
      </c>
      <c r="E54" s="229" t="s">
        <v>619</v>
      </c>
      <c r="F54" s="229" t="s">
        <v>651</v>
      </c>
    </row>
    <row r="55" spans="1:29" x14ac:dyDescent="0.25">
      <c r="A55" s="229" t="str">
        <f ca="1"/>
        <v>Main categories</v>
      </c>
      <c r="B55" s="229" t="s">
        <v>290</v>
      </c>
      <c r="C55" s="237" t="s">
        <v>316</v>
      </c>
      <c r="D55" s="229" t="s">
        <v>576</v>
      </c>
      <c r="E55" s="229" t="s">
        <v>620</v>
      </c>
      <c r="F55" s="229" t="s">
        <v>652</v>
      </c>
    </row>
    <row r="56" spans="1:29" x14ac:dyDescent="0.25">
      <c r="A56" s="229" t="str">
        <f ca="1"/>
        <v>Parameters</v>
      </c>
      <c r="B56" s="229" t="s">
        <v>291</v>
      </c>
      <c r="C56" s="237" t="s">
        <v>529</v>
      </c>
      <c r="D56" s="229" t="s">
        <v>577</v>
      </c>
      <c r="E56" s="229" t="s">
        <v>621</v>
      </c>
      <c r="F56" s="229" t="s">
        <v>653</v>
      </c>
    </row>
    <row r="57" spans="1:29" x14ac:dyDescent="0.25">
      <c r="A57" s="229" t="str">
        <f ca="1"/>
        <v>Category already exists.</v>
      </c>
      <c r="B57" s="229" t="s">
        <v>296</v>
      </c>
      <c r="C57" s="238" t="s">
        <v>530</v>
      </c>
      <c r="D57" s="229" t="s">
        <v>578</v>
      </c>
      <c r="E57" s="229" t="s">
        <v>622</v>
      </c>
      <c r="F57" s="229" t="s">
        <v>1213</v>
      </c>
    </row>
    <row r="58" spans="1:29" x14ac:dyDescent="0.25">
      <c r="A58" s="229" t="str">
        <f ca="1"/>
        <v>Name error. Make sure the new name is unique and valid.</v>
      </c>
      <c r="B58" s="229" t="s">
        <v>292</v>
      </c>
      <c r="C58" s="238" t="s">
        <v>531</v>
      </c>
      <c r="D58" s="229" t="s">
        <v>579</v>
      </c>
      <c r="E58" s="229" t="s">
        <v>623</v>
      </c>
      <c r="F58" s="229" t="s">
        <v>1220</v>
      </c>
    </row>
    <row r="59" spans="1:29" x14ac:dyDescent="0.25">
      <c r="A59" s="229" t="str">
        <f ca="1"/>
        <v>Category not found. Category not found.</v>
      </c>
      <c r="B59" s="229" t="s">
        <v>293</v>
      </c>
      <c r="C59" s="238" t="s">
        <v>532</v>
      </c>
      <c r="D59" s="229" t="s">
        <v>580</v>
      </c>
      <c r="E59" s="229" t="s">
        <v>624</v>
      </c>
      <c r="F59" s="229" t="s">
        <v>1218</v>
      </c>
    </row>
    <row r="60" spans="1:29" x14ac:dyDescent="0.25">
      <c r="A60" s="229" t="str">
        <f ca="1"/>
        <v>System settings - Processing</v>
      </c>
      <c r="B60" s="229" t="s">
        <v>1326</v>
      </c>
      <c r="C60" s="238" t="s">
        <v>1327</v>
      </c>
      <c r="D60" s="229" t="s">
        <v>1329</v>
      </c>
      <c r="E60" s="229" t="s">
        <v>1328</v>
      </c>
      <c r="F60" s="229" t="s">
        <v>1330</v>
      </c>
    </row>
    <row r="61" spans="1:29" x14ac:dyDescent="0.25">
      <c r="A61" s="229" t="str">
        <f ca="1"/>
        <v>Completed</v>
      </c>
      <c r="B61" s="229" t="s">
        <v>294</v>
      </c>
      <c r="C61" s="238" t="s">
        <v>318</v>
      </c>
      <c r="D61" s="229" t="s">
        <v>693</v>
      </c>
      <c r="E61" s="229" t="s">
        <v>737</v>
      </c>
      <c r="F61" s="229" t="s">
        <v>781</v>
      </c>
    </row>
    <row r="62" spans="1:29" x14ac:dyDescent="0.25">
      <c r="A62" s="229" t="str">
        <f ca="1"/>
        <v>This category is already used by the system.</v>
      </c>
      <c r="B62" s="229" t="s">
        <v>295</v>
      </c>
      <c r="C62" s="238" t="s">
        <v>654</v>
      </c>
      <c r="D62" s="229" t="s">
        <v>694</v>
      </c>
      <c r="E62" s="229" t="s">
        <v>738</v>
      </c>
      <c r="F62" s="229" t="s">
        <v>1212</v>
      </c>
    </row>
    <row r="63" spans="1:29" x14ac:dyDescent="0.25">
      <c r="A63" s="229" t="str">
        <f ca="1"/>
        <v>Are you sure?</v>
      </c>
      <c r="B63" s="229" t="s">
        <v>297</v>
      </c>
      <c r="C63" s="238" t="s">
        <v>655</v>
      </c>
      <c r="D63" s="229" t="s">
        <v>695</v>
      </c>
      <c r="E63" s="229" t="s">
        <v>739</v>
      </c>
      <c r="F63" s="229" t="s">
        <v>1214</v>
      </c>
    </row>
    <row r="64" spans="1:29" x14ac:dyDescent="0.25">
      <c r="A64" s="229" t="str">
        <f ca="1"/>
        <v>Error</v>
      </c>
      <c r="B64" s="229" t="s">
        <v>298</v>
      </c>
      <c r="C64" s="238" t="s">
        <v>317</v>
      </c>
      <c r="D64" s="229" t="s">
        <v>317</v>
      </c>
      <c r="E64" s="229" t="s">
        <v>740</v>
      </c>
      <c r="F64" s="229" t="s">
        <v>782</v>
      </c>
    </row>
    <row r="65" spans="1:6" x14ac:dyDescent="0.25">
      <c r="A65" s="229" t="str">
        <f ca="1"/>
        <v>Error! Unfortunately, you cannot empty a category.</v>
      </c>
      <c r="B65" s="229" t="s">
        <v>299</v>
      </c>
      <c r="C65" s="238" t="s">
        <v>656</v>
      </c>
      <c r="D65" s="229" t="s">
        <v>696</v>
      </c>
      <c r="E65" s="229" t="s">
        <v>741</v>
      </c>
      <c r="F65" s="229" t="s">
        <v>1215</v>
      </c>
    </row>
    <row r="66" spans="1:6" x14ac:dyDescent="0.25">
      <c r="A66" s="229" t="str">
        <f ca="1"/>
        <v>Modifying the organization of your categories may lead to errors in your currently active budgets.</v>
      </c>
      <c r="B66" s="229" t="s">
        <v>300</v>
      </c>
      <c r="C66" s="238" t="s">
        <v>657</v>
      </c>
      <c r="D66" s="229" t="s">
        <v>697</v>
      </c>
      <c r="E66" s="229" t="s">
        <v>742</v>
      </c>
      <c r="F66" s="229" t="s">
        <v>1216</v>
      </c>
    </row>
    <row r="67" spans="1:6" x14ac:dyDescent="0.25">
      <c r="A67" s="229" t="str">
        <f ca="1"/>
        <v>Would you like to continue?</v>
      </c>
      <c r="B67" s="229" t="s">
        <v>301</v>
      </c>
      <c r="C67" s="238" t="s">
        <v>658</v>
      </c>
      <c r="D67" s="229" t="s">
        <v>698</v>
      </c>
      <c r="E67" s="229" t="s">
        <v>743</v>
      </c>
      <c r="F67" s="229" t="s">
        <v>1217</v>
      </c>
    </row>
    <row r="68" spans="1:6" x14ac:dyDescent="0.25">
      <c r="A68" s="205" t="str">
        <f ca="1"/>
        <v>Savings</v>
      </c>
      <c r="B68" s="205" t="s">
        <v>43</v>
      </c>
      <c r="C68" s="205" t="s">
        <v>659</v>
      </c>
      <c r="D68" s="195" t="s">
        <v>699</v>
      </c>
      <c r="E68" s="195" t="s">
        <v>744</v>
      </c>
      <c r="F68" s="195" t="s">
        <v>783</v>
      </c>
    </row>
    <row r="69" spans="1:6" x14ac:dyDescent="0.25">
      <c r="A69" s="195" t="str">
        <f ca="1"/>
        <v>Set your savings target</v>
      </c>
      <c r="B69" s="195" t="s">
        <v>319</v>
      </c>
      <c r="C69" s="195" t="s">
        <v>660</v>
      </c>
      <c r="D69" s="195" t="s">
        <v>700</v>
      </c>
      <c r="E69" s="195" t="s">
        <v>745</v>
      </c>
      <c r="F69" s="195" t="s">
        <v>1222</v>
      </c>
    </row>
    <row r="70" spans="1:6" x14ac:dyDescent="0.25">
      <c r="A70" s="195" t="str">
        <f ca="1"/>
        <v>Year</v>
      </c>
      <c r="B70" s="195" t="s">
        <v>8</v>
      </c>
      <c r="C70" s="195" t="s">
        <v>661</v>
      </c>
      <c r="D70" s="195" t="s">
        <v>701</v>
      </c>
      <c r="E70" s="195" t="s">
        <v>746</v>
      </c>
      <c r="F70" s="195" t="s">
        <v>784</v>
      </c>
    </row>
    <row r="71" spans="1:6" x14ac:dyDescent="0.25">
      <c r="A71" s="195" t="str">
        <f ca="1"/>
        <v>Chequing account</v>
      </c>
      <c r="B71" s="195" t="s">
        <v>320</v>
      </c>
      <c r="C71" s="195" t="s">
        <v>662</v>
      </c>
      <c r="D71" s="195" t="s">
        <v>702</v>
      </c>
      <c r="E71" s="195" t="s">
        <v>747</v>
      </c>
      <c r="F71" s="195" t="s">
        <v>785</v>
      </c>
    </row>
    <row r="72" spans="1:6" x14ac:dyDescent="0.25">
      <c r="A72" s="195" t="str">
        <f ca="1"/>
        <v>Target savings / Month</v>
      </c>
      <c r="B72" s="195" t="s">
        <v>321</v>
      </c>
      <c r="C72" s="195" t="s">
        <v>663</v>
      </c>
      <c r="D72" s="195" t="s">
        <v>703</v>
      </c>
      <c r="E72" s="195" t="s">
        <v>748</v>
      </c>
      <c r="F72" s="195" t="s">
        <v>786</v>
      </c>
    </row>
    <row r="73" spans="1:6" x14ac:dyDescent="0.25">
      <c r="A73" s="195" t="str">
        <f ca="1"/>
        <v>Submit</v>
      </c>
      <c r="B73" s="195" t="s">
        <v>269</v>
      </c>
      <c r="C73" s="195" t="s">
        <v>310</v>
      </c>
      <c r="D73" s="195" t="s">
        <v>553</v>
      </c>
      <c r="E73" s="195" t="s">
        <v>599</v>
      </c>
      <c r="F73" s="195" t="s">
        <v>631</v>
      </c>
    </row>
    <row r="74" spans="1:6" x14ac:dyDescent="0.25">
      <c r="A74" s="195" t="str">
        <f ca="1"/>
        <v xml:space="preserve">You don't have a donation yet for the year </v>
      </c>
      <c r="B74" s="195" t="s">
        <v>322</v>
      </c>
      <c r="C74" s="195" t="s">
        <v>664</v>
      </c>
      <c r="D74" s="195" t="s">
        <v>704</v>
      </c>
      <c r="E74" s="195" t="s">
        <v>749</v>
      </c>
      <c r="F74" s="195" t="s">
        <v>1221</v>
      </c>
    </row>
    <row r="75" spans="1:6" x14ac:dyDescent="0.25">
      <c r="A75" s="206" t="str">
        <f ca="1"/>
        <v>EPProgress</v>
      </c>
      <c r="B75" s="206" t="s">
        <v>323</v>
      </c>
      <c r="C75" s="206" t="s">
        <v>323</v>
      </c>
      <c r="D75" s="200" t="s">
        <v>323</v>
      </c>
      <c r="E75" s="200" t="s">
        <v>323</v>
      </c>
      <c r="F75" s="200" t="s">
        <v>323</v>
      </c>
    </row>
    <row r="76" spans="1:6" x14ac:dyDescent="0.25">
      <c r="A76" s="200" t="str">
        <f ca="1"/>
        <v>Register your progress</v>
      </c>
      <c r="B76" s="200" t="s">
        <v>324</v>
      </c>
      <c r="C76" s="200" t="s">
        <v>665</v>
      </c>
      <c r="D76" s="200" t="s">
        <v>705</v>
      </c>
      <c r="E76" s="200" t="s">
        <v>750</v>
      </c>
      <c r="F76" s="200" t="s">
        <v>1224</v>
      </c>
    </row>
    <row r="77" spans="1:6" x14ac:dyDescent="0.25">
      <c r="A77" s="200" t="str">
        <f ca="1"/>
        <v>Total amount invested at the beginning of the year</v>
      </c>
      <c r="B77" s="200" t="s">
        <v>325</v>
      </c>
      <c r="C77" s="200" t="s">
        <v>666</v>
      </c>
      <c r="D77" s="200" t="s">
        <v>706</v>
      </c>
      <c r="E77" s="200" t="s">
        <v>751</v>
      </c>
      <c r="F77" s="200" t="s">
        <v>787</v>
      </c>
    </row>
    <row r="78" spans="1:6" x14ac:dyDescent="0.25">
      <c r="A78" s="200" t="str">
        <f ca="1"/>
        <v>Register</v>
      </c>
      <c r="B78" s="200" t="s">
        <v>326</v>
      </c>
      <c r="C78" s="200" t="s">
        <v>667</v>
      </c>
      <c r="D78" s="200" t="s">
        <v>707</v>
      </c>
      <c r="E78" s="200" t="s">
        <v>752</v>
      </c>
      <c r="F78" s="200" t="s">
        <v>788</v>
      </c>
    </row>
    <row r="79" spans="1:6" x14ac:dyDescent="0.25">
      <c r="A79" s="200" t="str">
        <f ca="1"/>
        <v>Close</v>
      </c>
      <c r="B79" s="200" t="s">
        <v>327</v>
      </c>
      <c r="C79" s="200" t="s">
        <v>668</v>
      </c>
      <c r="D79" s="200" t="s">
        <v>708</v>
      </c>
      <c r="E79" s="200" t="s">
        <v>753</v>
      </c>
      <c r="F79" s="200" t="s">
        <v>638</v>
      </c>
    </row>
    <row r="80" spans="1:6" x14ac:dyDescent="0.25">
      <c r="A80" s="200" t="str">
        <f ca="1"/>
        <v>Period not found!</v>
      </c>
      <c r="B80" s="200" t="s">
        <v>328</v>
      </c>
      <c r="C80" s="200" t="s">
        <v>669</v>
      </c>
      <c r="D80" s="200" t="s">
        <v>709</v>
      </c>
      <c r="E80" s="200" t="s">
        <v>754</v>
      </c>
      <c r="F80" s="200" t="s">
        <v>1223</v>
      </c>
    </row>
    <row r="81" spans="1:6" x14ac:dyDescent="0.25">
      <c r="A81" s="200" t="str">
        <f ca="1"/>
        <v>Please select the beginning of the year.</v>
      </c>
      <c r="B81" s="200" t="s">
        <v>329</v>
      </c>
      <c r="C81" s="200" t="s">
        <v>670</v>
      </c>
      <c r="D81" s="200" t="s">
        <v>710</v>
      </c>
      <c r="E81" s="200" t="s">
        <v>755</v>
      </c>
      <c r="F81" s="200" t="s">
        <v>1225</v>
      </c>
    </row>
    <row r="82" spans="1:6" x14ac:dyDescent="0.25">
      <c r="A82" s="207" t="str">
        <f ca="1"/>
        <v>ExtraP</v>
      </c>
      <c r="B82" s="207" t="s">
        <v>330</v>
      </c>
      <c r="C82" s="207" t="s">
        <v>330</v>
      </c>
      <c r="D82" s="92" t="s">
        <v>330</v>
      </c>
      <c r="E82" s="92" t="s">
        <v>330</v>
      </c>
      <c r="F82" s="92" t="s">
        <v>789</v>
      </c>
    </row>
    <row r="83" spans="1:6" x14ac:dyDescent="0.25">
      <c r="A83" s="92" t="str">
        <f ca="1"/>
        <v>Start data extrapolation</v>
      </c>
      <c r="B83" s="92" t="s">
        <v>331</v>
      </c>
      <c r="C83" s="92" t="s">
        <v>671</v>
      </c>
      <c r="D83" s="92" t="s">
        <v>711</v>
      </c>
      <c r="E83" s="92" t="s">
        <v>756</v>
      </c>
      <c r="F83" s="92" t="s">
        <v>1229</v>
      </c>
    </row>
    <row r="84" spans="1:6" x14ac:dyDescent="0.25">
      <c r="A84" s="92" t="str">
        <f ca="1"/>
        <v>From which month do you want to start the analysis? :</v>
      </c>
      <c r="B84" s="92" t="s">
        <v>332</v>
      </c>
      <c r="C84" s="92" t="s">
        <v>672</v>
      </c>
      <c r="D84" s="92" t="s">
        <v>712</v>
      </c>
      <c r="E84" s="92" t="s">
        <v>757</v>
      </c>
      <c r="F84" s="92" t="s">
        <v>790</v>
      </c>
    </row>
    <row r="85" spans="1:6" x14ac:dyDescent="0.25">
      <c r="A85" s="92" t="str">
        <f ca="1"/>
        <v>(Note that the extrapolation will only be done for one year (12Months to avoid bias)</v>
      </c>
      <c r="B85" s="92" t="s">
        <v>333</v>
      </c>
      <c r="C85" s="92" t="s">
        <v>673</v>
      </c>
      <c r="D85" s="92" t="s">
        <v>713</v>
      </c>
      <c r="E85" s="92" t="s">
        <v>758</v>
      </c>
      <c r="F85" s="92" t="s">
        <v>791</v>
      </c>
    </row>
    <row r="86" spans="1:6" x14ac:dyDescent="0.25">
      <c r="A86" s="92" t="str">
        <f ca="1"/>
        <v>Year</v>
      </c>
      <c r="B86" s="92" t="s">
        <v>8</v>
      </c>
      <c r="C86" s="92" t="s">
        <v>661</v>
      </c>
      <c r="D86" s="92" t="s">
        <v>701</v>
      </c>
      <c r="E86" s="92" t="s">
        <v>746</v>
      </c>
      <c r="F86" s="92" t="s">
        <v>792</v>
      </c>
    </row>
    <row r="87" spans="1:6" x14ac:dyDescent="0.25">
      <c r="A87" s="92" t="str">
        <f ca="1"/>
        <v>Month</v>
      </c>
      <c r="B87" s="92" t="s">
        <v>9</v>
      </c>
      <c r="C87" s="92" t="s">
        <v>674</v>
      </c>
      <c r="D87" s="92" t="s">
        <v>714</v>
      </c>
      <c r="E87" s="92" t="s">
        <v>759</v>
      </c>
      <c r="F87" s="92" t="s">
        <v>793</v>
      </c>
    </row>
    <row r="88" spans="1:6" x14ac:dyDescent="0.25">
      <c r="A88" s="92" t="str">
        <f ca="1"/>
        <v>Submit</v>
      </c>
      <c r="B88" s="92" t="s">
        <v>269</v>
      </c>
      <c r="C88" s="92" t="s">
        <v>310</v>
      </c>
      <c r="D88" s="92" t="s">
        <v>553</v>
      </c>
      <c r="E88" s="92" t="s">
        <v>760</v>
      </c>
      <c r="F88" s="92" t="s">
        <v>631</v>
      </c>
    </row>
    <row r="89" spans="1:6" x14ac:dyDescent="0.25">
      <c r="A89" s="92" t="str">
        <f ca="1"/>
        <v>Oops! The year was not found in the system!</v>
      </c>
      <c r="B89" s="92" t="s">
        <v>250</v>
      </c>
      <c r="C89" s="92" t="s">
        <v>305</v>
      </c>
      <c r="D89" s="92" t="s">
        <v>539</v>
      </c>
      <c r="E89" s="92" t="s">
        <v>587</v>
      </c>
      <c r="F89" s="92" t="s">
        <v>626</v>
      </c>
    </row>
    <row r="90" spans="1:6" x14ac:dyDescent="0.25">
      <c r="A90" s="92" t="str">
        <f ca="1"/>
        <v>Code: WB_data Table Data_Line</v>
      </c>
      <c r="B90" s="92" t="s">
        <v>251</v>
      </c>
      <c r="C90" s="92" t="s">
        <v>306</v>
      </c>
      <c r="D90" s="92" t="s">
        <v>540</v>
      </c>
      <c r="E90" s="92" t="s">
        <v>588</v>
      </c>
      <c r="F90" s="92" t="s">
        <v>794</v>
      </c>
    </row>
    <row r="91" spans="1:6" x14ac:dyDescent="0.25">
      <c r="A91" s="208" t="str">
        <f ca="1"/>
        <v>InputAsk</v>
      </c>
      <c r="B91" s="208" t="s">
        <v>334</v>
      </c>
      <c r="C91" s="208" t="s">
        <v>334</v>
      </c>
      <c r="D91" s="239" t="s">
        <v>334</v>
      </c>
      <c r="E91" s="239" t="s">
        <v>334</v>
      </c>
      <c r="F91" s="239" t="s">
        <v>795</v>
      </c>
    </row>
    <row r="92" spans="1:6" x14ac:dyDescent="0.25">
      <c r="A92" s="239" t="str">
        <f ca="1"/>
        <v>Go on and don't see</v>
      </c>
      <c r="B92" s="239" t="s">
        <v>335</v>
      </c>
      <c r="C92" s="239" t="s">
        <v>675</v>
      </c>
      <c r="D92" s="239" t="s">
        <v>715</v>
      </c>
      <c r="E92" s="239" t="s">
        <v>761</v>
      </c>
      <c r="F92" s="239" t="s">
        <v>796</v>
      </c>
    </row>
    <row r="93" spans="1:6" x14ac:dyDescent="0.25">
      <c r="A93" s="239" t="str">
        <f ca="1"/>
        <v>Continue</v>
      </c>
      <c r="B93" s="239" t="s">
        <v>336</v>
      </c>
      <c r="C93" s="239" t="s">
        <v>676</v>
      </c>
      <c r="D93" s="239" t="s">
        <v>716</v>
      </c>
      <c r="E93" s="239" t="s">
        <v>762</v>
      </c>
      <c r="F93" s="239" t="s">
        <v>797</v>
      </c>
    </row>
    <row r="94" spans="1:6" x14ac:dyDescent="0.25">
      <c r="A94" s="239" t="str">
        <f ca="1"/>
        <v>Stop analysis</v>
      </c>
      <c r="B94" s="239" t="s">
        <v>337</v>
      </c>
      <c r="C94" s="239" t="s">
        <v>677</v>
      </c>
      <c r="D94" s="239" t="s">
        <v>717</v>
      </c>
      <c r="E94" s="239" t="s">
        <v>763</v>
      </c>
      <c r="F94" s="239" t="s">
        <v>798</v>
      </c>
    </row>
    <row r="95" spans="1:6" x14ac:dyDescent="0.25">
      <c r="A95" s="261" t="str">
        <f ca="1"/>
        <v>InputAsk</v>
      </c>
      <c r="B95" s="261" t="s">
        <v>334</v>
      </c>
      <c r="C95" s="261" t="s">
        <v>334</v>
      </c>
      <c r="D95" s="261" t="s">
        <v>334</v>
      </c>
      <c r="E95" s="261" t="s">
        <v>334</v>
      </c>
      <c r="F95" s="261" t="s">
        <v>795</v>
      </c>
    </row>
    <row r="96" spans="1:6" x14ac:dyDescent="0.25">
      <c r="A96" s="240" t="str">
        <f ca="1"/>
        <v>Enter your data</v>
      </c>
      <c r="B96" s="240" t="s">
        <v>1168</v>
      </c>
      <c r="C96" s="240" t="s">
        <v>678</v>
      </c>
      <c r="D96" s="240" t="s">
        <v>718</v>
      </c>
      <c r="E96" s="240" t="s">
        <v>764</v>
      </c>
      <c r="F96" s="240" t="s">
        <v>1228</v>
      </c>
    </row>
    <row r="97" spans="1:6" x14ac:dyDescent="0.25">
      <c r="A97" s="240" t="str">
        <f ca="1"/>
        <v>Categories</v>
      </c>
      <c r="B97" s="240" t="s">
        <v>338</v>
      </c>
      <c r="C97" s="240" t="s">
        <v>679</v>
      </c>
      <c r="D97" s="240" t="s">
        <v>719</v>
      </c>
      <c r="E97" s="240" t="s">
        <v>765</v>
      </c>
      <c r="F97" s="240" t="s">
        <v>799</v>
      </c>
    </row>
    <row r="98" spans="1:6" x14ac:dyDescent="0.25">
      <c r="A98" s="240" t="str">
        <f ca="1"/>
        <v>Under Categories</v>
      </c>
      <c r="B98" s="240" t="s">
        <v>289</v>
      </c>
      <c r="C98" s="240" t="s">
        <v>680</v>
      </c>
      <c r="D98" s="240" t="s">
        <v>720</v>
      </c>
      <c r="E98" s="240" t="s">
        <v>766</v>
      </c>
      <c r="F98" s="240" t="s">
        <v>800</v>
      </c>
    </row>
    <row r="99" spans="1:6" x14ac:dyDescent="0.25">
      <c r="A99" s="240" t="str">
        <f ca="1"/>
        <v>Save</v>
      </c>
      <c r="B99" s="240" t="s">
        <v>326</v>
      </c>
      <c r="C99" s="240" t="s">
        <v>167</v>
      </c>
      <c r="D99" s="240" t="s">
        <v>721</v>
      </c>
      <c r="E99" s="240" t="s">
        <v>767</v>
      </c>
      <c r="F99" s="240" t="s">
        <v>801</v>
      </c>
    </row>
    <row r="100" spans="1:6" x14ac:dyDescent="0.25">
      <c r="A100" s="240" t="str">
        <f ca="1"/>
        <v>Delete</v>
      </c>
      <c r="B100" s="240" t="s">
        <v>339</v>
      </c>
      <c r="C100" s="240" t="s">
        <v>681</v>
      </c>
      <c r="D100" s="240" t="s">
        <v>722</v>
      </c>
      <c r="E100" s="240" t="s">
        <v>768</v>
      </c>
      <c r="F100" s="240" t="s">
        <v>802</v>
      </c>
    </row>
    <row r="101" spans="1:6" x14ac:dyDescent="0.25">
      <c r="A101" s="240" t="str">
        <f ca="1"/>
        <v>Amount</v>
      </c>
      <c r="B101" s="240" t="s">
        <v>15</v>
      </c>
      <c r="C101" s="240" t="s">
        <v>682</v>
      </c>
      <c r="D101" s="240" t="s">
        <v>723</v>
      </c>
      <c r="E101" s="240" t="s">
        <v>769</v>
      </c>
      <c r="F101" s="240" t="s">
        <v>803</v>
      </c>
    </row>
    <row r="102" spans="1:6" x14ac:dyDescent="0.25">
      <c r="A102" s="240" t="str">
        <f ca="1"/>
        <v>Last amount</v>
      </c>
      <c r="B102" s="240" t="s">
        <v>1379</v>
      </c>
      <c r="C102" s="240" t="s">
        <v>340</v>
      </c>
      <c r="D102" s="240" t="s">
        <v>724</v>
      </c>
      <c r="E102" s="240" t="s">
        <v>770</v>
      </c>
      <c r="F102" s="240" t="s">
        <v>804</v>
      </c>
    </row>
    <row r="103" spans="1:6" x14ac:dyDescent="0.25">
      <c r="A103" s="240" t="str">
        <f ca="1"/>
        <v>Cancel</v>
      </c>
      <c r="B103" s="240" t="s">
        <v>1317</v>
      </c>
      <c r="C103" s="240" t="s">
        <v>341</v>
      </c>
      <c r="D103" s="240" t="s">
        <v>725</v>
      </c>
      <c r="E103" s="240" t="s">
        <v>1318</v>
      </c>
      <c r="F103" s="240" t="s">
        <v>805</v>
      </c>
    </row>
    <row r="104" spans="1:6" x14ac:dyDescent="0.25">
      <c r="A104" s="240" t="str">
        <f ca="1"/>
        <v>Please enter all required fields.</v>
      </c>
      <c r="B104" s="240" t="s">
        <v>342</v>
      </c>
      <c r="C104" s="240" t="s">
        <v>683</v>
      </c>
      <c r="D104" s="240" t="s">
        <v>726</v>
      </c>
      <c r="E104" s="240" t="s">
        <v>771</v>
      </c>
      <c r="F104" s="240" t="s">
        <v>1226</v>
      </c>
    </row>
    <row r="105" spans="1:6" x14ac:dyDescent="0.25">
      <c r="A105" s="240" t="str">
        <f ca="1"/>
        <v>Data</v>
      </c>
      <c r="B105" s="240" t="s">
        <v>343</v>
      </c>
      <c r="C105" s="240" t="s">
        <v>684</v>
      </c>
      <c r="D105" s="240" t="s">
        <v>727</v>
      </c>
      <c r="E105" s="240" t="s">
        <v>772</v>
      </c>
      <c r="F105" s="240" t="s">
        <v>806</v>
      </c>
    </row>
    <row r="106" spans="1:6" x14ac:dyDescent="0.25">
      <c r="A106" s="240" t="str">
        <f ca="1"/>
        <v>History</v>
      </c>
      <c r="B106" s="240" t="s">
        <v>344</v>
      </c>
      <c r="C106" s="240" t="s">
        <v>685</v>
      </c>
      <c r="D106" s="240" t="s">
        <v>728</v>
      </c>
      <c r="E106" s="240" t="s">
        <v>773</v>
      </c>
      <c r="F106" s="240" t="s">
        <v>807</v>
      </c>
    </row>
    <row r="107" spans="1:6" x14ac:dyDescent="0.25">
      <c r="A107" s="202" t="str">
        <f ca="1"/>
        <v>MOY</v>
      </c>
      <c r="B107" s="202" t="s">
        <v>345</v>
      </c>
      <c r="C107" s="202" t="s">
        <v>345</v>
      </c>
      <c r="D107" s="203" t="s">
        <v>345</v>
      </c>
      <c r="E107" s="203" t="s">
        <v>345</v>
      </c>
      <c r="F107" s="203" t="s">
        <v>345</v>
      </c>
    </row>
    <row r="108" spans="1:6" x14ac:dyDescent="0.25">
      <c r="A108" s="203" t="str">
        <f ca="1"/>
        <v>Console</v>
      </c>
      <c r="B108" s="203" t="s">
        <v>346</v>
      </c>
      <c r="C108" s="203" t="s">
        <v>346</v>
      </c>
      <c r="D108" s="203" t="s">
        <v>729</v>
      </c>
      <c r="E108" s="203" t="s">
        <v>774</v>
      </c>
      <c r="F108" s="203" t="s">
        <v>1232</v>
      </c>
    </row>
    <row r="109" spans="1:6" x14ac:dyDescent="0.25">
      <c r="A109" s="203" t="str">
        <f ca="1"/>
        <v>1st Month of analysis</v>
      </c>
      <c r="B109" s="203" t="s">
        <v>347</v>
      </c>
      <c r="C109" s="203" t="s">
        <v>686</v>
      </c>
      <c r="D109" s="203" t="s">
        <v>730</v>
      </c>
      <c r="E109" s="203" t="s">
        <v>775</v>
      </c>
      <c r="F109" s="203" t="s">
        <v>808</v>
      </c>
    </row>
    <row r="110" spans="1:6" x14ac:dyDescent="0.25">
      <c r="A110" s="203" t="str">
        <f ca="1"/>
        <v>Last month of analysis</v>
      </c>
      <c r="B110" s="203" t="s">
        <v>348</v>
      </c>
      <c r="C110" s="203" t="s">
        <v>687</v>
      </c>
      <c r="D110" s="203" t="s">
        <v>731</v>
      </c>
      <c r="E110" s="203" t="s">
        <v>776</v>
      </c>
      <c r="F110" s="203" t="s">
        <v>809</v>
      </c>
    </row>
    <row r="111" spans="1:6" x14ac:dyDescent="0.25">
      <c r="A111" s="203" t="str">
        <f ca="1"/>
        <v>Amount:</v>
      </c>
      <c r="B111" s="203" t="s">
        <v>349</v>
      </c>
      <c r="C111" s="203" t="s">
        <v>688</v>
      </c>
      <c r="D111" s="203" t="s">
        <v>732</v>
      </c>
      <c r="E111" s="203" t="s">
        <v>777</v>
      </c>
      <c r="F111" s="203" t="s">
        <v>810</v>
      </c>
    </row>
    <row r="112" spans="1:6" x14ac:dyDescent="0.25">
      <c r="A112" s="203" t="str">
        <f ca="1"/>
        <v>Weight:</v>
      </c>
      <c r="B112" s="203" t="s">
        <v>350</v>
      </c>
      <c r="C112" s="203" t="s">
        <v>689</v>
      </c>
      <c r="D112" s="203" t="s">
        <v>733</v>
      </c>
      <c r="E112" s="203" t="s">
        <v>778</v>
      </c>
      <c r="F112" s="203" t="s">
        <v>811</v>
      </c>
    </row>
    <row r="113" spans="1:6" x14ac:dyDescent="0.25">
      <c r="A113" s="203" t="str">
        <f ca="1"/>
        <v>Weight</v>
      </c>
      <c r="B113" s="203" t="s">
        <v>351</v>
      </c>
      <c r="C113" s="203" t="s">
        <v>690</v>
      </c>
      <c r="D113" s="203" t="s">
        <v>734</v>
      </c>
      <c r="E113" s="203" t="s">
        <v>778</v>
      </c>
      <c r="F113" s="203" t="s">
        <v>811</v>
      </c>
    </row>
    <row r="114" spans="1:6" x14ac:dyDescent="0.25">
      <c r="A114" s="203" t="str">
        <f ca="1"/>
        <v>Submit</v>
      </c>
      <c r="B114" s="203" t="s">
        <v>269</v>
      </c>
      <c r="C114" s="203" t="s">
        <v>310</v>
      </c>
      <c r="D114" s="203" t="s">
        <v>553</v>
      </c>
      <c r="E114" s="203" t="s">
        <v>599</v>
      </c>
      <c r="F114" s="203" t="s">
        <v>631</v>
      </c>
    </row>
    <row r="115" spans="1:6" x14ac:dyDescent="0.25">
      <c r="A115" s="203" t="str">
        <f ca="1"/>
        <v>Reset</v>
      </c>
      <c r="B115" s="203" t="s">
        <v>352</v>
      </c>
      <c r="C115" s="203" t="s">
        <v>691</v>
      </c>
      <c r="D115" s="203" t="s">
        <v>735</v>
      </c>
      <c r="E115" s="203" t="s">
        <v>779</v>
      </c>
      <c r="F115" s="203" t="s">
        <v>812</v>
      </c>
    </row>
    <row r="116" spans="1:6" x14ac:dyDescent="0.25">
      <c r="A116" s="203" t="str">
        <f ca="1"/>
        <v>Total budget :</v>
      </c>
      <c r="B116" s="203" t="s">
        <v>353</v>
      </c>
      <c r="C116" s="203" t="s">
        <v>692</v>
      </c>
      <c r="D116" s="203" t="s">
        <v>736</v>
      </c>
      <c r="E116" s="203" t="s">
        <v>780</v>
      </c>
      <c r="F116" s="203" t="s">
        <v>813</v>
      </c>
    </row>
    <row r="117" spans="1:6" x14ac:dyDescent="0.25">
      <c r="A117" s="203" t="str">
        <f ca="1"/>
        <v>Average :</v>
      </c>
      <c r="B117" s="203" t="s">
        <v>354</v>
      </c>
      <c r="C117" s="203" t="s">
        <v>814</v>
      </c>
      <c r="D117" s="203" t="s">
        <v>851</v>
      </c>
      <c r="E117" s="203" t="s">
        <v>897</v>
      </c>
      <c r="F117" s="203" t="s">
        <v>942</v>
      </c>
    </row>
    <row r="118" spans="1:6" x14ac:dyDescent="0.25">
      <c r="A118" s="203" t="str">
        <f ca="1"/>
        <v>Total gain :</v>
      </c>
      <c r="B118" s="203" t="s">
        <v>355</v>
      </c>
      <c r="C118" s="203" t="s">
        <v>815</v>
      </c>
      <c r="D118" s="203" t="s">
        <v>852</v>
      </c>
      <c r="E118" s="203" t="s">
        <v>898</v>
      </c>
      <c r="F118" s="203" t="s">
        <v>943</v>
      </c>
    </row>
    <row r="119" spans="1:6" x14ac:dyDescent="0.25">
      <c r="A119" s="203" t="str">
        <f ca="1"/>
        <v>Gain over period :</v>
      </c>
      <c r="B119" s="203" t="s">
        <v>356</v>
      </c>
      <c r="C119" s="203" t="s">
        <v>816</v>
      </c>
      <c r="D119" s="203" t="s">
        <v>853</v>
      </c>
      <c r="E119" s="203" t="s">
        <v>899</v>
      </c>
      <c r="F119" s="203" t="s">
        <v>944</v>
      </c>
    </row>
    <row r="120" spans="1:6" x14ac:dyDescent="0.25">
      <c r="A120" s="203" t="str">
        <f ca="1"/>
        <v>Select one month and leave the second empty if you only want to apply a change to one Month.</v>
      </c>
      <c r="B120" s="203" t="s">
        <v>357</v>
      </c>
      <c r="C120" s="203" t="s">
        <v>817</v>
      </c>
      <c r="D120" s="203" t="s">
        <v>854</v>
      </c>
      <c r="E120" s="203" t="s">
        <v>900</v>
      </c>
      <c r="F120" s="203" t="s">
        <v>945</v>
      </c>
    </row>
    <row r="121" spans="1:6" x14ac:dyDescent="0.25">
      <c r="A121" s="203" t="str">
        <f ca="1"/>
        <v>Caution: use the “-” sign to indicate an expense!</v>
      </c>
      <c r="B121" s="203" t="s">
        <v>358</v>
      </c>
      <c r="C121" s="203" t="s">
        <v>818</v>
      </c>
      <c r="D121" s="203" t="s">
        <v>855</v>
      </c>
      <c r="E121" s="203" t="s">
        <v>901</v>
      </c>
      <c r="F121" s="203" t="s">
        <v>946</v>
      </c>
    </row>
    <row r="122" spans="1:6" x14ac:dyDescent="0.25">
      <c r="A122" s="203" t="str">
        <f ca="1"/>
        <v>Average balance Total</v>
      </c>
      <c r="B122" s="203" t="s">
        <v>1420</v>
      </c>
      <c r="C122" s="203" t="s">
        <v>1422</v>
      </c>
      <c r="D122" s="203" t="s">
        <v>1424</v>
      </c>
      <c r="E122" s="203" t="s">
        <v>1423</v>
      </c>
      <c r="F122" s="203" t="s">
        <v>1421</v>
      </c>
    </row>
    <row r="123" spans="1:6" x14ac:dyDescent="0.25">
      <c r="A123" s="203" t="str">
        <f ca="1"/>
        <v>Reset all</v>
      </c>
      <c r="B123" s="203" t="s">
        <v>359</v>
      </c>
      <c r="C123" s="203" t="s">
        <v>819</v>
      </c>
      <c r="D123" s="203" t="s">
        <v>856</v>
      </c>
      <c r="E123" s="203" t="s">
        <v>902</v>
      </c>
      <c r="F123" s="203" t="s">
        <v>947</v>
      </c>
    </row>
    <row r="124" spans="1:6" x14ac:dyDescent="0.25">
      <c r="A124" s="203" t="str">
        <f ca="1"/>
        <v>CLOSE</v>
      </c>
      <c r="B124" s="203" t="s">
        <v>278</v>
      </c>
      <c r="C124" s="203" t="s">
        <v>312</v>
      </c>
      <c r="D124" s="203" t="s">
        <v>562</v>
      </c>
      <c r="E124" s="203" t="s">
        <v>606</v>
      </c>
      <c r="F124" s="203" t="s">
        <v>638</v>
      </c>
    </row>
    <row r="125" spans="1:6" x14ac:dyDescent="0.25">
      <c r="A125" s="203" t="str">
        <f ca="1"/>
        <v>Total loss :</v>
      </c>
      <c r="B125" s="203" t="s">
        <v>360</v>
      </c>
      <c r="C125" s="203" t="s">
        <v>820</v>
      </c>
      <c r="D125" s="203" t="s">
        <v>857</v>
      </c>
      <c r="E125" s="203" t="s">
        <v>903</v>
      </c>
      <c r="F125" s="203" t="s">
        <v>948</v>
      </c>
    </row>
    <row r="126" spans="1:6" x14ac:dyDescent="0.25">
      <c r="A126" s="203" t="str">
        <f ca="1"/>
        <v>Are you sure you want to start again?</v>
      </c>
      <c r="B126" s="203" t="s">
        <v>361</v>
      </c>
      <c r="C126" s="203" t="s">
        <v>821</v>
      </c>
      <c r="D126" s="203" t="s">
        <v>858</v>
      </c>
      <c r="E126" s="203" t="s">
        <v>904</v>
      </c>
      <c r="F126" s="203" t="s">
        <v>1230</v>
      </c>
    </row>
    <row r="127" spans="1:6" x14ac:dyDescent="0.25">
      <c r="A127" s="203" t="str">
        <f ca="1"/>
        <v>Confirmation</v>
      </c>
      <c r="B127" s="203" t="s">
        <v>362</v>
      </c>
      <c r="C127" s="203" t="s">
        <v>362</v>
      </c>
      <c r="D127" s="203" t="s">
        <v>859</v>
      </c>
      <c r="E127" s="203" t="s">
        <v>905</v>
      </c>
      <c r="F127" s="203" t="s">
        <v>1231</v>
      </c>
    </row>
    <row r="128" spans="1:6" x14ac:dyDescent="0.25">
      <c r="A128" s="203" t="str">
        <f ca="1"/>
        <v>Loss for the period :</v>
      </c>
      <c r="B128" s="203" t="s">
        <v>363</v>
      </c>
      <c r="C128" s="203" t="s">
        <v>822</v>
      </c>
      <c r="D128" s="203" t="s">
        <v>860</v>
      </c>
      <c r="E128" s="203" t="s">
        <v>906</v>
      </c>
      <c r="F128" s="203" t="s">
        <v>949</v>
      </c>
    </row>
    <row r="129" spans="1:6" x14ac:dyDescent="0.25">
      <c r="A129" s="244" t="str">
        <f ca="1"/>
        <v>NetIncome</v>
      </c>
      <c r="B129" s="244" t="s">
        <v>364</v>
      </c>
      <c r="C129" s="244" t="s">
        <v>364</v>
      </c>
      <c r="D129" s="245" t="s">
        <v>861</v>
      </c>
      <c r="E129" s="245" t="s">
        <v>364</v>
      </c>
      <c r="F129" s="245" t="s">
        <v>950</v>
      </c>
    </row>
    <row r="130" spans="1:6" x14ac:dyDescent="0.25">
      <c r="A130" s="245" t="str">
        <f ca="1"/>
        <v>Tax brackets</v>
      </c>
      <c r="B130" s="245" t="s">
        <v>365</v>
      </c>
      <c r="C130" s="245" t="s">
        <v>823</v>
      </c>
      <c r="D130" s="245" t="s">
        <v>862</v>
      </c>
      <c r="E130" s="245" t="s">
        <v>907</v>
      </c>
      <c r="F130" s="245" t="s">
        <v>1233</v>
      </c>
    </row>
    <row r="131" spans="1:6" x14ac:dyDescent="0.25">
      <c r="A131" s="245" t="str">
        <f ca="1"/>
        <v>Step 1 :</v>
      </c>
      <c r="B131" s="245" t="s">
        <v>366</v>
      </c>
      <c r="C131" s="245" t="s">
        <v>1088</v>
      </c>
      <c r="D131" s="245" t="s">
        <v>863</v>
      </c>
      <c r="E131" s="245" t="s">
        <v>908</v>
      </c>
      <c r="F131" s="245" t="s">
        <v>951</v>
      </c>
    </row>
    <row r="132" spans="1:6" x14ac:dyDescent="0.25">
      <c r="A132" s="245" t="str">
        <f ca="1"/>
        <v>Step 2 :</v>
      </c>
      <c r="B132" s="245" t="s">
        <v>367</v>
      </c>
      <c r="C132" s="245" t="s">
        <v>1089</v>
      </c>
      <c r="D132" s="245" t="s">
        <v>864</v>
      </c>
      <c r="E132" s="245" t="s">
        <v>909</v>
      </c>
      <c r="F132" s="245" t="s">
        <v>952</v>
      </c>
    </row>
    <row r="133" spans="1:6" x14ac:dyDescent="0.25">
      <c r="A133" s="245" t="str">
        <f ca="1"/>
        <v>Step 3 :</v>
      </c>
      <c r="B133" s="245" t="s">
        <v>368</v>
      </c>
      <c r="C133" s="245" t="s">
        <v>1090</v>
      </c>
      <c r="D133" s="245" t="s">
        <v>865</v>
      </c>
      <c r="E133" s="245" t="s">
        <v>910</v>
      </c>
      <c r="F133" s="245" t="s">
        <v>953</v>
      </c>
    </row>
    <row r="134" spans="1:6" x14ac:dyDescent="0.25">
      <c r="A134" s="245" t="str">
        <f ca="1"/>
        <v>Step 4 :</v>
      </c>
      <c r="B134" s="245" t="s">
        <v>369</v>
      </c>
      <c r="C134" s="245" t="s">
        <v>1091</v>
      </c>
      <c r="D134" s="245" t="s">
        <v>866</v>
      </c>
      <c r="E134" s="245" t="s">
        <v>911</v>
      </c>
      <c r="F134" s="245" t="s">
        <v>954</v>
      </c>
    </row>
    <row r="135" spans="1:6" x14ac:dyDescent="0.25">
      <c r="A135" s="245" t="str">
        <f ca="1"/>
        <v>Step 5 :</v>
      </c>
      <c r="B135" s="245" t="s">
        <v>370</v>
      </c>
      <c r="C135" s="245" t="s">
        <v>1092</v>
      </c>
      <c r="D135" s="245" t="s">
        <v>867</v>
      </c>
      <c r="E135" s="245" t="s">
        <v>912</v>
      </c>
      <c r="F135" s="245" t="s">
        <v>955</v>
      </c>
    </row>
    <row r="136" spans="1:6" x14ac:dyDescent="0.25">
      <c r="A136" s="245" t="str">
        <f ca="1"/>
        <v>Rate</v>
      </c>
      <c r="B136" s="245" t="s">
        <v>371</v>
      </c>
      <c r="C136" s="245" t="s">
        <v>824</v>
      </c>
      <c r="D136" s="245" t="s">
        <v>868</v>
      </c>
      <c r="E136" s="245" t="s">
        <v>824</v>
      </c>
      <c r="F136" s="245" t="s">
        <v>956</v>
      </c>
    </row>
    <row r="137" spans="1:6" x14ac:dyDescent="0.25">
      <c r="A137" s="245" t="str">
        <f ca="1"/>
        <v>Limit</v>
      </c>
      <c r="B137" s="245" t="s">
        <v>372</v>
      </c>
      <c r="C137" s="245" t="s">
        <v>825</v>
      </c>
      <c r="D137" s="245" t="s">
        <v>869</v>
      </c>
      <c r="E137" s="245" t="s">
        <v>825</v>
      </c>
      <c r="F137" s="245" t="s">
        <v>957</v>
      </c>
    </row>
    <row r="138" spans="1:6" x14ac:dyDescent="0.25">
      <c r="A138" s="245" t="str">
        <f ca="1"/>
        <v>Number of weeks Pay :</v>
      </c>
      <c r="B138" s="245" t="s">
        <v>373</v>
      </c>
      <c r="C138" s="245" t="s">
        <v>826</v>
      </c>
      <c r="D138" s="245" t="s">
        <v>870</v>
      </c>
      <c r="E138" s="245" t="s">
        <v>913</v>
      </c>
      <c r="F138" s="245" t="s">
        <v>958</v>
      </c>
    </row>
    <row r="139" spans="1:6" x14ac:dyDescent="0.25">
      <c r="A139" s="245" t="str">
        <f ca="1"/>
        <v>PROVINCIAL</v>
      </c>
      <c r="B139" s="245" t="s">
        <v>374</v>
      </c>
      <c r="C139" s="245" t="s">
        <v>374</v>
      </c>
      <c r="D139" s="245" t="s">
        <v>374</v>
      </c>
      <c r="E139" s="245" t="s">
        <v>374</v>
      </c>
      <c r="F139" s="245" t="s">
        <v>959</v>
      </c>
    </row>
    <row r="140" spans="1:6" x14ac:dyDescent="0.25">
      <c r="A140" s="245" t="str">
        <f ca="1"/>
        <v>FEDERAL</v>
      </c>
      <c r="B140" s="245" t="s">
        <v>375</v>
      </c>
      <c r="C140" s="245" t="s">
        <v>375</v>
      </c>
      <c r="D140" s="245" t="s">
        <v>375</v>
      </c>
      <c r="E140" s="245" t="s">
        <v>375</v>
      </c>
      <c r="F140" s="245" t="s">
        <v>960</v>
      </c>
    </row>
    <row r="141" spans="1:6" x14ac:dyDescent="0.25">
      <c r="A141" s="245" t="str">
        <f ca="1"/>
        <v>Submit</v>
      </c>
      <c r="B141" s="245" t="s">
        <v>269</v>
      </c>
      <c r="C141" s="245" t="s">
        <v>310</v>
      </c>
      <c r="D141" s="245" t="s">
        <v>553</v>
      </c>
      <c r="E141" s="245" t="s">
        <v>599</v>
      </c>
      <c r="F141" s="245" t="s">
        <v>631</v>
      </c>
    </row>
    <row r="142" spans="1:6" x14ac:dyDescent="0.25">
      <c r="A142" s="245" t="str">
        <f ca="1"/>
        <v>Close</v>
      </c>
      <c r="B142" s="245" t="s">
        <v>327</v>
      </c>
      <c r="C142" s="245" t="s">
        <v>668</v>
      </c>
      <c r="D142" s="245" t="s">
        <v>708</v>
      </c>
      <c r="E142" s="245" t="s">
        <v>753</v>
      </c>
      <c r="F142" s="245" t="s">
        <v>638</v>
      </c>
    </row>
    <row r="143" spans="1:6" x14ac:dyDescent="0.25">
      <c r="A143" s="246" t="str">
        <f ca="1"/>
        <v>SETEP</v>
      </c>
      <c r="B143" s="246" t="s">
        <v>376</v>
      </c>
      <c r="C143" s="246" t="s">
        <v>376</v>
      </c>
      <c r="D143" s="247" t="s">
        <v>376</v>
      </c>
      <c r="E143" s="247" t="s">
        <v>376</v>
      </c>
      <c r="F143" s="247" t="s">
        <v>376</v>
      </c>
    </row>
    <row r="144" spans="1:6" x14ac:dyDescent="0.25">
      <c r="A144" s="247" t="str">
        <f ca="1"/>
        <v>Plan your strategies</v>
      </c>
      <c r="B144" s="247" t="s">
        <v>377</v>
      </c>
      <c r="C144" s="247" t="s">
        <v>827</v>
      </c>
      <c r="D144" s="247" t="s">
        <v>871</v>
      </c>
      <c r="E144" s="247" t="s">
        <v>914</v>
      </c>
      <c r="F144" s="247" t="s">
        <v>1235</v>
      </c>
    </row>
    <row r="145" spans="1:6" x14ac:dyDescent="0.25">
      <c r="A145" s="247" t="str">
        <f ca="1"/>
        <v>Current age*</v>
      </c>
      <c r="B145" s="247" t="s">
        <v>378</v>
      </c>
      <c r="C145" s="247" t="s">
        <v>1340</v>
      </c>
      <c r="D145" s="247" t="s">
        <v>1339</v>
      </c>
      <c r="E145" s="247" t="s">
        <v>915</v>
      </c>
      <c r="F145" s="247" t="s">
        <v>1373</v>
      </c>
    </row>
    <row r="146" spans="1:6" x14ac:dyDescent="0.25">
      <c r="A146" s="247" t="str">
        <f ca="1"/>
        <v>Anticipated retirement age*</v>
      </c>
      <c r="B146" s="247" t="s">
        <v>379</v>
      </c>
      <c r="C146" s="247" t="s">
        <v>1372</v>
      </c>
      <c r="D146" s="247" t="s">
        <v>872</v>
      </c>
      <c r="E146" s="247" t="s">
        <v>916</v>
      </c>
      <c r="F146" s="247" t="s">
        <v>961</v>
      </c>
    </row>
    <row r="147" spans="1:6" x14ac:dyDescent="0.25">
      <c r="A147" s="247" t="str">
        <f ca="1"/>
        <v>Life expectancy*</v>
      </c>
      <c r="B147" s="247" t="s">
        <v>380</v>
      </c>
      <c r="C147" s="247" t="s">
        <v>1374</v>
      </c>
      <c r="D147" s="247" t="s">
        <v>1375</v>
      </c>
      <c r="E147" s="247" t="s">
        <v>917</v>
      </c>
      <c r="F147" s="247" t="s">
        <v>1376</v>
      </c>
    </row>
    <row r="148" spans="1:6" x14ac:dyDescent="0.25">
      <c r="A148" s="247" t="str">
        <f ca="1"/>
        <v>Gross Salary*</v>
      </c>
      <c r="B148" s="247" t="s">
        <v>381</v>
      </c>
      <c r="C148" s="247" t="s">
        <v>1377</v>
      </c>
      <c r="D148" s="247" t="s">
        <v>873</v>
      </c>
      <c r="E148" s="247" t="s">
        <v>918</v>
      </c>
      <c r="F148" s="247" t="s">
        <v>1378</v>
      </c>
    </row>
    <row r="149" spans="1:6" x14ac:dyDescent="0.25">
      <c r="A149" s="247" t="str">
        <f ca="1"/>
        <v>Amount saved to date</v>
      </c>
      <c r="B149" s="247" t="s">
        <v>382</v>
      </c>
      <c r="C149" s="247" t="s">
        <v>828</v>
      </c>
      <c r="D149" s="247" t="s">
        <v>874</v>
      </c>
      <c r="E149" s="247" t="s">
        <v>919</v>
      </c>
      <c r="F149" s="247" t="s">
        <v>962</v>
      </c>
    </row>
    <row r="150" spans="1:6" x14ac:dyDescent="0.25">
      <c r="A150" s="247" t="str">
        <f ca="1"/>
        <v>Target Savings / Months*</v>
      </c>
      <c r="B150" s="247" t="s">
        <v>383</v>
      </c>
      <c r="C150" s="247" t="s">
        <v>829</v>
      </c>
      <c r="D150" s="247" t="s">
        <v>875</v>
      </c>
      <c r="E150" s="247" t="s">
        <v>920</v>
      </c>
      <c r="F150" s="247" t="s">
        <v>963</v>
      </c>
    </row>
    <row r="151" spans="1:6" x14ac:dyDescent="0.25">
      <c r="A151" s="247" t="str">
        <f ca="1"/>
        <v>Don't know.</v>
      </c>
      <c r="B151" s="247" t="s">
        <v>384</v>
      </c>
      <c r="C151" s="247" t="s">
        <v>830</v>
      </c>
      <c r="D151" s="247" t="s">
        <v>876</v>
      </c>
      <c r="E151" s="247" t="s">
        <v>921</v>
      </c>
      <c r="F151" s="247" t="s">
        <v>964</v>
      </c>
    </row>
    <row r="152" spans="1:6" x14ac:dyDescent="0.25">
      <c r="A152" s="247" t="str">
        <f ca="1"/>
        <v>Without inflation.</v>
      </c>
      <c r="B152" s="247" t="s">
        <v>385</v>
      </c>
      <c r="C152" s="247" t="s">
        <v>831</v>
      </c>
      <c r="D152" s="247" t="s">
        <v>877</v>
      </c>
      <c r="E152" s="247" t="s">
        <v>922</v>
      </c>
      <c r="F152" s="247" t="s">
        <v>965</v>
      </c>
    </row>
    <row r="153" spans="1:6" x14ac:dyDescent="0.25">
      <c r="A153" s="247" t="str">
        <f ca="1"/>
        <v>Years</v>
      </c>
      <c r="B153" s="247" t="s">
        <v>386</v>
      </c>
      <c r="C153" s="247" t="s">
        <v>832</v>
      </c>
      <c r="D153" s="247" t="s">
        <v>878</v>
      </c>
      <c r="E153" s="247" t="s">
        <v>923</v>
      </c>
      <c r="F153" s="247" t="s">
        <v>784</v>
      </c>
    </row>
    <row r="154" spans="1:6" x14ac:dyDescent="0.25">
      <c r="A154" s="247" t="str">
        <f ca="1"/>
        <v>*Mandatory fields</v>
      </c>
      <c r="B154" s="247" t="s">
        <v>387</v>
      </c>
      <c r="C154" s="247" t="s">
        <v>833</v>
      </c>
      <c r="D154" s="247" t="s">
        <v>879</v>
      </c>
      <c r="E154" s="247" t="s">
        <v>924</v>
      </c>
      <c r="F154" s="247" t="s">
        <v>966</v>
      </c>
    </row>
    <row r="155" spans="1:6" x14ac:dyDescent="0.25">
      <c r="A155" s="247" t="str">
        <f ca="1"/>
        <v>Values subject to inflation</v>
      </c>
      <c r="B155" s="247" t="s">
        <v>388</v>
      </c>
      <c r="C155" s="247" t="s">
        <v>834</v>
      </c>
      <c r="D155" s="247" t="s">
        <v>880</v>
      </c>
      <c r="E155" s="247" t="s">
        <v>925</v>
      </c>
      <c r="F155" s="247" t="s">
        <v>967</v>
      </c>
    </row>
    <row r="156" spans="1:6" x14ac:dyDescent="0.25">
      <c r="A156" s="247" t="str">
        <f ca="1"/>
        <v>Your information</v>
      </c>
      <c r="B156" s="247" t="s">
        <v>389</v>
      </c>
      <c r="C156" s="247" t="s">
        <v>835</v>
      </c>
      <c r="D156" s="247" t="s">
        <v>881</v>
      </c>
      <c r="E156" s="247" t="s">
        <v>926</v>
      </c>
      <c r="F156" s="247" t="s">
        <v>968</v>
      </c>
    </row>
    <row r="157" spans="1:6" x14ac:dyDescent="0.25">
      <c r="A157" s="247" t="str">
        <f ca="1"/>
        <v>Accumulation phase</v>
      </c>
      <c r="B157" s="247" t="s">
        <v>390</v>
      </c>
      <c r="C157" s="247" t="s">
        <v>836</v>
      </c>
      <c r="D157" s="247" t="s">
        <v>882</v>
      </c>
      <c r="E157" s="247" t="s">
        <v>927</v>
      </c>
      <c r="F157" s="247" t="s">
        <v>969</v>
      </c>
    </row>
    <row r="158" spans="1:6" x14ac:dyDescent="0.25">
      <c r="A158" s="247" t="str">
        <f ca="1"/>
        <v>Strategy 1: Low Risk</v>
      </c>
      <c r="B158" s="247" t="s">
        <v>391</v>
      </c>
      <c r="C158" s="247" t="s">
        <v>837</v>
      </c>
      <c r="D158" s="247" t="s">
        <v>883</v>
      </c>
      <c r="E158" s="247" t="s">
        <v>928</v>
      </c>
      <c r="F158" s="247" t="s">
        <v>970</v>
      </c>
    </row>
    <row r="159" spans="1:6" x14ac:dyDescent="0.25">
      <c r="A159" s="247" t="str">
        <f ca="1"/>
        <v>Strategy 2: Moderate</v>
      </c>
      <c r="B159" s="247" t="s">
        <v>392</v>
      </c>
      <c r="C159" s="247" t="s">
        <v>838</v>
      </c>
      <c r="D159" s="247" t="s">
        <v>884</v>
      </c>
      <c r="E159" s="247" t="s">
        <v>929</v>
      </c>
      <c r="F159" s="247" t="s">
        <v>971</v>
      </c>
    </row>
    <row r="160" spans="1:6" x14ac:dyDescent="0.25">
      <c r="A160" s="247" t="str">
        <f ca="1"/>
        <v>Strategy 3: High Risk</v>
      </c>
      <c r="B160" s="247" t="s">
        <v>393</v>
      </c>
      <c r="C160" s="247" t="s">
        <v>839</v>
      </c>
      <c r="D160" s="247" t="s">
        <v>885</v>
      </c>
      <c r="E160" s="247" t="s">
        <v>930</v>
      </c>
      <c r="F160" s="247" t="s">
        <v>972</v>
      </c>
    </row>
    <row r="161" spans="1:6" x14ac:dyDescent="0.25">
      <c r="A161" s="247" t="str">
        <f ca="1"/>
        <v>Distribution phase</v>
      </c>
      <c r="B161" s="247" t="s">
        <v>394</v>
      </c>
      <c r="C161" s="247" t="s">
        <v>840</v>
      </c>
      <c r="D161" s="247" t="s">
        <v>886</v>
      </c>
      <c r="E161" s="247" t="s">
        <v>931</v>
      </c>
      <c r="F161" s="247" t="s">
        <v>973</v>
      </c>
    </row>
    <row r="162" spans="1:6" x14ac:dyDescent="0.25">
      <c r="A162" s="247" t="str">
        <f ca="1"/>
        <v>Strategy 4</v>
      </c>
      <c r="B162" s="247" t="s">
        <v>395</v>
      </c>
      <c r="C162" s="247" t="s">
        <v>841</v>
      </c>
      <c r="D162" s="247" t="s">
        <v>887</v>
      </c>
      <c r="E162" s="247" t="s">
        <v>932</v>
      </c>
      <c r="F162" s="247" t="s">
        <v>974</v>
      </c>
    </row>
    <row r="163" spans="1:6" x14ac:dyDescent="0.25">
      <c r="A163" s="247" t="str">
        <f ca="1"/>
        <v xml:space="preserve">Annual inflation </v>
      </c>
      <c r="B163" s="247" t="s">
        <v>396</v>
      </c>
      <c r="C163" s="247" t="s">
        <v>842</v>
      </c>
      <c r="D163" s="247" t="s">
        <v>888</v>
      </c>
      <c r="E163" s="247" t="s">
        <v>933</v>
      </c>
      <c r="F163" s="247" t="s">
        <v>975</v>
      </c>
    </row>
    <row r="164" spans="1:6" x14ac:dyDescent="0.25">
      <c r="A164" s="247" t="str">
        <f ca="1"/>
        <v>Amount distributed / year</v>
      </c>
      <c r="B164" s="247" t="s">
        <v>397</v>
      </c>
      <c r="C164" s="247" t="s">
        <v>843</v>
      </c>
      <c r="D164" s="247" t="s">
        <v>889</v>
      </c>
      <c r="E164" s="247" t="s">
        <v>934</v>
      </c>
      <c r="F164" s="247" t="s">
        <v>976</v>
      </c>
    </row>
    <row r="165" spans="1:6" x14ac:dyDescent="0.25">
      <c r="A165" s="247" t="str">
        <f ca="1"/>
        <v>Accumulated capital at retirement age</v>
      </c>
      <c r="B165" s="247" t="s">
        <v>398</v>
      </c>
      <c r="C165" s="247" t="s">
        <v>844</v>
      </c>
      <c r="D165" s="247" t="s">
        <v>890</v>
      </c>
      <c r="E165" s="247" t="s">
        <v>935</v>
      </c>
      <c r="F165" s="247" t="s">
        <v>977</v>
      </c>
    </row>
    <row r="166" spans="1:6" x14ac:dyDescent="0.25">
      <c r="A166" s="247" t="str">
        <f ca="1"/>
        <v xml:space="preserve">Strategy 1 </v>
      </c>
      <c r="B166" s="247" t="s">
        <v>400</v>
      </c>
      <c r="C166" s="247" t="s">
        <v>845</v>
      </c>
      <c r="D166" s="247" t="s">
        <v>891</v>
      </c>
      <c r="E166" s="247" t="s">
        <v>936</v>
      </c>
      <c r="F166" s="247" t="s">
        <v>978</v>
      </c>
    </row>
    <row r="167" spans="1:6" x14ac:dyDescent="0.25">
      <c r="A167" s="247" t="str">
        <f ca="1"/>
        <v>Strategy 2</v>
      </c>
      <c r="B167" s="247" t="s">
        <v>403</v>
      </c>
      <c r="C167" s="247" t="s">
        <v>846</v>
      </c>
      <c r="D167" s="247" t="s">
        <v>892</v>
      </c>
      <c r="E167" s="247" t="s">
        <v>937</v>
      </c>
      <c r="F167" s="247" t="s">
        <v>979</v>
      </c>
    </row>
    <row r="168" spans="1:6" x14ac:dyDescent="0.25">
      <c r="A168" s="247" t="str">
        <f ca="1"/>
        <v>Strategy 3</v>
      </c>
      <c r="B168" s="247" t="s">
        <v>404</v>
      </c>
      <c r="C168" s="247" t="s">
        <v>847</v>
      </c>
      <c r="D168" s="247" t="s">
        <v>893</v>
      </c>
      <c r="E168" s="247" t="s">
        <v>938</v>
      </c>
      <c r="F168" s="247" t="s">
        <v>980</v>
      </c>
    </row>
    <row r="169" spans="1:6" x14ac:dyDescent="0.25">
      <c r="A169" s="247" t="str">
        <f ca="1"/>
        <v>Missing year(s)</v>
      </c>
      <c r="B169" s="247" t="s">
        <v>399</v>
      </c>
      <c r="C169" s="247" t="s">
        <v>848</v>
      </c>
      <c r="D169" s="247" t="s">
        <v>894</v>
      </c>
      <c r="E169" s="247" t="s">
        <v>939</v>
      </c>
      <c r="F169" s="247" t="s">
        <v>981</v>
      </c>
    </row>
    <row r="170" spans="1:6" x14ac:dyDescent="0.25">
      <c r="A170" s="247" t="str">
        <f ca="1"/>
        <v>Year(s)</v>
      </c>
      <c r="B170" s="247" t="s">
        <v>401</v>
      </c>
      <c r="C170" s="247" t="s">
        <v>849</v>
      </c>
      <c r="D170" s="247" t="s">
        <v>895</v>
      </c>
      <c r="E170" s="247" t="s">
        <v>940</v>
      </c>
      <c r="F170" s="247" t="s">
        <v>784</v>
      </c>
    </row>
    <row r="171" spans="1:6" x14ac:dyDescent="0.25">
      <c r="A171" s="247" t="str">
        <f ca="1"/>
        <v>Close</v>
      </c>
      <c r="B171" s="247" t="s">
        <v>327</v>
      </c>
      <c r="C171" s="247" t="s">
        <v>668</v>
      </c>
      <c r="D171" s="247" t="s">
        <v>708</v>
      </c>
      <c r="E171" s="247" t="s">
        <v>753</v>
      </c>
      <c r="F171" s="247" t="s">
        <v>638</v>
      </c>
    </row>
    <row r="172" spans="1:6" x14ac:dyDescent="0.25">
      <c r="A172" s="247" t="str">
        <f ca="1"/>
        <v>Calculate</v>
      </c>
      <c r="B172" s="247" t="s">
        <v>402</v>
      </c>
      <c r="C172" s="247" t="s">
        <v>850</v>
      </c>
      <c r="D172" s="247" t="s">
        <v>896</v>
      </c>
      <c r="E172" s="247" t="s">
        <v>941</v>
      </c>
      <c r="F172" s="247" t="s">
        <v>982</v>
      </c>
    </row>
    <row r="173" spans="1:6" x14ac:dyDescent="0.25">
      <c r="A173" s="247" t="str">
        <f ca="1"/>
        <v>Save</v>
      </c>
      <c r="B173" s="247" t="s">
        <v>326</v>
      </c>
      <c r="C173" s="247" t="s">
        <v>167</v>
      </c>
      <c r="D173" s="247" t="s">
        <v>721</v>
      </c>
      <c r="E173" s="247" t="s">
        <v>767</v>
      </c>
      <c r="F173" s="247" t="s">
        <v>801</v>
      </c>
    </row>
    <row r="174" spans="1:6" x14ac:dyDescent="0.25">
      <c r="A174" s="247" t="str">
        <f ca="1"/>
        <v>Plan your strategies - Processing.</v>
      </c>
      <c r="B174" s="247" t="s">
        <v>405</v>
      </c>
      <c r="C174" s="247" t="s">
        <v>983</v>
      </c>
      <c r="D174" s="247" t="s">
        <v>1006</v>
      </c>
      <c r="E174" s="247" t="s">
        <v>1034</v>
      </c>
      <c r="F174" s="247" t="s">
        <v>1234</v>
      </c>
    </row>
    <row r="175" spans="1:6" x14ac:dyDescent="0.25">
      <c r="A175" s="247" t="str">
        <f ca="1"/>
        <v>Period not found!</v>
      </c>
      <c r="B175" s="247" t="s">
        <v>406</v>
      </c>
      <c r="C175" s="247" t="s">
        <v>669</v>
      </c>
      <c r="D175" s="247" t="s">
        <v>709</v>
      </c>
      <c r="E175" s="247" t="s">
        <v>754</v>
      </c>
      <c r="F175" s="247" t="s">
        <v>1223</v>
      </c>
    </row>
    <row r="176" spans="1:6" x14ac:dyDescent="0.25">
      <c r="A176" s="248" t="str">
        <f ca="1"/>
        <v>DashBoard</v>
      </c>
      <c r="B176" s="248" t="s">
        <v>407</v>
      </c>
      <c r="C176" s="248" t="s">
        <v>407</v>
      </c>
      <c r="D176" s="249" t="s">
        <v>407</v>
      </c>
      <c r="E176" s="249" t="s">
        <v>407</v>
      </c>
      <c r="F176" s="249" t="s">
        <v>1059</v>
      </c>
    </row>
    <row r="177" spans="1:6" x14ac:dyDescent="0.25">
      <c r="A177" s="249" t="str">
        <f ca="1"/>
        <v>SETTINGS</v>
      </c>
      <c r="B177" s="249" t="s">
        <v>408</v>
      </c>
      <c r="C177" s="249" t="s">
        <v>1109</v>
      </c>
      <c r="D177" s="249" t="s">
        <v>1007</v>
      </c>
      <c r="E177" s="249" t="s">
        <v>1035</v>
      </c>
      <c r="F177" s="249" t="s">
        <v>653</v>
      </c>
    </row>
    <row r="178" spans="1:6" x14ac:dyDescent="0.25">
      <c r="A178" s="249" t="str">
        <f ca="1"/>
        <v>ANALYSIS</v>
      </c>
      <c r="B178" s="249" t="s">
        <v>409</v>
      </c>
      <c r="C178" s="249" t="s">
        <v>984</v>
      </c>
      <c r="D178" s="249" t="s">
        <v>1008</v>
      </c>
      <c r="E178" s="249" t="s">
        <v>409</v>
      </c>
      <c r="F178" s="249" t="s">
        <v>1060</v>
      </c>
    </row>
    <row r="179" spans="1:6" x14ac:dyDescent="0.25">
      <c r="A179" s="249" t="str">
        <f ca="1"/>
        <v>ENTER DATA</v>
      </c>
      <c r="B179" s="249" t="s">
        <v>1115</v>
      </c>
      <c r="C179" s="249" t="s">
        <v>985</v>
      </c>
      <c r="D179" s="249" t="s">
        <v>1009</v>
      </c>
      <c r="E179" s="249" t="s">
        <v>1036</v>
      </c>
      <c r="F179" s="249" t="s">
        <v>1061</v>
      </c>
    </row>
    <row r="180" spans="1:6" x14ac:dyDescent="0.25">
      <c r="A180" s="249" t="str">
        <f ca="1"/>
        <v>BUDGETIZE</v>
      </c>
      <c r="B180" s="249" t="s">
        <v>410</v>
      </c>
      <c r="C180" s="249" t="s">
        <v>986</v>
      </c>
      <c r="D180" s="249" t="s">
        <v>1010</v>
      </c>
      <c r="E180" s="249" t="s">
        <v>1037</v>
      </c>
      <c r="F180" s="249" t="s">
        <v>1062</v>
      </c>
    </row>
    <row r="181" spans="1:6" x14ac:dyDescent="0.25">
      <c r="A181" s="249" t="str">
        <f ca="1"/>
        <v>RESET</v>
      </c>
      <c r="B181" s="249" t="s">
        <v>411</v>
      </c>
      <c r="C181" s="249" t="s">
        <v>987</v>
      </c>
      <c r="D181" s="249" t="s">
        <v>1011</v>
      </c>
      <c r="E181" s="249" t="s">
        <v>1038</v>
      </c>
      <c r="F181" s="249" t="s">
        <v>812</v>
      </c>
    </row>
    <row r="182" spans="1:6" x14ac:dyDescent="0.25">
      <c r="A182" s="249" t="str">
        <f ca="1"/>
        <v>Strategy 1</v>
      </c>
      <c r="B182" s="249" t="s">
        <v>412</v>
      </c>
      <c r="C182" s="249" t="s">
        <v>988</v>
      </c>
      <c r="D182" s="249" t="s">
        <v>1012</v>
      </c>
      <c r="E182" s="249" t="s">
        <v>1039</v>
      </c>
      <c r="F182" s="249" t="s">
        <v>1063</v>
      </c>
    </row>
    <row r="183" spans="1:6" x14ac:dyDescent="0.25">
      <c r="A183" s="249" t="str">
        <f ca="1"/>
        <v>Strategy 2</v>
      </c>
      <c r="B183" s="249" t="s">
        <v>403</v>
      </c>
      <c r="C183" s="249" t="s">
        <v>846</v>
      </c>
      <c r="D183" s="249" t="s">
        <v>892</v>
      </c>
      <c r="E183" s="249" t="s">
        <v>937</v>
      </c>
      <c r="F183" s="249" t="s">
        <v>979</v>
      </c>
    </row>
    <row r="184" spans="1:6" x14ac:dyDescent="0.25">
      <c r="A184" s="249" t="str">
        <f ca="1"/>
        <v>Strategy 3</v>
      </c>
      <c r="B184" s="249" t="s">
        <v>404</v>
      </c>
      <c r="C184" s="249" t="s">
        <v>847</v>
      </c>
      <c r="D184" s="249" t="s">
        <v>893</v>
      </c>
      <c r="E184" s="249" t="s">
        <v>938</v>
      </c>
      <c r="F184" s="249" t="s">
        <v>1064</v>
      </c>
    </row>
    <row r="185" spans="1:6" x14ac:dyDescent="0.25">
      <c r="A185" s="249" t="str">
        <f ca="1"/>
        <v>Financial DashBoard</v>
      </c>
      <c r="B185" s="249" t="s">
        <v>1116</v>
      </c>
      <c r="C185" s="249" t="s">
        <v>413</v>
      </c>
      <c r="D185" s="249" t="s">
        <v>1013</v>
      </c>
      <c r="E185" s="249" t="s">
        <v>1306</v>
      </c>
      <c r="F185" s="249" t="s">
        <v>1065</v>
      </c>
    </row>
    <row r="186" spans="1:6" x14ac:dyDescent="0.25">
      <c r="A186" s="249" t="str">
        <f ca="1"/>
        <v>Latest analysis:</v>
      </c>
      <c r="B186" s="249" t="s">
        <v>414</v>
      </c>
      <c r="C186" s="249" t="s">
        <v>989</v>
      </c>
      <c r="D186" s="249" t="s">
        <v>1014</v>
      </c>
      <c r="E186" s="249" t="s">
        <v>1040</v>
      </c>
      <c r="F186" s="249" t="s">
        <v>1066</v>
      </c>
    </row>
    <row r="187" spans="1:6" x14ac:dyDescent="0.25">
      <c r="A187" s="249" t="str">
        <f ca="1"/>
        <v>Total</v>
      </c>
      <c r="B187" s="249" t="s">
        <v>166</v>
      </c>
      <c r="C187" s="249" t="s">
        <v>166</v>
      </c>
      <c r="D187" s="249" t="s">
        <v>166</v>
      </c>
      <c r="E187" s="249" t="s">
        <v>1041</v>
      </c>
      <c r="F187" s="249" t="s">
        <v>1067</v>
      </c>
    </row>
    <row r="188" spans="1:6" x14ac:dyDescent="0.25">
      <c r="A188" s="249" t="str">
        <f ca="1"/>
        <v>Average</v>
      </c>
      <c r="B188" s="249" t="s">
        <v>415</v>
      </c>
      <c r="C188" s="249" t="s">
        <v>124</v>
      </c>
      <c r="D188" s="249" t="s">
        <v>1015</v>
      </c>
      <c r="E188" s="249" t="s">
        <v>1042</v>
      </c>
      <c r="F188" s="249" t="s">
        <v>1068</v>
      </c>
    </row>
    <row r="189" spans="1:6" x14ac:dyDescent="0.25">
      <c r="A189" s="249" t="str">
        <f ca="1"/>
        <v>Target savings / Month</v>
      </c>
      <c r="B189" s="249" t="s">
        <v>321</v>
      </c>
      <c r="C189" s="249" t="s">
        <v>663</v>
      </c>
      <c r="D189" s="249" t="s">
        <v>703</v>
      </c>
      <c r="E189" s="249" t="s">
        <v>748</v>
      </c>
      <c r="F189" s="249" t="s">
        <v>1069</v>
      </c>
    </row>
    <row r="190" spans="1:6" x14ac:dyDescent="0.25">
      <c r="A190" s="249" t="str">
        <f ca="1"/>
        <v>Balance</v>
      </c>
      <c r="B190" s="249" t="s">
        <v>235</v>
      </c>
      <c r="C190" s="249" t="s">
        <v>990</v>
      </c>
      <c r="D190" s="249" t="s">
        <v>1016</v>
      </c>
      <c r="E190" s="249" t="s">
        <v>1016</v>
      </c>
      <c r="F190" s="249" t="s">
        <v>1070</v>
      </c>
    </row>
    <row r="191" spans="1:6" x14ac:dyDescent="0.25">
      <c r="A191" s="249" t="str">
        <f ca="1"/>
        <v>Expenses</v>
      </c>
      <c r="B191" s="249" t="s">
        <v>14</v>
      </c>
      <c r="C191" s="249" t="s">
        <v>523</v>
      </c>
      <c r="D191" s="249" t="s">
        <v>566</v>
      </c>
      <c r="E191" s="249" t="s">
        <v>610</v>
      </c>
      <c r="F191" s="249" t="s">
        <v>642</v>
      </c>
    </row>
    <row r="192" spans="1:6" x14ac:dyDescent="0.25">
      <c r="A192" s="249" t="str">
        <f ca="1"/>
        <v>SALARY MANAGEMENT :</v>
      </c>
      <c r="B192" s="249" t="s">
        <v>416</v>
      </c>
      <c r="C192" s="249" t="s">
        <v>991</v>
      </c>
      <c r="D192" s="249" t="s">
        <v>1017</v>
      </c>
      <c r="E192" s="249" t="s">
        <v>1043</v>
      </c>
      <c r="F192" s="249" t="s">
        <v>1071</v>
      </c>
    </row>
    <row r="193" spans="1:6" x14ac:dyDescent="0.25">
      <c r="A193" s="249" t="str">
        <f ca="1"/>
        <v>Gross Annual Salary :</v>
      </c>
      <c r="B193" s="249" t="s">
        <v>417</v>
      </c>
      <c r="C193" s="249" t="s">
        <v>992</v>
      </c>
      <c r="D193" s="249" t="s">
        <v>1018</v>
      </c>
      <c r="E193" s="249" t="s">
        <v>1044</v>
      </c>
      <c r="F193" s="249" t="s">
        <v>1072</v>
      </c>
    </row>
    <row r="194" spans="1:6" x14ac:dyDescent="0.25">
      <c r="A194" s="249" t="str">
        <f ca="1"/>
        <v>Net Annual Salary :</v>
      </c>
      <c r="B194" s="249" t="s">
        <v>418</v>
      </c>
      <c r="C194" s="249" t="s">
        <v>993</v>
      </c>
      <c r="D194" s="249" t="s">
        <v>1019</v>
      </c>
      <c r="E194" s="249" t="s">
        <v>1045</v>
      </c>
      <c r="F194" s="249" t="s">
        <v>1073</v>
      </c>
    </row>
    <row r="195" spans="1:6" x14ac:dyDescent="0.25">
      <c r="A195" s="249" t="str">
        <f ca="1"/>
        <v>Net Monthly :</v>
      </c>
      <c r="B195" s="249" t="s">
        <v>419</v>
      </c>
      <c r="C195" s="249" t="s">
        <v>994</v>
      </c>
      <c r="D195" s="249" t="s">
        <v>1020</v>
      </c>
      <c r="E195" s="249" t="s">
        <v>1046</v>
      </c>
      <c r="F195" s="249" t="s">
        <v>1074</v>
      </c>
    </row>
    <row r="196" spans="1:6" x14ac:dyDescent="0.25">
      <c r="A196" s="249" t="str">
        <f ca="1"/>
        <v>Bi-Menseul Net :</v>
      </c>
      <c r="B196" s="249" t="s">
        <v>420</v>
      </c>
      <c r="C196" s="249" t="s">
        <v>420</v>
      </c>
      <c r="D196" s="249" t="s">
        <v>1021</v>
      </c>
      <c r="E196" s="249" t="s">
        <v>1047</v>
      </c>
      <c r="F196" s="249" t="s">
        <v>1075</v>
      </c>
    </row>
    <row r="197" spans="1:6" x14ac:dyDescent="0.25">
      <c r="A197" s="249" t="str">
        <f ca="1"/>
        <v>TFSA MANAGEMENT :</v>
      </c>
      <c r="B197" s="249" t="s">
        <v>421</v>
      </c>
      <c r="C197" s="249" t="s">
        <v>995</v>
      </c>
      <c r="D197" s="249" t="s">
        <v>1022</v>
      </c>
      <c r="E197" s="249" t="s">
        <v>1048</v>
      </c>
      <c r="F197" s="249" t="s">
        <v>1076</v>
      </c>
    </row>
    <row r="198" spans="1:6" x14ac:dyDescent="0.25">
      <c r="A198" s="249" t="str">
        <f ca="1"/>
        <v>TFSA ceiling :</v>
      </c>
      <c r="B198" s="249" t="s">
        <v>422</v>
      </c>
      <c r="C198" s="249" t="s">
        <v>996</v>
      </c>
      <c r="D198" s="249" t="s">
        <v>1023</v>
      </c>
      <c r="E198" s="249" t="s">
        <v>1049</v>
      </c>
      <c r="F198" s="249" t="s">
        <v>1077</v>
      </c>
    </row>
    <row r="199" spans="1:6" x14ac:dyDescent="0.25">
      <c r="A199" s="249" t="str">
        <f ca="1"/>
        <v>SAVINGS MANAGEMENT :</v>
      </c>
      <c r="B199" s="249" t="s">
        <v>423</v>
      </c>
      <c r="C199" s="249" t="s">
        <v>997</v>
      </c>
      <c r="D199" s="249" t="s">
        <v>1024</v>
      </c>
      <c r="E199" s="249" t="s">
        <v>423</v>
      </c>
      <c r="F199" s="249" t="s">
        <v>1078</v>
      </c>
    </row>
    <row r="200" spans="1:6" x14ac:dyDescent="0.25">
      <c r="A200" s="249" t="str">
        <f ca="1"/>
        <v>Independence :</v>
      </c>
      <c r="B200" s="249" t="s">
        <v>424</v>
      </c>
      <c r="C200" s="249" t="s">
        <v>998</v>
      </c>
      <c r="D200" s="249" t="s">
        <v>1025</v>
      </c>
      <c r="E200" s="249" t="s">
        <v>1050</v>
      </c>
      <c r="F200" s="249" t="s">
        <v>1079</v>
      </c>
    </row>
    <row r="201" spans="1:6" x14ac:dyDescent="0.25">
      <c r="A201" s="249" t="str">
        <f ca="1"/>
        <v>Strategy :</v>
      </c>
      <c r="B201" s="249" t="s">
        <v>425</v>
      </c>
      <c r="C201" s="249" t="s">
        <v>999</v>
      </c>
      <c r="D201" s="249" t="s">
        <v>1026</v>
      </c>
      <c r="E201" s="249" t="s">
        <v>1051</v>
      </c>
      <c r="F201" s="249" t="s">
        <v>1080</v>
      </c>
    </row>
    <row r="202" spans="1:6" x14ac:dyDescent="0.25">
      <c r="A202" s="249" t="str">
        <f ca="1"/>
        <v>Savings / month :</v>
      </c>
      <c r="B202" s="249" t="s">
        <v>426</v>
      </c>
      <c r="C202" s="249" t="s">
        <v>1000</v>
      </c>
      <c r="D202" s="249" t="s">
        <v>1027</v>
      </c>
      <c r="E202" s="249" t="s">
        <v>1052</v>
      </c>
      <c r="F202" s="249" t="s">
        <v>1081</v>
      </c>
    </row>
    <row r="203" spans="1:6" x14ac:dyDescent="0.25">
      <c r="A203" s="249" t="str">
        <f ca="1"/>
        <v>Distribution / Year :</v>
      </c>
      <c r="B203" s="249" t="s">
        <v>427</v>
      </c>
      <c r="C203" s="249" t="s">
        <v>1001</v>
      </c>
      <c r="D203" s="249" t="s">
        <v>1028</v>
      </c>
      <c r="E203" s="249" t="s">
        <v>1053</v>
      </c>
      <c r="F203" s="249" t="s">
        <v>1082</v>
      </c>
    </row>
    <row r="204" spans="1:6" x14ac:dyDescent="0.25">
      <c r="A204" s="249" t="str">
        <f ca="1"/>
        <v>Missing year(s) :</v>
      </c>
      <c r="B204" s="249" t="s">
        <v>428</v>
      </c>
      <c r="C204" s="249" t="s">
        <v>1002</v>
      </c>
      <c r="D204" s="249" t="s">
        <v>1029</v>
      </c>
      <c r="E204" s="249" t="s">
        <v>1054</v>
      </c>
      <c r="F204" s="249" t="s">
        <v>1083</v>
      </c>
    </row>
    <row r="205" spans="1:6" x14ac:dyDescent="0.25">
      <c r="A205" s="249" t="str">
        <f ca="1"/>
        <v>Total savings :</v>
      </c>
      <c r="B205" s="249" t="s">
        <v>429</v>
      </c>
      <c r="C205" s="249" t="s">
        <v>1003</v>
      </c>
      <c r="D205" s="249" t="s">
        <v>1030</v>
      </c>
      <c r="E205" s="249" t="s">
        <v>1055</v>
      </c>
      <c r="F205" s="249" t="s">
        <v>1084</v>
      </c>
    </row>
    <row r="206" spans="1:6" x14ac:dyDescent="0.25">
      <c r="A206" s="249" t="str">
        <f ca="1"/>
        <v>Goal :</v>
      </c>
      <c r="B206" s="249" t="s">
        <v>430</v>
      </c>
      <c r="C206" s="249" t="s">
        <v>1004</v>
      </c>
      <c r="D206" s="249" t="s">
        <v>1031</v>
      </c>
      <c r="E206" s="249" t="s">
        <v>1056</v>
      </c>
      <c r="F206" s="249" t="s">
        <v>1085</v>
      </c>
    </row>
    <row r="207" spans="1:6" x14ac:dyDescent="0.25">
      <c r="A207" s="228" t="str">
        <f ca="1"/>
        <v>ChangeCAT</v>
      </c>
      <c r="B207" s="228" t="s">
        <v>277</v>
      </c>
      <c r="C207" s="241" t="s">
        <v>277</v>
      </c>
      <c r="D207" s="229" t="s">
        <v>277</v>
      </c>
      <c r="E207" s="229" t="s">
        <v>277</v>
      </c>
      <c r="F207" s="229" t="s">
        <v>277</v>
      </c>
    </row>
    <row r="208" spans="1:6" x14ac:dyDescent="0.25">
      <c r="A208" s="229" t="str">
        <f ca="1"/>
        <v>Language</v>
      </c>
      <c r="B208" s="229" t="s">
        <v>431</v>
      </c>
      <c r="C208" s="229" t="s">
        <v>431</v>
      </c>
      <c r="D208" s="229" t="s">
        <v>1032</v>
      </c>
      <c r="E208" s="229" t="s">
        <v>1057</v>
      </c>
      <c r="F208" s="229" t="s">
        <v>1086</v>
      </c>
    </row>
    <row r="209" spans="1:6" x14ac:dyDescent="0.25">
      <c r="A209" s="249" t="str">
        <f ca="1"/>
        <v>We are here</v>
      </c>
      <c r="B209" s="249" t="s">
        <v>504</v>
      </c>
      <c r="C209" s="249" t="s">
        <v>1005</v>
      </c>
      <c r="D209" s="249" t="s">
        <v>1033</v>
      </c>
      <c r="E209" s="249" t="s">
        <v>1058</v>
      </c>
      <c r="F209" s="249" t="s">
        <v>1087</v>
      </c>
    </row>
    <row r="210" spans="1:6" x14ac:dyDescent="0.25">
      <c r="A210" s="249" t="str">
        <f ca="1"/>
        <v>year(s)</v>
      </c>
      <c r="B210" s="249" t="s">
        <v>1105</v>
      </c>
      <c r="C210" s="249" t="s">
        <v>1106</v>
      </c>
      <c r="D210" s="249" t="s">
        <v>1107</v>
      </c>
      <c r="E210" s="249" t="s">
        <v>1108</v>
      </c>
      <c r="F210" s="249" t="s">
        <v>784</v>
      </c>
    </row>
    <row r="211" spans="1:6" x14ac:dyDescent="0.25">
      <c r="A211" s="249" t="str">
        <f ca="1"/>
        <v>Income</v>
      </c>
      <c r="B211" s="249" t="s">
        <v>1120</v>
      </c>
      <c r="C211" s="249" t="s">
        <v>13</v>
      </c>
      <c r="D211" s="249" t="s">
        <v>1121</v>
      </c>
      <c r="E211" s="249" t="s">
        <v>611</v>
      </c>
      <c r="F211" s="249" t="s">
        <v>643</v>
      </c>
    </row>
    <row r="212" spans="1:6" x14ac:dyDescent="0.25">
      <c r="A212" s="249" t="str">
        <f ca="1"/>
        <v>Automation</v>
      </c>
      <c r="B212" s="249" t="s">
        <v>1124</v>
      </c>
      <c r="C212" s="249" t="s">
        <v>1138</v>
      </c>
      <c r="D212" s="249" t="s">
        <v>1152</v>
      </c>
      <c r="E212" s="249" t="s">
        <v>1131</v>
      </c>
      <c r="F212" s="249" t="s">
        <v>1145</v>
      </c>
    </row>
    <row r="213" spans="1:6" x14ac:dyDescent="0.25">
      <c r="A213" s="229" t="str">
        <f ca="1"/>
        <v>Path:</v>
      </c>
      <c r="B213" s="229" t="s">
        <v>1125</v>
      </c>
      <c r="C213" s="229" t="s">
        <v>1139</v>
      </c>
      <c r="D213" s="229" t="s">
        <v>1153</v>
      </c>
      <c r="E213" s="229" t="s">
        <v>1132</v>
      </c>
      <c r="F213" s="229" t="s">
        <v>1146</v>
      </c>
    </row>
    <row r="214" spans="1:6" x14ac:dyDescent="0.25">
      <c r="A214" s="229" t="str">
        <f ca="1"/>
        <v>File name:</v>
      </c>
      <c r="B214" s="229" t="s">
        <v>1126</v>
      </c>
      <c r="C214" s="229" t="s">
        <v>1140</v>
      </c>
      <c r="D214" s="229" t="s">
        <v>1154</v>
      </c>
      <c r="E214" s="229" t="s">
        <v>1133</v>
      </c>
      <c r="F214" s="229" t="s">
        <v>1147</v>
      </c>
    </row>
    <row r="215" spans="1:6" x14ac:dyDescent="0.25">
      <c r="A215" s="229" t="str">
        <f ca="1"/>
        <v>System parameters</v>
      </c>
      <c r="B215" s="229" t="s">
        <v>1127</v>
      </c>
      <c r="C215" s="229" t="s">
        <v>1141</v>
      </c>
      <c r="D215" s="229" t="s">
        <v>1155</v>
      </c>
      <c r="E215" s="229" t="s">
        <v>1134</v>
      </c>
      <c r="F215" s="229" t="s">
        <v>1148</v>
      </c>
    </row>
    <row r="216" spans="1:6" x14ac:dyDescent="0.25">
      <c r="A216" s="229" t="str">
        <f ca="1"/>
        <v>System parameters - Completed</v>
      </c>
      <c r="B216" s="229" t="s">
        <v>1128</v>
      </c>
      <c r="C216" s="229" t="s">
        <v>1142</v>
      </c>
      <c r="D216" s="229" t="s">
        <v>1156</v>
      </c>
      <c r="E216" s="229" t="s">
        <v>1135</v>
      </c>
      <c r="F216" s="229" t="s">
        <v>1149</v>
      </c>
    </row>
    <row r="217" spans="1:6" x14ac:dyDescent="0.25">
      <c r="A217" s="229" t="str">
        <f ca="1"/>
        <v>Automation parameters</v>
      </c>
      <c r="B217" s="229" t="s">
        <v>1129</v>
      </c>
      <c r="C217" s="229" t="s">
        <v>1143</v>
      </c>
      <c r="D217" s="229" t="s">
        <v>1157</v>
      </c>
      <c r="E217" s="229" t="s">
        <v>1136</v>
      </c>
      <c r="F217" s="229" t="s">
        <v>1150</v>
      </c>
    </row>
    <row r="218" spans="1:6" x14ac:dyDescent="0.25">
      <c r="A218" s="229" t="str">
        <f ca="1"/>
        <v>Automation parameters - Completed</v>
      </c>
      <c r="B218" s="229" t="s">
        <v>1130</v>
      </c>
      <c r="C218" s="229" t="s">
        <v>1144</v>
      </c>
      <c r="D218" s="229" t="s">
        <v>1158</v>
      </c>
      <c r="E218" s="229" t="s">
        <v>1137</v>
      </c>
      <c r="F218" s="229" t="s">
        <v>1151</v>
      </c>
    </row>
    <row r="219" spans="1:6" x14ac:dyDescent="0.25">
      <c r="A219" s="220" t="str">
        <f ca="1"/>
        <v>Automation disabled</v>
      </c>
      <c r="B219" s="220" t="s">
        <v>1164</v>
      </c>
      <c r="C219" s="220" t="s">
        <v>1163</v>
      </c>
      <c r="D219" s="220" t="s">
        <v>1166</v>
      </c>
      <c r="E219" s="220" t="s">
        <v>1165</v>
      </c>
      <c r="F219" s="220" t="s">
        <v>1167</v>
      </c>
    </row>
    <row r="220" spans="1:6" x14ac:dyDescent="0.25">
      <c r="A220" s="240" t="str">
        <f ca="1"/>
        <v>Enter your data - Processing in progress.</v>
      </c>
      <c r="B220" s="240" t="s">
        <v>1169</v>
      </c>
      <c r="C220" s="262" t="s">
        <v>1170</v>
      </c>
      <c r="D220" s="240" t="s">
        <v>1171</v>
      </c>
      <c r="E220" s="240" t="s">
        <v>1172</v>
      </c>
      <c r="F220" s="240" t="s">
        <v>1227</v>
      </c>
    </row>
    <row r="221" spans="1:6" x14ac:dyDescent="0.25">
      <c r="A221" s="263" t="str">
        <f ca="1"/>
        <v>Automation - Make your choice</v>
      </c>
      <c r="B221" s="263" t="s">
        <v>1173</v>
      </c>
      <c r="C221" s="263" t="s">
        <v>1177</v>
      </c>
      <c r="D221" s="263" t="s">
        <v>1181</v>
      </c>
      <c r="E221" s="263" t="s">
        <v>1185</v>
      </c>
      <c r="F221" s="263" t="s">
        <v>1210</v>
      </c>
    </row>
    <row r="222" spans="1:6" x14ac:dyDescent="0.25">
      <c r="A222" s="263" t="str">
        <f ca="1"/>
        <v>Extract data from file:</v>
      </c>
      <c r="B222" s="263" t="s">
        <v>1174</v>
      </c>
      <c r="C222" s="263" t="s">
        <v>1178</v>
      </c>
      <c r="D222" s="263" t="s">
        <v>1182</v>
      </c>
      <c r="E222" s="263" t="s">
        <v>1186</v>
      </c>
      <c r="F222" s="263" t="s">
        <v>1189</v>
      </c>
    </row>
    <row r="223" spans="1:6" x14ac:dyDescent="0.25">
      <c r="A223" s="263" t="str">
        <f ca="1"/>
        <v>Open</v>
      </c>
      <c r="B223" s="263" t="s">
        <v>1175</v>
      </c>
      <c r="C223" s="263" t="s">
        <v>1179</v>
      </c>
      <c r="D223" s="263" t="s">
        <v>1183</v>
      </c>
      <c r="E223" s="263" t="s">
        <v>1187</v>
      </c>
      <c r="F223" s="263" t="s">
        <v>1190</v>
      </c>
    </row>
    <row r="224" spans="1:6" x14ac:dyDescent="0.25">
      <c r="A224" s="263" t="str">
        <f ca="1"/>
        <v>Close</v>
      </c>
      <c r="B224" s="263" t="s">
        <v>327</v>
      </c>
      <c r="C224" s="263" t="s">
        <v>668</v>
      </c>
      <c r="D224" s="263" t="s">
        <v>708</v>
      </c>
      <c r="E224" s="263" t="s">
        <v>753</v>
      </c>
      <c r="F224" s="263" t="s">
        <v>638</v>
      </c>
    </row>
    <row r="225" spans="1:6" x14ac:dyDescent="0.25">
      <c r="A225" s="263" t="str">
        <f ca="1"/>
        <v>Extract</v>
      </c>
      <c r="B225" s="263" t="s">
        <v>1176</v>
      </c>
      <c r="C225" s="263" t="s">
        <v>1180</v>
      </c>
      <c r="D225" s="263" t="s">
        <v>1184</v>
      </c>
      <c r="E225" s="263" t="s">
        <v>1188</v>
      </c>
      <c r="F225" s="263" t="s">
        <v>1191</v>
      </c>
    </row>
    <row r="226" spans="1:6" x14ac:dyDescent="0.25">
      <c r="A226" t="str">
        <f ca="1"/>
        <v>This year already exists.</v>
      </c>
      <c r="B226" t="s">
        <v>1192</v>
      </c>
      <c r="C226" t="s">
        <v>1237</v>
      </c>
      <c r="D226" t="s">
        <v>1238</v>
      </c>
      <c r="E226" t="s">
        <v>1236</v>
      </c>
      <c r="F226" t="s">
        <v>1207</v>
      </c>
    </row>
    <row r="227" spans="1:6" x14ac:dyDescent="0.25">
      <c r="A227" s="249" t="str">
        <f ca="1"/>
        <v>Others</v>
      </c>
      <c r="B227" s="249" t="s">
        <v>16</v>
      </c>
      <c r="C227" s="249" t="s">
        <v>1241</v>
      </c>
      <c r="D227" s="249" t="s">
        <v>1239</v>
      </c>
      <c r="E227" s="249" t="s">
        <v>1240</v>
      </c>
      <c r="F227" s="249" t="s">
        <v>1242</v>
      </c>
    </row>
    <row r="228" spans="1:6" x14ac:dyDescent="0.25">
      <c r="A228" s="249" t="str">
        <f ca="1"/>
        <v>Color</v>
      </c>
      <c r="B228" s="249" t="s">
        <v>1246</v>
      </c>
      <c r="C228" s="249" t="s">
        <v>1243</v>
      </c>
      <c r="D228" s="249" t="s">
        <v>1243</v>
      </c>
      <c r="E228" s="249" t="s">
        <v>1245</v>
      </c>
      <c r="F228" s="249" t="s">
        <v>1244</v>
      </c>
    </row>
    <row r="229" spans="1:6" x14ac:dyDescent="0.25">
      <c r="A229" s="249" t="str">
        <f ca="1"/>
        <v>Fixed load</v>
      </c>
      <c r="B229" s="275" t="s">
        <v>1247</v>
      </c>
      <c r="C229" s="249" t="s">
        <v>1295</v>
      </c>
      <c r="D229" s="249" t="s">
        <v>1259</v>
      </c>
      <c r="E229" s="249" t="s">
        <v>1271</v>
      </c>
      <c r="F229" s="249" t="s">
        <v>1283</v>
      </c>
    </row>
    <row r="230" spans="1:6" x14ac:dyDescent="0.25">
      <c r="A230" s="249" t="str">
        <f ca="1"/>
        <v>This selection allows you to freeze your budget.</v>
      </c>
      <c r="B230" s="275" t="s">
        <v>1248</v>
      </c>
      <c r="C230" s="249" t="s">
        <v>1296</v>
      </c>
      <c r="D230" s="249" t="s">
        <v>1260</v>
      </c>
      <c r="E230" s="249" t="s">
        <v>1272</v>
      </c>
      <c r="F230" s="249" t="s">
        <v>1284</v>
      </c>
    </row>
    <row r="231" spans="1:6" x14ac:dyDescent="0.25">
      <c r="A231" s="249" t="str">
        <f ca="1"/>
        <v>After each quarter, savings or surpluses are allocated to shared budgets.</v>
      </c>
      <c r="B231" s="275" t="s">
        <v>1249</v>
      </c>
      <c r="C231" s="249" t="s">
        <v>1297</v>
      </c>
      <c r="D231" s="249" t="s">
        <v>1261</v>
      </c>
      <c r="E231" s="249" t="s">
        <v>1273</v>
      </c>
      <c r="F231" s="249" t="s">
        <v>1285</v>
      </c>
    </row>
    <row r="232" spans="1:6" x14ac:dyDescent="0.25">
      <c r="A232" s="249" t="str">
        <f ca="1"/>
        <v xml:space="preserve">Ideal for fixed-charge budgets. </v>
      </c>
      <c r="B232" s="275" t="s">
        <v>1250</v>
      </c>
      <c r="C232" s="249" t="s">
        <v>1298</v>
      </c>
      <c r="D232" s="249" t="s">
        <v>1262</v>
      </c>
      <c r="E232" s="249" t="s">
        <v>1274</v>
      </c>
      <c r="F232" s="249" t="s">
        <v>1286</v>
      </c>
    </row>
    <row r="233" spans="1:6" x14ac:dyDescent="0.25">
      <c r="A233" s="249" t="str">
        <f ca="1"/>
        <v>Regular</v>
      </c>
      <c r="B233" s="275" t="s">
        <v>1251</v>
      </c>
      <c r="C233" s="249" t="s">
        <v>1263</v>
      </c>
      <c r="D233" s="249" t="s">
        <v>1263</v>
      </c>
      <c r="E233" s="249" t="s">
        <v>1275</v>
      </c>
      <c r="F233" s="249" t="s">
        <v>1287</v>
      </c>
    </row>
    <row r="234" spans="1:6" x14ac:dyDescent="0.25">
      <c r="A234" s="249" t="str">
        <f ca="1"/>
        <v>This selection allows you to connect your budgets.</v>
      </c>
      <c r="B234" s="275" t="s">
        <v>1252</v>
      </c>
      <c r="C234" s="249" t="s">
        <v>1299</v>
      </c>
      <c r="D234" s="249" t="s">
        <v>1264</v>
      </c>
      <c r="E234" s="249" t="s">
        <v>1276</v>
      </c>
      <c r="F234" s="249" t="s">
        <v>1288</v>
      </c>
    </row>
    <row r="235" spans="1:6" x14ac:dyDescent="0.25">
      <c r="A235" s="249" t="str">
        <f ca="1"/>
        <v>After each quarter, savings or surpluses will be allocated proportionally to all shared budgets.</v>
      </c>
      <c r="B235" s="275" t="s">
        <v>1253</v>
      </c>
      <c r="C235" s="249" t="s">
        <v>1300</v>
      </c>
      <c r="D235" s="249" t="s">
        <v>1265</v>
      </c>
      <c r="E235" s="249" t="s">
        <v>1277</v>
      </c>
      <c r="F235" s="249" t="s">
        <v>1289</v>
      </c>
    </row>
    <row r="236" spans="1:6" x14ac:dyDescent="0.25">
      <c r="A236" s="249" t="str">
        <f ca="1"/>
        <v>Ideal for variable-load budgets.</v>
      </c>
      <c r="B236" s="275" t="s">
        <v>1254</v>
      </c>
      <c r="C236" s="249" t="s">
        <v>1301</v>
      </c>
      <c r="D236" s="249" t="s">
        <v>1266</v>
      </c>
      <c r="E236" s="249" t="s">
        <v>1278</v>
      </c>
      <c r="F236" s="249" t="s">
        <v>1290</v>
      </c>
    </row>
    <row r="237" spans="1:6" x14ac:dyDescent="0.25">
      <c r="A237" s="249" t="str">
        <f ca="1"/>
        <v>Independent</v>
      </c>
      <c r="B237" s="275" t="s">
        <v>1255</v>
      </c>
      <c r="C237" s="249" t="s">
        <v>1302</v>
      </c>
      <c r="D237" s="249" t="s">
        <v>1267</v>
      </c>
      <c r="E237" s="249" t="s">
        <v>1279</v>
      </c>
      <c r="F237" s="249" t="s">
        <v>1291</v>
      </c>
    </row>
    <row r="238" spans="1:6" x14ac:dyDescent="0.25">
      <c r="A238" s="249" t="str">
        <f ca="1"/>
        <v>This selection allows you to isolate your budget.</v>
      </c>
      <c r="B238" s="275" t="s">
        <v>1256</v>
      </c>
      <c r="C238" s="249" t="s">
        <v>1303</v>
      </c>
      <c r="D238" s="249" t="s">
        <v>1268</v>
      </c>
      <c r="E238" s="249" t="s">
        <v>1280</v>
      </c>
      <c r="F238" s="249" t="s">
        <v>1292</v>
      </c>
    </row>
    <row r="239" spans="1:6" x14ac:dyDescent="0.25">
      <c r="A239" s="249" t="str">
        <f ca="1"/>
        <v>After each quarter, savings or surpluses will be redistributed to the selected budget only.</v>
      </c>
      <c r="B239" s="275" t="s">
        <v>1257</v>
      </c>
      <c r="C239" s="249" t="s">
        <v>1304</v>
      </c>
      <c r="D239" s="249" t="s">
        <v>1269</v>
      </c>
      <c r="E239" s="249" t="s">
        <v>1281</v>
      </c>
      <c r="F239" s="249" t="s">
        <v>1293</v>
      </c>
    </row>
    <row r="240" spans="1:6" x14ac:dyDescent="0.25">
      <c r="A240" s="249" t="str">
        <f ca="1"/>
        <v>Ideal for special projects that don't involve day-to-day expenses.</v>
      </c>
      <c r="B240" s="275" t="s">
        <v>1258</v>
      </c>
      <c r="C240" s="249" t="s">
        <v>1305</v>
      </c>
      <c r="D240" s="249" t="s">
        <v>1270</v>
      </c>
      <c r="E240" s="249" t="s">
        <v>1282</v>
      </c>
      <c r="F240" s="249" t="s">
        <v>1294</v>
      </c>
    </row>
    <row r="241" spans="1:6" x14ac:dyDescent="0.25">
      <c r="A241" s="220" t="str">
        <f ca="1"/>
        <v>Last</v>
      </c>
      <c r="B241" s="220" t="s">
        <v>1310</v>
      </c>
      <c r="C241" s="220" t="s">
        <v>1315</v>
      </c>
      <c r="D241" s="220" t="s">
        <v>1309</v>
      </c>
      <c r="E241" s="220" t="s">
        <v>1307</v>
      </c>
      <c r="F241" s="220" t="s">
        <v>1308</v>
      </c>
    </row>
    <row r="242" spans="1:6" x14ac:dyDescent="0.25">
      <c r="A242" s="220" t="str">
        <f ca="1"/>
        <v>Next</v>
      </c>
      <c r="B242" s="220" t="s">
        <v>1314</v>
      </c>
      <c r="C242" s="220" t="s">
        <v>1316</v>
      </c>
      <c r="D242" s="220" t="s">
        <v>1311</v>
      </c>
      <c r="E242" s="220" t="s">
        <v>1312</v>
      </c>
      <c r="F242" s="220" t="s">
        <v>1313</v>
      </c>
    </row>
    <row r="243" spans="1:6" x14ac:dyDescent="0.25">
      <c r="A243" s="220" t="str">
        <f ca="1"/>
        <v>Cancel</v>
      </c>
      <c r="B243" s="276" t="s">
        <v>1317</v>
      </c>
      <c r="C243" s="220" t="s">
        <v>341</v>
      </c>
      <c r="D243" s="220" t="s">
        <v>725</v>
      </c>
      <c r="E243" s="220" t="s">
        <v>1318</v>
      </c>
      <c r="F243" s="220" t="s">
        <v>805</v>
      </c>
    </row>
    <row r="244" spans="1:6" x14ac:dyDescent="0.25">
      <c r="A244" s="220" t="str">
        <f ca="1"/>
        <v>Delete</v>
      </c>
      <c r="B244" s="276" t="s">
        <v>339</v>
      </c>
      <c r="C244" s="220" t="s">
        <v>681</v>
      </c>
      <c r="D244" s="220" t="s">
        <v>722</v>
      </c>
      <c r="E244" s="220" t="s">
        <v>768</v>
      </c>
      <c r="F244" s="220" t="s">
        <v>802</v>
      </c>
    </row>
    <row r="245" spans="1:6" x14ac:dyDescent="0.25">
      <c r="A245" s="229" t="str">
        <f ca="1"/>
        <v>Add</v>
      </c>
      <c r="B245" s="229" t="s">
        <v>279</v>
      </c>
      <c r="C245" s="229" t="s">
        <v>313</v>
      </c>
      <c r="D245" s="229" t="s">
        <v>563</v>
      </c>
      <c r="E245" s="229" t="s">
        <v>607</v>
      </c>
      <c r="F245" s="229" t="s">
        <v>639</v>
      </c>
    </row>
    <row r="246" spans="1:6" x14ac:dyDescent="0.25">
      <c r="A246" s="229" t="str">
        <f ca="1"/>
        <v>Refund</v>
      </c>
      <c r="B246" s="229" t="s">
        <v>1319</v>
      </c>
      <c r="C246" s="229" t="s">
        <v>1320</v>
      </c>
      <c r="D246" s="229" t="s">
        <v>1321</v>
      </c>
      <c r="E246" s="229" t="s">
        <v>1322</v>
      </c>
      <c r="F246" s="229" t="s">
        <v>1323</v>
      </c>
    </row>
    <row r="247" spans="1:6" x14ac:dyDescent="0.25">
      <c r="A247" s="229" t="str">
        <f ca="1"/>
        <v>Savings</v>
      </c>
      <c r="B247" s="229" t="s">
        <v>1324</v>
      </c>
      <c r="C247" s="229" t="s">
        <v>659</v>
      </c>
      <c r="D247" s="229" t="s">
        <v>699</v>
      </c>
      <c r="E247" s="229" t="s">
        <v>744</v>
      </c>
      <c r="F247" s="229" t="s">
        <v>1325</v>
      </c>
    </row>
    <row r="248" spans="1:6" x14ac:dyDescent="0.25">
      <c r="A248" s="94" t="str">
        <f ca="1"/>
        <v>Select only the second month to apply your changes to the whole period.</v>
      </c>
      <c r="B248" s="94" t="s">
        <v>1334</v>
      </c>
      <c r="C248" s="94" t="s">
        <v>1336</v>
      </c>
      <c r="D248" s="94" t="s">
        <v>1337</v>
      </c>
      <c r="E248" s="94" t="s">
        <v>1335</v>
      </c>
      <c r="F248" s="94" t="s">
        <v>1338</v>
      </c>
    </row>
    <row r="249" spans="1:6" x14ac:dyDescent="0.25">
      <c r="A249" s="229" t="str">
        <f ca="1"/>
        <v>Error 2 values in Withdrawal Col 'C' and Income col 'D'</v>
      </c>
      <c r="B249" s="229" t="s">
        <v>1343</v>
      </c>
      <c r="C249" s="229" t="s">
        <v>1342</v>
      </c>
      <c r="D249" s="229" t="s">
        <v>1345</v>
      </c>
      <c r="E249" s="229" t="s">
        <v>1344</v>
      </c>
      <c r="F249" s="229" t="s">
        <v>1346</v>
      </c>
    </row>
    <row r="250" spans="1:6" x14ac:dyDescent="0.25">
      <c r="A250" s="229" t="str">
        <f ca="1"/>
        <v>Error no value found</v>
      </c>
      <c r="B250" s="229" t="s">
        <v>1351</v>
      </c>
      <c r="C250" s="229" t="s">
        <v>1348</v>
      </c>
      <c r="D250" s="229" t="s">
        <v>1349</v>
      </c>
      <c r="E250" s="229" t="s">
        <v>1350</v>
      </c>
      <c r="F250" s="229" t="s">
        <v>1347</v>
      </c>
    </row>
    <row r="251" spans="1:6" x14ac:dyDescent="0.25">
      <c r="A251" s="229" t="str">
        <f ca="1"/>
        <v>Choice of institution</v>
      </c>
      <c r="B251" s="229" t="s">
        <v>1358</v>
      </c>
      <c r="C251" s="229" t="s">
        <v>1359</v>
      </c>
      <c r="D251" s="229" t="s">
        <v>1362</v>
      </c>
      <c r="E251" s="229" t="s">
        <v>1361</v>
      </c>
      <c r="F251" s="229" t="s">
        <v>1360</v>
      </c>
    </row>
    <row r="252" spans="1:6" x14ac:dyDescent="0.25">
      <c r="A252" s="229" t="str">
        <f ca="1"/>
        <v>Withdrawal</v>
      </c>
      <c r="B252" s="229" t="s">
        <v>1368</v>
      </c>
      <c r="C252" s="229" t="s">
        <v>1367</v>
      </c>
      <c r="D252" s="229" t="s">
        <v>1369</v>
      </c>
      <c r="E252" s="229" t="s">
        <v>1370</v>
      </c>
      <c r="F252" s="229" t="s">
        <v>1371</v>
      </c>
    </row>
    <row r="253" spans="1:6" x14ac:dyDescent="0.25">
      <c r="A253" s="121" t="str">
        <f ca="1"/>
        <v>Make sure your data set is in order.</v>
      </c>
      <c r="B253" s="121" t="s">
        <v>1380</v>
      </c>
      <c r="C253" s="121" t="s">
        <v>1384</v>
      </c>
      <c r="D253" s="121" t="s">
        <v>1387</v>
      </c>
      <c r="E253" s="121" t="s">
        <v>1386</v>
      </c>
      <c r="F253" s="121" t="s">
        <v>1385</v>
      </c>
    </row>
    <row r="254" spans="1:6" x14ac:dyDescent="0.25">
      <c r="A254" s="121" t="str">
        <f ca="1"/>
        <v>The Months must always follow one another.</v>
      </c>
      <c r="B254" s="121" t="s">
        <v>1381</v>
      </c>
      <c r="C254" s="121" t="s">
        <v>1388</v>
      </c>
      <c r="D254" s="121" t="s">
        <v>1390</v>
      </c>
      <c r="E254" s="121" t="s">
        <v>1389</v>
      </c>
      <c r="F254" s="121" t="s">
        <v>1391</v>
      </c>
    </row>
    <row r="255" spans="1:6" x14ac:dyDescent="0.25">
      <c r="A255" s="121" t="str">
        <f ca="1"/>
        <v>Acceptable example:</v>
      </c>
      <c r="B255" s="121" t="s">
        <v>1382</v>
      </c>
      <c r="C255" s="121" t="s">
        <v>1392</v>
      </c>
      <c r="D255" s="121" t="s">
        <v>1393</v>
      </c>
      <c r="E255" s="121" t="s">
        <v>1394</v>
      </c>
      <c r="F255" s="121" t="s">
        <v>1395</v>
      </c>
    </row>
    <row r="256" spans="1:6" x14ac:dyDescent="0.25">
      <c r="A256" s="121" t="str">
        <f ca="1"/>
        <v>Unacceptable example:</v>
      </c>
      <c r="B256" s="121" t="s">
        <v>1383</v>
      </c>
      <c r="C256" s="121" t="s">
        <v>1396</v>
      </c>
      <c r="D256" s="121" t="s">
        <v>1397</v>
      </c>
      <c r="E256" s="121" t="s">
        <v>1398</v>
      </c>
      <c r="F256" s="121" t="s">
        <v>1399</v>
      </c>
    </row>
    <row r="257" spans="1:6" x14ac:dyDescent="0.25">
      <c r="A257" t="str">
        <f ca="1"/>
        <v>Do not enter special character ($ ? &amp;, etc.)</v>
      </c>
      <c r="B257" s="121" t="s">
        <v>1426</v>
      </c>
      <c r="C257" s="121" t="s">
        <v>1425</v>
      </c>
      <c r="D257" s="121" t="s">
        <v>1428</v>
      </c>
      <c r="E257" s="121" t="s">
        <v>1427</v>
      </c>
      <c r="F257" t="s">
        <v>1429</v>
      </c>
    </row>
  </sheetData>
  <sheetProtection algorithmName="SHA-512" hashValue="9fCh3zWshb0GjwQ1Ve0cR4SRGZ7O8kVD5ayntplolAUzGnKdJkmVMcrHHnLYD/ldWQP6Ck4g8pwKfNKZ09rTHA==" saltValue="hl3UTWiH512+5qVku3C5jg==" spinCount="100000" sheet="1" objects="1" scenarios="1"/>
  <phoneticPr fontId="5" type="noConversion"/>
  <pageMargins left="0.7" right="0.7" top="0.75" bottom="0.75" header="0.3" footer="0.3"/>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B2C24-F9DA-4CC2-82A5-0729428C8A3C}">
  <sheetPr codeName="Sheet5">
    <tabColor theme="1" tint="0.14999847407452621"/>
  </sheetPr>
  <dimension ref="A1:XFC160"/>
  <sheetViews>
    <sheetView showGridLines="0" showRowColHeaders="0" tabSelected="1" zoomScale="60" zoomScaleNormal="60" workbookViewId="0">
      <selection activeCell="AA8" sqref="AA8"/>
    </sheetView>
  </sheetViews>
  <sheetFormatPr defaultColWidth="0" defaultRowHeight="11.5" zeroHeight="1" x14ac:dyDescent="0.25"/>
  <cols>
    <col min="1" max="1" width="13.296875" bestFit="1" customWidth="1"/>
    <col min="2" max="2" width="14.69921875" bestFit="1" customWidth="1"/>
    <col min="3" max="3" width="15.69921875" bestFit="1" customWidth="1"/>
    <col min="4" max="79" width="8.8984375" customWidth="1"/>
    <col min="80" max="16383" width="8.8984375" hidden="1"/>
    <col min="16384" max="16384" width="11"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10:10" x14ac:dyDescent="0.25"/>
    <row r="18" spans="10:10" x14ac:dyDescent="0.25"/>
    <row r="19" spans="10:10" x14ac:dyDescent="0.25">
      <c r="J19">
        <v>1</v>
      </c>
    </row>
    <row r="20" spans="10:10" x14ac:dyDescent="0.25"/>
    <row r="21" spans="10:10" x14ac:dyDescent="0.25"/>
    <row r="22" spans="10:10" x14ac:dyDescent="0.25"/>
    <row r="23" spans="10:10" x14ac:dyDescent="0.25"/>
    <row r="24" spans="10:10" x14ac:dyDescent="0.25"/>
    <row r="25" spans="10:10" x14ac:dyDescent="0.25"/>
    <row r="26" spans="10:10" x14ac:dyDescent="0.25"/>
    <row r="27" spans="10:10" x14ac:dyDescent="0.25"/>
    <row r="28" spans="10:10" x14ac:dyDescent="0.25"/>
    <row r="29" spans="10:10" x14ac:dyDescent="0.25"/>
    <row r="30" spans="10:10" x14ac:dyDescent="0.25"/>
    <row r="31" spans="10:10" x14ac:dyDescent="0.25"/>
    <row r="32" spans="10:10"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s="43" customFormat="1"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sheetData>
  <sheetProtection algorithmName="SHA-512" hashValue="V32aPDNEIi40CkLuKRpJbLmna0Aom5HxCWOEQR0cISAaMc76857xF6CTlspnhxJhDBH8aJFQZQ37SmkGS70oqA==" saltValue="sqL8zCwrzM4KoT2hEm2jyg==" spinCount="100000" sheet="1" objects="1" scenarios="1"/>
  <pageMargins left="0.7" right="0.7" top="0.75" bottom="0.75" header="0.3" footer="0.3"/>
  <pageSetup orientation="portrait" r:id="rId1"/>
  <drawing r:id="rId2"/>
  <legacyDrawing r:id="rId3"/>
  <controls>
    <mc:AlternateContent xmlns:mc="http://schemas.openxmlformats.org/markup-compatibility/2006">
      <mc:Choice Requires="x14">
        <control shapeId="5439" r:id="rId4" name="Salaire">
          <controlPr locked="0" defaultSize="0" autoLine="0" r:id="rId5">
            <anchor moveWithCells="1">
              <from>
                <xdr:col>17</xdr:col>
                <xdr:colOff>546100</xdr:colOff>
                <xdr:row>65</xdr:row>
                <xdr:rowOff>139700</xdr:rowOff>
              </from>
              <to>
                <xdr:col>19</xdr:col>
                <xdr:colOff>323850</xdr:colOff>
                <xdr:row>67</xdr:row>
                <xdr:rowOff>127000</xdr:rowOff>
              </to>
            </anchor>
          </controlPr>
        </control>
      </mc:Choice>
      <mc:Fallback>
        <control shapeId="5179" r:id="rId4" name="Salaire"/>
      </mc:Fallback>
    </mc:AlternateContent>
    <mc:AlternateContent xmlns:mc="http://schemas.openxmlformats.org/markup-compatibility/2006">
      <mc:Choice Requires="x14">
        <control shapeId="5382" r:id="rId6" name="Cost">
          <controlPr locked="0" defaultSize="0" autoLine="0" r:id="rId7">
            <anchor moveWithCells="1">
              <from>
                <xdr:col>31</xdr:col>
                <xdr:colOff>342900</xdr:colOff>
                <xdr:row>69</xdr:row>
                <xdr:rowOff>25400</xdr:rowOff>
              </from>
              <to>
                <xdr:col>34</xdr:col>
                <xdr:colOff>107950</xdr:colOff>
                <xdr:row>71</xdr:row>
                <xdr:rowOff>31750</xdr:rowOff>
              </to>
            </anchor>
          </controlPr>
        </control>
      </mc:Choice>
      <mc:Fallback>
        <control shapeId="5150" r:id="rId6" name="Cost"/>
      </mc:Fallback>
    </mc:AlternateContent>
    <mc:AlternateContent xmlns:mc="http://schemas.openxmlformats.org/markup-compatibility/2006">
      <mc:Choice Requires="x14">
        <control shapeId="5407" r:id="rId8" name="Ratio">
          <controlPr locked="0" defaultSize="0" autoLine="0" r:id="rId9">
            <anchor moveWithCells="1">
              <from>
                <xdr:col>31</xdr:col>
                <xdr:colOff>330200</xdr:colOff>
                <xdr:row>67</xdr:row>
                <xdr:rowOff>107950</xdr:rowOff>
              </from>
              <to>
                <xdr:col>33</xdr:col>
                <xdr:colOff>279400</xdr:colOff>
                <xdr:row>69</xdr:row>
                <xdr:rowOff>31750</xdr:rowOff>
              </to>
            </anchor>
          </controlPr>
        </control>
      </mc:Choice>
      <mc:Fallback>
        <control shapeId="5148" r:id="rId8" name="Ratio"/>
      </mc:Fallback>
    </mc:AlternateContent>
    <mc:AlternateContent xmlns:mc="http://schemas.openxmlformats.org/markup-compatibility/2006">
      <mc:Choice Requires="x14">
        <control shapeId="5423" r:id="rId10" name="B1LMD">
          <controlPr locked="0" defaultSize="0" autoLine="0" r:id="rId11">
            <anchor moveWithCells="1">
              <from>
                <xdr:col>46</xdr:col>
                <xdr:colOff>387350</xdr:colOff>
                <xdr:row>57</xdr:row>
                <xdr:rowOff>12700</xdr:rowOff>
              </from>
              <to>
                <xdr:col>49</xdr:col>
                <xdr:colOff>95250</xdr:colOff>
                <xdr:row>58</xdr:row>
                <xdr:rowOff>44450</xdr:rowOff>
              </to>
            </anchor>
          </controlPr>
        </control>
      </mc:Choice>
      <mc:Fallback>
        <control shapeId="5147" r:id="rId10" name="B1LMD"/>
      </mc:Fallback>
    </mc:AlternateContent>
    <mc:AlternateContent xmlns:mc="http://schemas.openxmlformats.org/markup-compatibility/2006">
      <mc:Choice Requires="x14">
        <control shapeId="5429" r:id="rId12" name="B1LMP">
          <controlPr locked="0" defaultSize="0" autoLine="0" r:id="rId13">
            <anchor moveWithCells="1">
              <from>
                <xdr:col>46</xdr:col>
                <xdr:colOff>381000</xdr:colOff>
                <xdr:row>58</xdr:row>
                <xdr:rowOff>76200</xdr:rowOff>
              </from>
              <to>
                <xdr:col>48</xdr:col>
                <xdr:colOff>273050</xdr:colOff>
                <xdr:row>59</xdr:row>
                <xdr:rowOff>114300</xdr:rowOff>
              </to>
            </anchor>
          </controlPr>
        </control>
      </mc:Choice>
      <mc:Fallback>
        <control shapeId="5145" r:id="rId12" name="B1LMP"/>
      </mc:Fallback>
    </mc:AlternateContent>
    <mc:AlternateContent xmlns:mc="http://schemas.openxmlformats.org/markup-compatibility/2006">
      <mc:Choice Requires="x14">
        <control shapeId="5434" r:id="rId14" name="B1MED">
          <controlPr locked="0" defaultSize="0" autoLine="0" r:id="rId15">
            <anchor moveWithCells="1">
              <from>
                <xdr:col>40</xdr:col>
                <xdr:colOff>558800</xdr:colOff>
                <xdr:row>57</xdr:row>
                <xdr:rowOff>19050</xdr:rowOff>
              </from>
              <to>
                <xdr:col>43</xdr:col>
                <xdr:colOff>222250</xdr:colOff>
                <xdr:row>58</xdr:row>
                <xdr:rowOff>63500</xdr:rowOff>
              </to>
            </anchor>
          </controlPr>
        </control>
      </mc:Choice>
      <mc:Fallback>
        <control shapeId="5144" r:id="rId14" name="B1MED"/>
      </mc:Fallback>
    </mc:AlternateContent>
    <mc:AlternateContent xmlns:mc="http://schemas.openxmlformats.org/markup-compatibility/2006">
      <mc:Choice Requires="x14">
        <control shapeId="5143" r:id="rId16" name="B1MEP">
          <controlPr locked="0" defaultSize="0" autoLine="0" r:id="rId17">
            <anchor moveWithCells="1">
              <from>
                <xdr:col>40</xdr:col>
                <xdr:colOff>558800</xdr:colOff>
                <xdr:row>58</xdr:row>
                <xdr:rowOff>88900</xdr:rowOff>
              </from>
              <to>
                <xdr:col>42</xdr:col>
                <xdr:colOff>450850</xdr:colOff>
                <xdr:row>59</xdr:row>
                <xdr:rowOff>133350</xdr:rowOff>
              </to>
            </anchor>
          </controlPr>
        </control>
      </mc:Choice>
      <mc:Fallback>
        <control shapeId="5143" r:id="rId16" name="B1MEP"/>
      </mc:Fallback>
    </mc:AlternateContent>
    <mc:AlternateContent xmlns:mc="http://schemas.openxmlformats.org/markup-compatibility/2006">
      <mc:Choice Requires="x14">
        <control shapeId="46" r:id="rId18" name="B2MED">
          <controlPr locked="0" defaultSize="0" autoLine="0" r:id="rId19">
            <anchor moveWithCells="1">
              <from>
                <xdr:col>41</xdr:col>
                <xdr:colOff>146050</xdr:colOff>
                <xdr:row>131</xdr:row>
                <xdr:rowOff>19050</xdr:rowOff>
              </from>
              <to>
                <xdr:col>43</xdr:col>
                <xdr:colOff>412750</xdr:colOff>
                <xdr:row>132</xdr:row>
                <xdr:rowOff>76200</xdr:rowOff>
              </to>
            </anchor>
          </controlPr>
        </control>
      </mc:Choice>
      <mc:Fallback>
        <control shapeId="5156" r:id="rId18" name="B2MED"/>
      </mc:Fallback>
    </mc:AlternateContent>
    <mc:AlternateContent xmlns:mc="http://schemas.openxmlformats.org/markup-compatibility/2006">
      <mc:Choice Requires="x14">
        <control shapeId="39" r:id="rId20" name="B2MEP">
          <controlPr locked="0" defaultSize="0" autoLine="0" r:id="rId21">
            <anchor moveWithCells="1">
              <from>
                <xdr:col>41</xdr:col>
                <xdr:colOff>146050</xdr:colOff>
                <xdr:row>132</xdr:row>
                <xdr:rowOff>82550</xdr:rowOff>
              </from>
              <to>
                <xdr:col>43</xdr:col>
                <xdr:colOff>69850</xdr:colOff>
                <xdr:row>133</xdr:row>
                <xdr:rowOff>114300</xdr:rowOff>
              </to>
            </anchor>
          </controlPr>
        </control>
      </mc:Choice>
      <mc:Fallback>
        <control shapeId="5157" r:id="rId20" name="B2MEP"/>
      </mc:Fallback>
    </mc:AlternateContent>
    <mc:AlternateContent xmlns:mc="http://schemas.openxmlformats.org/markup-compatibility/2006">
      <mc:Choice Requires="x14">
        <control shapeId="38" r:id="rId22" name="B2LMD">
          <controlPr locked="0" defaultSize="0" autoLine="0" r:id="rId23">
            <anchor moveWithCells="1">
              <from>
                <xdr:col>47</xdr:col>
                <xdr:colOff>88900</xdr:colOff>
                <xdr:row>131</xdr:row>
                <xdr:rowOff>19050</xdr:rowOff>
              </from>
              <to>
                <xdr:col>49</xdr:col>
                <xdr:colOff>254000</xdr:colOff>
                <xdr:row>132</xdr:row>
                <xdr:rowOff>76200</xdr:rowOff>
              </to>
            </anchor>
          </controlPr>
        </control>
      </mc:Choice>
      <mc:Fallback>
        <control shapeId="5158" r:id="rId22" name="B2LMD"/>
      </mc:Fallback>
    </mc:AlternateContent>
    <mc:AlternateContent xmlns:mc="http://schemas.openxmlformats.org/markup-compatibility/2006">
      <mc:Choice Requires="x14">
        <control shapeId="26" r:id="rId24" name="B2LMP">
          <controlPr locked="0" defaultSize="0" autoLine="0" r:id="rId25">
            <anchor moveWithCells="1">
              <from>
                <xdr:col>47</xdr:col>
                <xdr:colOff>76200</xdr:colOff>
                <xdr:row>132</xdr:row>
                <xdr:rowOff>63500</xdr:rowOff>
              </from>
              <to>
                <xdr:col>49</xdr:col>
                <xdr:colOff>6350</xdr:colOff>
                <xdr:row>133</xdr:row>
                <xdr:rowOff>101600</xdr:rowOff>
              </to>
            </anchor>
          </controlPr>
        </control>
      </mc:Choice>
      <mc:Fallback>
        <control shapeId="5159" r:id="rId24" name="B2LMP"/>
      </mc:Fallback>
    </mc:AlternateContent>
    <mc:AlternateContent xmlns:mc="http://schemas.openxmlformats.org/markup-compatibility/2006">
      <mc:Choice Requires="x14">
        <control shapeId="25" r:id="rId26" name="B2Q1">
          <controlPr defaultSize="0" autoLine="0" r:id="rId27">
            <anchor>
              <from>
                <xdr:col>53</xdr:col>
                <xdr:colOff>406400</xdr:colOff>
                <xdr:row>82</xdr:row>
                <xdr:rowOff>12700</xdr:rowOff>
              </from>
              <to>
                <xdr:col>55</xdr:col>
                <xdr:colOff>260350</xdr:colOff>
                <xdr:row>83</xdr:row>
                <xdr:rowOff>69850</xdr:rowOff>
              </to>
            </anchor>
          </controlPr>
        </control>
      </mc:Choice>
      <mc:Fallback>
        <control shapeId="5160" r:id="rId26" name="B2Q1"/>
      </mc:Fallback>
    </mc:AlternateContent>
    <mc:AlternateContent xmlns:mc="http://schemas.openxmlformats.org/markup-compatibility/2006">
      <mc:Choice Requires="x14">
        <control shapeId="24" r:id="rId28" name="B2Q2">
          <controlPr defaultSize="0" autoLine="0" r:id="rId29">
            <anchor moveWithCells="1">
              <from>
                <xdr:col>58</xdr:col>
                <xdr:colOff>57150</xdr:colOff>
                <xdr:row>82</xdr:row>
                <xdr:rowOff>6350</xdr:rowOff>
              </from>
              <to>
                <xdr:col>59</xdr:col>
                <xdr:colOff>482600</xdr:colOff>
                <xdr:row>83</xdr:row>
                <xdr:rowOff>82550</xdr:rowOff>
              </to>
            </anchor>
          </controlPr>
        </control>
      </mc:Choice>
      <mc:Fallback>
        <control shapeId="5161" r:id="rId28" name="B2Q2"/>
      </mc:Fallback>
    </mc:AlternateContent>
    <mc:AlternateContent xmlns:mc="http://schemas.openxmlformats.org/markup-compatibility/2006">
      <mc:Choice Requires="x14">
        <control shapeId="18" r:id="rId30" name="B2Q3">
          <controlPr defaultSize="0" autoLine="0" r:id="rId31">
            <anchor moveWithCells="1">
              <from>
                <xdr:col>62</xdr:col>
                <xdr:colOff>368300</xdr:colOff>
                <xdr:row>81</xdr:row>
                <xdr:rowOff>139700</xdr:rowOff>
              </from>
              <to>
                <xdr:col>64</xdr:col>
                <xdr:colOff>234950</xdr:colOff>
                <xdr:row>83</xdr:row>
                <xdr:rowOff>69850</xdr:rowOff>
              </to>
            </anchor>
          </controlPr>
        </control>
      </mc:Choice>
      <mc:Fallback>
        <control shapeId="5162" r:id="rId30" name="B2Q3"/>
      </mc:Fallback>
    </mc:AlternateContent>
    <mc:AlternateContent xmlns:mc="http://schemas.openxmlformats.org/markup-compatibility/2006">
      <mc:Choice Requires="x14">
        <control shapeId="7" r:id="rId32" name="B2Q4">
          <controlPr defaultSize="0" autoLine="0" r:id="rId29">
            <anchor moveWithCells="1">
              <from>
                <xdr:col>67</xdr:col>
                <xdr:colOff>19050</xdr:colOff>
                <xdr:row>81</xdr:row>
                <xdr:rowOff>139700</xdr:rowOff>
              </from>
              <to>
                <xdr:col>68</xdr:col>
                <xdr:colOff>444500</xdr:colOff>
                <xdr:row>83</xdr:row>
                <xdr:rowOff>69850</xdr:rowOff>
              </to>
            </anchor>
          </controlPr>
        </control>
      </mc:Choice>
      <mc:Fallback>
        <control shapeId="5163" r:id="rId32" name="B2Q4"/>
      </mc:Fallback>
    </mc:AlternateContent>
    <mc:AlternateContent xmlns:mc="http://schemas.openxmlformats.org/markup-compatibility/2006">
      <mc:Choice Requires="x14">
        <control shapeId="3" r:id="rId33" name="B2Q5">
          <controlPr defaultSize="0" autoLine="0" r:id="rId31">
            <anchor moveWithCells="1">
              <from>
                <xdr:col>71</xdr:col>
                <xdr:colOff>209550</xdr:colOff>
                <xdr:row>81</xdr:row>
                <xdr:rowOff>133350</xdr:rowOff>
              </from>
              <to>
                <xdr:col>73</xdr:col>
                <xdr:colOff>76200</xdr:colOff>
                <xdr:row>83</xdr:row>
                <xdr:rowOff>63500</xdr:rowOff>
              </to>
            </anchor>
          </controlPr>
        </control>
      </mc:Choice>
      <mc:Fallback>
        <control shapeId="5164" r:id="rId33" name="B2Q5"/>
      </mc:Fallback>
    </mc:AlternateContent>
    <mc:AlternateContent xmlns:mc="http://schemas.openxmlformats.org/markup-compatibility/2006">
      <mc:Choice Requires="x14">
        <control shapeId="5138" r:id="rId34" name="Option Button 18">
          <controlPr defaultSize="0" autoFill="0" autoLine="0" autoPict="0">
            <anchor moveWithCells="1">
              <from>
                <xdr:col>54</xdr:col>
                <xdr:colOff>127000</xdr:colOff>
                <xdr:row>5</xdr:row>
                <xdr:rowOff>139700</xdr:rowOff>
              </from>
              <to>
                <xdr:col>55</xdr:col>
                <xdr:colOff>412750</xdr:colOff>
                <xdr:row>6</xdr:row>
                <xdr:rowOff>139700</xdr:rowOff>
              </to>
            </anchor>
          </controlPr>
        </control>
      </mc:Choice>
    </mc:AlternateContent>
    <mc:AlternateContent xmlns:mc="http://schemas.openxmlformats.org/markup-compatibility/2006">
      <mc:Choice Requires="x14">
        <control shapeId="5139" r:id="rId35" name="Option Button 19">
          <controlPr defaultSize="0" autoFill="0" autoLine="0" autoPict="0">
            <anchor moveWithCells="1">
              <from>
                <xdr:col>58</xdr:col>
                <xdr:colOff>463550</xdr:colOff>
                <xdr:row>5</xdr:row>
                <xdr:rowOff>107950</xdr:rowOff>
              </from>
              <to>
                <xdr:col>60</xdr:col>
                <xdr:colOff>152400</xdr:colOff>
                <xdr:row>7</xdr:row>
                <xdr:rowOff>19050</xdr:rowOff>
              </to>
            </anchor>
          </controlPr>
        </control>
      </mc:Choice>
    </mc:AlternateContent>
    <mc:AlternateContent xmlns:mc="http://schemas.openxmlformats.org/markup-compatibility/2006">
      <mc:Choice Requires="x14">
        <control shapeId="5140" r:id="rId36" name="Option Button 20">
          <controlPr defaultSize="0" autoFill="0" autoLine="0" autoPict="0">
            <anchor moveWithCells="1">
              <from>
                <xdr:col>63</xdr:col>
                <xdr:colOff>254000</xdr:colOff>
                <xdr:row>5</xdr:row>
                <xdr:rowOff>88900</xdr:rowOff>
              </from>
              <to>
                <xdr:col>64</xdr:col>
                <xdr:colOff>495300</xdr:colOff>
                <xdr:row>7</xdr:row>
                <xdr:rowOff>19050</xdr:rowOff>
              </to>
            </anchor>
          </controlPr>
        </control>
      </mc:Choice>
    </mc:AlternateContent>
    <mc:AlternateContent xmlns:mc="http://schemas.openxmlformats.org/markup-compatibility/2006">
      <mc:Choice Requires="x14">
        <control shapeId="5141" r:id="rId37" name="Option Button 21">
          <controlPr defaultSize="0" autoFill="0" autoLine="0" autoPict="0">
            <anchor moveWithCells="1">
              <from>
                <xdr:col>68</xdr:col>
                <xdr:colOff>0</xdr:colOff>
                <xdr:row>5</xdr:row>
                <xdr:rowOff>88900</xdr:rowOff>
              </from>
              <to>
                <xdr:col>69</xdr:col>
                <xdr:colOff>234950</xdr:colOff>
                <xdr:row>6</xdr:row>
                <xdr:rowOff>139700</xdr:rowOff>
              </to>
            </anchor>
          </controlPr>
        </control>
      </mc:Choice>
    </mc:AlternateContent>
    <mc:AlternateContent xmlns:mc="http://schemas.openxmlformats.org/markup-compatibility/2006">
      <mc:Choice Requires="x14">
        <control shapeId="40" r:id="rId38" name="Option Button 22">
          <controlPr defaultSize="0" autoFill="0" autoLine="0" autoPict="0">
            <anchor moveWithCells="1">
              <from>
                <xdr:col>72</xdr:col>
                <xdr:colOff>342900</xdr:colOff>
                <xdr:row>5</xdr:row>
                <xdr:rowOff>107950</xdr:rowOff>
              </from>
              <to>
                <xdr:col>73</xdr:col>
                <xdr:colOff>469900</xdr:colOff>
                <xdr:row>6</xdr:row>
                <xdr:rowOff>139700</xdr:rowOff>
              </to>
            </anchor>
          </controlPr>
        </control>
      </mc:Choice>
    </mc:AlternateContent>
  </controls>
  <extLst>
    <ext xmlns:x14="http://schemas.microsoft.com/office/spreadsheetml/2009/9/main" uri="{A8765BA9-456A-4dab-B4F3-ACF838C121DE}">
      <x14:slicerList>
        <x14:slicer r:id="rId39"/>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DB709-3A0C-4E36-ABFB-2222E91AA4B0}">
  <sheetPr codeName="Sheet17">
    <tabColor theme="4"/>
  </sheetPr>
  <dimension ref="A1:G1"/>
  <sheetViews>
    <sheetView showGridLines="0" showRowColHeaders="0" workbookViewId="0">
      <selection activeCell="D10" sqref="D10"/>
    </sheetView>
  </sheetViews>
  <sheetFormatPr defaultRowHeight="11.5" x14ac:dyDescent="0.25"/>
  <cols>
    <col min="1" max="1" width="9.69921875" style="285" customWidth="1"/>
    <col min="2" max="2" width="10.09765625" style="190" bestFit="1" customWidth="1"/>
    <col min="3" max="3" width="9.5" style="190" customWidth="1"/>
    <col min="4" max="4" width="9.8984375" style="190" customWidth="1"/>
    <col min="5" max="7" width="8.796875" style="190"/>
  </cols>
  <sheetData/>
  <sheetProtection algorithmName="SHA-512" hashValue="cPv0eK4mXjJgpPvkfOOhECefnRi0a36X+5CoQ09E7KgX6V0KRijGzCQeQ47OSY1OhQkQ6+NKJWm67Lmf3tfm+Q==" saltValue="mM+vLpPeH/u1TCkcYcVoxg==" spinCount="100000" sheet="1" objects="1" scenarios="1"/>
  <protectedRanges>
    <protectedRange sqref="A1:G1048576" name="Range1"/>
  </protectedRange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587D8-EC6F-477E-88E3-7EC503699F47}">
  <sheetPr codeName="Sheet18">
    <tabColor theme="5" tint="0.59999389629810485"/>
  </sheetPr>
  <dimension ref="A1:I302"/>
  <sheetViews>
    <sheetView showGridLines="0" showRowColHeaders="0" workbookViewId="0">
      <selection activeCell="M11" sqref="M11"/>
    </sheetView>
  </sheetViews>
  <sheetFormatPr defaultRowHeight="11.5" x14ac:dyDescent="0.25"/>
  <cols>
    <col min="1" max="1" width="10.8984375" bestFit="1" customWidth="1"/>
    <col min="2" max="2" width="9.59765625" bestFit="1" customWidth="1"/>
    <col min="3" max="3" width="10.09765625" bestFit="1" customWidth="1"/>
    <col min="4" max="4" width="10.8984375" bestFit="1" customWidth="1"/>
    <col min="5" max="5" width="18.09765625" bestFit="1" customWidth="1"/>
    <col min="6" max="6" width="11.3984375" bestFit="1" customWidth="1"/>
    <col min="7" max="7" width="12.296875" bestFit="1" customWidth="1"/>
    <col min="8" max="8" width="19.09765625" bestFit="1" customWidth="1"/>
    <col min="9" max="9" width="17" bestFit="1" customWidth="1"/>
    <col min="18" max="18" width="13.3984375" customWidth="1"/>
  </cols>
  <sheetData>
    <row r="1" spans="1:9" x14ac:dyDescent="0.25">
      <c r="A1" s="72" t="s">
        <v>8</v>
      </c>
      <c r="B1" s="73" t="s">
        <v>9</v>
      </c>
      <c r="C1" s="67" t="s">
        <v>10</v>
      </c>
      <c r="D1" s="67" t="s">
        <v>11</v>
      </c>
      <c r="E1" s="67" t="s">
        <v>12</v>
      </c>
      <c r="F1" s="67" t="s">
        <v>73</v>
      </c>
      <c r="G1" s="67" t="s">
        <v>15</v>
      </c>
      <c r="H1" s="67" t="s">
        <v>78</v>
      </c>
      <c r="I1" s="67" t="s">
        <v>173</v>
      </c>
    </row>
    <row r="2" spans="1:9" x14ac:dyDescent="0.25">
      <c r="A2">
        <v>2025</v>
      </c>
      <c r="B2" s="279">
        <v>45658</v>
      </c>
      <c r="C2" t="s">
        <v>13</v>
      </c>
      <c r="D2" s="71" t="s">
        <v>1332</v>
      </c>
      <c r="E2" t="s">
        <v>1415</v>
      </c>
      <c r="F2" s="5">
        <v>20250101</v>
      </c>
      <c r="G2">
        <v>1E-4</v>
      </c>
      <c r="H2">
        <v>1E-3</v>
      </c>
      <c r="I2">
        <v>1E-3</v>
      </c>
    </row>
    <row r="3" spans="1:9" x14ac:dyDescent="0.25">
      <c r="A3">
        <v>2025</v>
      </c>
      <c r="B3" s="279">
        <v>45658</v>
      </c>
      <c r="C3" t="s">
        <v>13</v>
      </c>
      <c r="D3" s="71" t="s">
        <v>1331</v>
      </c>
      <c r="E3" t="s">
        <v>659</v>
      </c>
      <c r="F3" s="5">
        <v>20250102</v>
      </c>
      <c r="G3">
        <v>1E-4</v>
      </c>
      <c r="H3">
        <v>1E-3</v>
      </c>
      <c r="I3">
        <v>1E-3</v>
      </c>
    </row>
    <row r="4" spans="1:9" x14ac:dyDescent="0.25">
      <c r="A4">
        <v>2025</v>
      </c>
      <c r="B4" s="279">
        <v>45658</v>
      </c>
      <c r="C4" t="s">
        <v>13</v>
      </c>
      <c r="D4" s="71" t="s">
        <v>1333</v>
      </c>
      <c r="E4" t="s">
        <v>1416</v>
      </c>
      <c r="F4" s="5">
        <v>20250103</v>
      </c>
      <c r="G4">
        <v>1E-4</v>
      </c>
      <c r="H4">
        <v>1E-3</v>
      </c>
      <c r="I4">
        <v>1E-3</v>
      </c>
    </row>
    <row r="5" spans="1:9" x14ac:dyDescent="0.25">
      <c r="A5">
        <v>2025</v>
      </c>
      <c r="B5" s="279">
        <v>45658</v>
      </c>
      <c r="C5" t="s">
        <v>14</v>
      </c>
      <c r="D5" s="71" t="s">
        <v>1401</v>
      </c>
      <c r="E5" t="s">
        <v>1408</v>
      </c>
      <c r="F5" s="5">
        <v>20250104</v>
      </c>
      <c r="G5">
        <v>1E-4</v>
      </c>
      <c r="H5">
        <v>1E-3</v>
      </c>
      <c r="I5">
        <v>1E-3</v>
      </c>
    </row>
    <row r="6" spans="1:9" x14ac:dyDescent="0.25">
      <c r="A6">
        <v>2025</v>
      </c>
      <c r="B6" s="279">
        <v>45658</v>
      </c>
      <c r="C6" t="s">
        <v>14</v>
      </c>
      <c r="D6" s="71" t="s">
        <v>1402</v>
      </c>
      <c r="E6" t="s">
        <v>1409</v>
      </c>
      <c r="F6" s="5">
        <v>20250105</v>
      </c>
      <c r="G6">
        <v>1E-4</v>
      </c>
      <c r="H6">
        <v>1E-3</v>
      </c>
      <c r="I6">
        <v>1E-3</v>
      </c>
    </row>
    <row r="7" spans="1:9" x14ac:dyDescent="0.25">
      <c r="A7">
        <v>2025</v>
      </c>
      <c r="B7" s="279">
        <v>45658</v>
      </c>
      <c r="C7" t="s">
        <v>14</v>
      </c>
      <c r="D7" s="71" t="s">
        <v>1403</v>
      </c>
      <c r="E7" t="s">
        <v>1410</v>
      </c>
      <c r="F7" s="5">
        <v>20250106</v>
      </c>
      <c r="G7">
        <v>1E-4</v>
      </c>
      <c r="H7">
        <v>1E-3</v>
      </c>
      <c r="I7">
        <v>1E-3</v>
      </c>
    </row>
    <row r="8" spans="1:9" x14ac:dyDescent="0.25">
      <c r="A8">
        <v>2025</v>
      </c>
      <c r="B8" s="279">
        <v>45658</v>
      </c>
      <c r="C8" t="s">
        <v>14</v>
      </c>
      <c r="D8" s="71" t="s">
        <v>1404</v>
      </c>
      <c r="E8" t="s">
        <v>1411</v>
      </c>
      <c r="F8" s="5">
        <v>20250107</v>
      </c>
      <c r="G8">
        <v>1E-4</v>
      </c>
      <c r="H8">
        <v>1E-3</v>
      </c>
      <c r="I8">
        <v>1E-3</v>
      </c>
    </row>
    <row r="9" spans="1:9" x14ac:dyDescent="0.25">
      <c r="A9">
        <v>2025</v>
      </c>
      <c r="B9" s="279">
        <v>45658</v>
      </c>
      <c r="C9" t="s">
        <v>14</v>
      </c>
      <c r="D9" s="71" t="s">
        <v>1405</v>
      </c>
      <c r="E9" t="s">
        <v>1412</v>
      </c>
      <c r="F9" s="5">
        <v>20250108</v>
      </c>
      <c r="G9">
        <v>1E-4</v>
      </c>
      <c r="H9">
        <v>1E-3</v>
      </c>
      <c r="I9">
        <v>1E-3</v>
      </c>
    </row>
    <row r="10" spans="1:9" x14ac:dyDescent="0.25">
      <c r="A10">
        <v>2025</v>
      </c>
      <c r="B10" s="279">
        <v>45658</v>
      </c>
      <c r="C10" t="s">
        <v>14</v>
      </c>
      <c r="D10" s="71" t="s">
        <v>1406</v>
      </c>
      <c r="E10" t="s">
        <v>1414</v>
      </c>
      <c r="F10" s="5">
        <v>20250109</v>
      </c>
      <c r="G10">
        <v>1E-4</v>
      </c>
      <c r="H10">
        <v>1E-3</v>
      </c>
      <c r="I10">
        <v>1E-3</v>
      </c>
    </row>
    <row r="11" spans="1:9" x14ac:dyDescent="0.25">
      <c r="A11">
        <v>2025</v>
      </c>
      <c r="B11" s="279">
        <v>45658</v>
      </c>
      <c r="C11" t="s">
        <v>14</v>
      </c>
      <c r="D11" s="71" t="s">
        <v>1407</v>
      </c>
      <c r="E11" t="s">
        <v>1413</v>
      </c>
      <c r="F11" s="5">
        <v>20250110</v>
      </c>
      <c r="G11">
        <v>1E-4</v>
      </c>
      <c r="H11">
        <v>1E-3</v>
      </c>
      <c r="I11">
        <v>1E-3</v>
      </c>
    </row>
    <row r="12" spans="1:9" x14ac:dyDescent="0.25">
      <c r="A12">
        <v>2025</v>
      </c>
      <c r="B12" s="279">
        <v>45689</v>
      </c>
      <c r="C12" t="s">
        <v>13</v>
      </c>
      <c r="D12" s="71" t="s">
        <v>1332</v>
      </c>
      <c r="E12" t="s">
        <v>1415</v>
      </c>
      <c r="F12" s="281">
        <v>20250201</v>
      </c>
      <c r="G12">
        <v>1E-4</v>
      </c>
      <c r="H12">
        <v>1E-3</v>
      </c>
      <c r="I12">
        <v>1E-3</v>
      </c>
    </row>
    <row r="13" spans="1:9" x14ac:dyDescent="0.25">
      <c r="A13">
        <v>2025</v>
      </c>
      <c r="B13" s="279">
        <v>45689</v>
      </c>
      <c r="C13" t="s">
        <v>13</v>
      </c>
      <c r="D13" s="71" t="s">
        <v>1331</v>
      </c>
      <c r="E13" t="s">
        <v>659</v>
      </c>
      <c r="F13" s="5">
        <v>20250202</v>
      </c>
      <c r="G13">
        <v>1E-4</v>
      </c>
      <c r="H13">
        <v>1E-3</v>
      </c>
      <c r="I13">
        <v>1E-3</v>
      </c>
    </row>
    <row r="14" spans="1:9" x14ac:dyDescent="0.25">
      <c r="A14">
        <v>2025</v>
      </c>
      <c r="B14" s="279">
        <v>45689</v>
      </c>
      <c r="C14" t="s">
        <v>13</v>
      </c>
      <c r="D14" s="71" t="s">
        <v>1333</v>
      </c>
      <c r="E14" t="s">
        <v>1416</v>
      </c>
      <c r="F14" s="5">
        <v>20250203</v>
      </c>
      <c r="G14">
        <v>1E-4</v>
      </c>
      <c r="H14">
        <v>1E-3</v>
      </c>
      <c r="I14">
        <v>1E-3</v>
      </c>
    </row>
    <row r="15" spans="1:9" x14ac:dyDescent="0.25">
      <c r="A15">
        <v>2025</v>
      </c>
      <c r="B15" s="279">
        <v>45689</v>
      </c>
      <c r="C15" t="s">
        <v>14</v>
      </c>
      <c r="D15" s="71" t="s">
        <v>1401</v>
      </c>
      <c r="E15" t="s">
        <v>1408</v>
      </c>
      <c r="F15" s="5">
        <v>20250204</v>
      </c>
      <c r="G15">
        <v>1E-4</v>
      </c>
      <c r="H15">
        <v>1E-3</v>
      </c>
      <c r="I15">
        <v>1E-3</v>
      </c>
    </row>
    <row r="16" spans="1:9" x14ac:dyDescent="0.25">
      <c r="A16">
        <v>2025</v>
      </c>
      <c r="B16" s="279">
        <v>45689</v>
      </c>
      <c r="C16" t="s">
        <v>14</v>
      </c>
      <c r="D16" s="71" t="s">
        <v>1402</v>
      </c>
      <c r="E16" t="s">
        <v>1409</v>
      </c>
      <c r="F16" s="5">
        <v>20250205</v>
      </c>
      <c r="G16">
        <v>1E-4</v>
      </c>
      <c r="H16">
        <v>1E-3</v>
      </c>
      <c r="I16">
        <v>1E-3</v>
      </c>
    </row>
    <row r="17" spans="1:9" x14ac:dyDescent="0.25">
      <c r="A17">
        <v>2025</v>
      </c>
      <c r="B17" s="279">
        <v>45689</v>
      </c>
      <c r="C17" t="s">
        <v>14</v>
      </c>
      <c r="D17" s="71" t="s">
        <v>1403</v>
      </c>
      <c r="E17" t="s">
        <v>1410</v>
      </c>
      <c r="F17" s="5">
        <v>20250206</v>
      </c>
      <c r="G17">
        <v>1E-4</v>
      </c>
      <c r="H17">
        <v>1E-3</v>
      </c>
      <c r="I17">
        <v>1E-3</v>
      </c>
    </row>
    <row r="18" spans="1:9" x14ac:dyDescent="0.25">
      <c r="A18">
        <v>2025</v>
      </c>
      <c r="B18" s="279">
        <v>45689</v>
      </c>
      <c r="C18" t="s">
        <v>14</v>
      </c>
      <c r="D18" s="71" t="s">
        <v>1404</v>
      </c>
      <c r="E18" t="s">
        <v>1411</v>
      </c>
      <c r="F18" s="5">
        <v>20250207</v>
      </c>
      <c r="G18">
        <v>1E-4</v>
      </c>
      <c r="H18">
        <v>1E-3</v>
      </c>
      <c r="I18">
        <v>1E-3</v>
      </c>
    </row>
    <row r="19" spans="1:9" x14ac:dyDescent="0.25">
      <c r="A19">
        <v>2025</v>
      </c>
      <c r="B19" s="279">
        <v>45689</v>
      </c>
      <c r="C19" t="s">
        <v>14</v>
      </c>
      <c r="D19" s="71" t="s">
        <v>1405</v>
      </c>
      <c r="E19" t="s">
        <v>1412</v>
      </c>
      <c r="F19" s="5">
        <v>20250208</v>
      </c>
      <c r="G19">
        <v>1E-4</v>
      </c>
      <c r="H19">
        <v>1E-3</v>
      </c>
      <c r="I19">
        <v>1E-3</v>
      </c>
    </row>
    <row r="20" spans="1:9" x14ac:dyDescent="0.25">
      <c r="A20">
        <v>2025</v>
      </c>
      <c r="B20" s="279">
        <v>45689</v>
      </c>
      <c r="C20" t="s">
        <v>14</v>
      </c>
      <c r="D20" s="71" t="s">
        <v>1406</v>
      </c>
      <c r="E20" t="s">
        <v>1414</v>
      </c>
      <c r="F20" s="5">
        <v>20250209</v>
      </c>
      <c r="G20">
        <v>1E-4</v>
      </c>
      <c r="H20">
        <v>1E-3</v>
      </c>
      <c r="I20">
        <v>1E-3</v>
      </c>
    </row>
    <row r="21" spans="1:9" x14ac:dyDescent="0.25">
      <c r="A21">
        <v>2025</v>
      </c>
      <c r="B21" s="279">
        <v>45689</v>
      </c>
      <c r="C21" t="s">
        <v>14</v>
      </c>
      <c r="D21" s="71" t="s">
        <v>1407</v>
      </c>
      <c r="E21" t="s">
        <v>1413</v>
      </c>
      <c r="F21" s="5">
        <v>20250210</v>
      </c>
      <c r="G21">
        <v>1E-4</v>
      </c>
      <c r="H21">
        <v>1E-3</v>
      </c>
      <c r="I21">
        <v>1E-3</v>
      </c>
    </row>
    <row r="22" spans="1:9" x14ac:dyDescent="0.25">
      <c r="A22">
        <v>2026</v>
      </c>
      <c r="B22" s="279">
        <v>45658</v>
      </c>
      <c r="C22" t="s">
        <v>13</v>
      </c>
      <c r="D22" s="71" t="s">
        <v>1332</v>
      </c>
      <c r="E22" t="s">
        <v>1415</v>
      </c>
      <c r="F22" s="5">
        <v>20260101</v>
      </c>
      <c r="G22">
        <v>1E-4</v>
      </c>
      <c r="H22">
        <v>1E-3</v>
      </c>
      <c r="I22">
        <v>1E-3</v>
      </c>
    </row>
    <row r="23" spans="1:9" x14ac:dyDescent="0.25">
      <c r="A23">
        <v>2026</v>
      </c>
      <c r="B23" s="279">
        <v>45658</v>
      </c>
      <c r="C23" t="s">
        <v>13</v>
      </c>
      <c r="D23" s="71" t="s">
        <v>1331</v>
      </c>
      <c r="E23" t="s">
        <v>659</v>
      </c>
      <c r="F23" s="5">
        <v>20260102</v>
      </c>
      <c r="G23">
        <v>1E-4</v>
      </c>
      <c r="H23">
        <v>1E-3</v>
      </c>
      <c r="I23">
        <v>1E-3</v>
      </c>
    </row>
    <row r="24" spans="1:9" x14ac:dyDescent="0.25">
      <c r="A24">
        <v>2026</v>
      </c>
      <c r="B24" s="279">
        <v>45658</v>
      </c>
      <c r="C24" t="s">
        <v>13</v>
      </c>
      <c r="D24" s="71" t="s">
        <v>1333</v>
      </c>
      <c r="E24" t="s">
        <v>1416</v>
      </c>
      <c r="F24" s="5">
        <v>20260103</v>
      </c>
      <c r="G24">
        <v>1E-4</v>
      </c>
      <c r="H24">
        <v>1E-3</v>
      </c>
      <c r="I24">
        <v>1E-3</v>
      </c>
    </row>
    <row r="25" spans="1:9" x14ac:dyDescent="0.25">
      <c r="A25">
        <v>2026</v>
      </c>
      <c r="B25" s="279">
        <v>45658</v>
      </c>
      <c r="C25" t="s">
        <v>14</v>
      </c>
      <c r="D25" s="71" t="s">
        <v>1401</v>
      </c>
      <c r="E25" t="s">
        <v>1408</v>
      </c>
      <c r="F25" s="5">
        <v>20260104</v>
      </c>
      <c r="G25">
        <v>1E-4</v>
      </c>
      <c r="H25">
        <v>1E-3</v>
      </c>
      <c r="I25">
        <v>1E-3</v>
      </c>
    </row>
    <row r="26" spans="1:9" x14ac:dyDescent="0.25">
      <c r="A26">
        <v>2026</v>
      </c>
      <c r="B26" s="279">
        <v>45658</v>
      </c>
      <c r="C26" t="s">
        <v>14</v>
      </c>
      <c r="D26" s="71" t="s">
        <v>1402</v>
      </c>
      <c r="E26" t="s">
        <v>1409</v>
      </c>
      <c r="F26" s="5">
        <v>20260105</v>
      </c>
      <c r="G26">
        <v>1E-4</v>
      </c>
      <c r="H26">
        <v>1E-3</v>
      </c>
      <c r="I26">
        <v>1E-3</v>
      </c>
    </row>
    <row r="27" spans="1:9" x14ac:dyDescent="0.25">
      <c r="A27">
        <v>2026</v>
      </c>
      <c r="B27" s="279">
        <v>45658</v>
      </c>
      <c r="C27" t="s">
        <v>14</v>
      </c>
      <c r="D27" s="71" t="s">
        <v>1403</v>
      </c>
      <c r="E27" t="s">
        <v>1410</v>
      </c>
      <c r="F27" s="5">
        <v>20260106</v>
      </c>
      <c r="G27">
        <v>1E-4</v>
      </c>
      <c r="H27">
        <v>1E-3</v>
      </c>
      <c r="I27">
        <v>1E-3</v>
      </c>
    </row>
    <row r="28" spans="1:9" x14ac:dyDescent="0.25">
      <c r="A28">
        <v>2026</v>
      </c>
      <c r="B28" s="279">
        <v>45658</v>
      </c>
      <c r="C28" t="s">
        <v>14</v>
      </c>
      <c r="D28" s="71" t="s">
        <v>1404</v>
      </c>
      <c r="E28" t="s">
        <v>1411</v>
      </c>
      <c r="F28" s="5">
        <v>20260107</v>
      </c>
      <c r="G28">
        <v>1E-4</v>
      </c>
      <c r="H28">
        <v>1E-3</v>
      </c>
      <c r="I28">
        <v>1E-3</v>
      </c>
    </row>
    <row r="29" spans="1:9" x14ac:dyDescent="0.25">
      <c r="A29">
        <v>2026</v>
      </c>
      <c r="B29" s="279">
        <v>45658</v>
      </c>
      <c r="C29" t="s">
        <v>14</v>
      </c>
      <c r="D29" s="71" t="s">
        <v>1405</v>
      </c>
      <c r="E29" t="s">
        <v>1412</v>
      </c>
      <c r="F29" s="5">
        <v>20260108</v>
      </c>
      <c r="G29">
        <v>1E-4</v>
      </c>
      <c r="H29">
        <v>1E-3</v>
      </c>
      <c r="I29">
        <v>1E-3</v>
      </c>
    </row>
    <row r="30" spans="1:9" x14ac:dyDescent="0.25">
      <c r="A30">
        <v>2026</v>
      </c>
      <c r="B30" s="279">
        <v>45658</v>
      </c>
      <c r="C30" t="s">
        <v>14</v>
      </c>
      <c r="D30" s="71" t="s">
        <v>1406</v>
      </c>
      <c r="E30" t="s">
        <v>1414</v>
      </c>
      <c r="F30" s="5">
        <v>20260109</v>
      </c>
      <c r="G30">
        <v>1E-4</v>
      </c>
      <c r="H30">
        <v>1E-3</v>
      </c>
      <c r="I30">
        <v>1E-3</v>
      </c>
    </row>
    <row r="31" spans="1:9" x14ac:dyDescent="0.25">
      <c r="A31">
        <v>2026</v>
      </c>
      <c r="B31" s="279">
        <v>45658</v>
      </c>
      <c r="C31" t="s">
        <v>14</v>
      </c>
      <c r="D31" s="71" t="s">
        <v>1407</v>
      </c>
      <c r="E31" t="s">
        <v>1413</v>
      </c>
      <c r="F31" s="5">
        <v>20260110</v>
      </c>
      <c r="G31">
        <v>1E-4</v>
      </c>
      <c r="H31">
        <v>1E-3</v>
      </c>
      <c r="I31">
        <v>1E-3</v>
      </c>
    </row>
    <row r="32" spans="1:9" x14ac:dyDescent="0.25">
      <c r="A32">
        <v>2026</v>
      </c>
      <c r="B32" s="279">
        <v>45689</v>
      </c>
      <c r="C32" t="s">
        <v>13</v>
      </c>
      <c r="D32" s="71" t="s">
        <v>1332</v>
      </c>
      <c r="E32" t="s">
        <v>1415</v>
      </c>
      <c r="F32" s="281">
        <v>20260201</v>
      </c>
      <c r="G32">
        <v>1E-4</v>
      </c>
      <c r="H32">
        <v>1E-3</v>
      </c>
      <c r="I32">
        <v>1E-3</v>
      </c>
    </row>
    <row r="33" spans="1:9" x14ac:dyDescent="0.25">
      <c r="A33">
        <v>2026</v>
      </c>
      <c r="B33" s="279">
        <v>45689</v>
      </c>
      <c r="C33" t="s">
        <v>13</v>
      </c>
      <c r="D33" s="71" t="s">
        <v>1331</v>
      </c>
      <c r="E33" t="s">
        <v>659</v>
      </c>
      <c r="F33" s="5">
        <v>20260202</v>
      </c>
      <c r="G33">
        <v>1E-4</v>
      </c>
      <c r="H33">
        <v>1E-3</v>
      </c>
      <c r="I33">
        <v>1E-3</v>
      </c>
    </row>
    <row r="34" spans="1:9" x14ac:dyDescent="0.25">
      <c r="A34">
        <v>2026</v>
      </c>
      <c r="B34" s="279">
        <v>45689</v>
      </c>
      <c r="C34" t="s">
        <v>13</v>
      </c>
      <c r="D34" s="71" t="s">
        <v>1333</v>
      </c>
      <c r="E34" t="s">
        <v>1416</v>
      </c>
      <c r="F34" s="5">
        <v>20260203</v>
      </c>
      <c r="G34">
        <v>1E-4</v>
      </c>
      <c r="H34">
        <v>1E-3</v>
      </c>
      <c r="I34">
        <v>1E-3</v>
      </c>
    </row>
    <row r="35" spans="1:9" x14ac:dyDescent="0.25">
      <c r="A35">
        <v>2026</v>
      </c>
      <c r="B35" s="279">
        <v>45689</v>
      </c>
      <c r="C35" t="s">
        <v>14</v>
      </c>
      <c r="D35" s="71" t="s">
        <v>1401</v>
      </c>
      <c r="E35" t="s">
        <v>1408</v>
      </c>
      <c r="F35" s="5">
        <v>20260204</v>
      </c>
      <c r="G35">
        <v>1E-4</v>
      </c>
      <c r="H35">
        <v>1E-3</v>
      </c>
      <c r="I35">
        <v>1E-3</v>
      </c>
    </row>
    <row r="36" spans="1:9" x14ac:dyDescent="0.25">
      <c r="A36">
        <v>2026</v>
      </c>
      <c r="B36" s="279">
        <v>45689</v>
      </c>
      <c r="C36" t="s">
        <v>14</v>
      </c>
      <c r="D36" s="71" t="s">
        <v>1402</v>
      </c>
      <c r="E36" t="s">
        <v>1409</v>
      </c>
      <c r="F36" s="5">
        <v>20260205</v>
      </c>
      <c r="G36">
        <v>1E-4</v>
      </c>
      <c r="H36">
        <v>1E-3</v>
      </c>
      <c r="I36">
        <v>1E-3</v>
      </c>
    </row>
    <row r="37" spans="1:9" x14ac:dyDescent="0.25">
      <c r="A37">
        <v>2026</v>
      </c>
      <c r="B37" s="279">
        <v>45689</v>
      </c>
      <c r="C37" t="s">
        <v>14</v>
      </c>
      <c r="D37" s="71" t="s">
        <v>1403</v>
      </c>
      <c r="E37" t="s">
        <v>1410</v>
      </c>
      <c r="F37" s="5">
        <v>20260206</v>
      </c>
      <c r="G37">
        <v>1E-4</v>
      </c>
      <c r="H37">
        <v>1E-3</v>
      </c>
      <c r="I37">
        <v>1E-3</v>
      </c>
    </row>
    <row r="38" spans="1:9" x14ac:dyDescent="0.25">
      <c r="A38">
        <v>2026</v>
      </c>
      <c r="B38" s="279">
        <v>45689</v>
      </c>
      <c r="C38" t="s">
        <v>14</v>
      </c>
      <c r="D38" s="71" t="s">
        <v>1404</v>
      </c>
      <c r="E38" t="s">
        <v>1411</v>
      </c>
      <c r="F38" s="5">
        <v>20260207</v>
      </c>
      <c r="G38">
        <v>1E-4</v>
      </c>
      <c r="H38">
        <v>1E-3</v>
      </c>
      <c r="I38">
        <v>1E-3</v>
      </c>
    </row>
    <row r="39" spans="1:9" x14ac:dyDescent="0.25">
      <c r="A39">
        <v>2026</v>
      </c>
      <c r="B39" s="279">
        <v>45689</v>
      </c>
      <c r="C39" t="s">
        <v>14</v>
      </c>
      <c r="D39" s="71" t="s">
        <v>1405</v>
      </c>
      <c r="E39" t="s">
        <v>1412</v>
      </c>
      <c r="F39" s="5">
        <v>20260208</v>
      </c>
      <c r="G39">
        <v>1E-4</v>
      </c>
      <c r="H39">
        <v>1E-3</v>
      </c>
      <c r="I39">
        <v>1E-3</v>
      </c>
    </row>
    <row r="40" spans="1:9" x14ac:dyDescent="0.25">
      <c r="A40">
        <v>2026</v>
      </c>
      <c r="B40" s="279">
        <v>45689</v>
      </c>
      <c r="C40" t="s">
        <v>14</v>
      </c>
      <c r="D40" s="71" t="s">
        <v>1406</v>
      </c>
      <c r="E40" t="s">
        <v>1414</v>
      </c>
      <c r="F40" s="5">
        <v>20260209</v>
      </c>
      <c r="G40">
        <v>1E-4</v>
      </c>
      <c r="H40">
        <v>1E-3</v>
      </c>
      <c r="I40">
        <v>1E-3</v>
      </c>
    </row>
    <row r="41" spans="1:9" x14ac:dyDescent="0.25">
      <c r="A41">
        <v>2026</v>
      </c>
      <c r="B41" s="279">
        <v>45689</v>
      </c>
      <c r="C41" t="s">
        <v>14</v>
      </c>
      <c r="D41" s="71" t="s">
        <v>1407</v>
      </c>
      <c r="E41" t="s">
        <v>1413</v>
      </c>
      <c r="F41" s="5">
        <v>20260210</v>
      </c>
      <c r="G41">
        <v>1E-4</v>
      </c>
      <c r="H41">
        <v>1E-3</v>
      </c>
      <c r="I41">
        <v>1E-3</v>
      </c>
    </row>
    <row r="42" spans="1:9" x14ac:dyDescent="0.25">
      <c r="B42" s="279"/>
      <c r="D42" s="71"/>
    </row>
    <row r="43" spans="1:9" x14ac:dyDescent="0.25">
      <c r="B43" s="279"/>
      <c r="D43" s="71"/>
    </row>
    <row r="44" spans="1:9" x14ac:dyDescent="0.25">
      <c r="B44" s="279"/>
      <c r="D44" s="71"/>
    </row>
    <row r="45" spans="1:9" x14ac:dyDescent="0.25">
      <c r="B45" s="279"/>
      <c r="D45" s="71"/>
    </row>
    <row r="46" spans="1:9" x14ac:dyDescent="0.25">
      <c r="B46" s="279"/>
      <c r="D46" s="71"/>
    </row>
    <row r="47" spans="1:9" x14ac:dyDescent="0.25">
      <c r="B47" s="279"/>
      <c r="D47" s="71"/>
    </row>
    <row r="48" spans="1:9" x14ac:dyDescent="0.25">
      <c r="B48" s="279"/>
      <c r="D48" s="71"/>
    </row>
    <row r="49" spans="2:9" x14ac:dyDescent="0.25">
      <c r="B49" s="279"/>
      <c r="D49" s="71"/>
    </row>
    <row r="50" spans="2:9" x14ac:dyDescent="0.25">
      <c r="B50" s="279"/>
      <c r="D50" s="71"/>
    </row>
    <row r="51" spans="2:9" x14ac:dyDescent="0.25">
      <c r="B51" s="279"/>
      <c r="D51" s="71"/>
    </row>
    <row r="52" spans="2:9" x14ac:dyDescent="0.25">
      <c r="B52" s="279"/>
      <c r="D52" s="71"/>
      <c r="I52" s="20"/>
    </row>
    <row r="53" spans="2:9" x14ac:dyDescent="0.25">
      <c r="B53" s="279"/>
      <c r="D53" s="71"/>
      <c r="I53" s="20"/>
    </row>
    <row r="54" spans="2:9" x14ac:dyDescent="0.25">
      <c r="B54" s="279"/>
      <c r="D54" s="71"/>
      <c r="I54" s="20"/>
    </row>
    <row r="55" spans="2:9" x14ac:dyDescent="0.25">
      <c r="B55" s="279"/>
      <c r="D55" s="71"/>
      <c r="I55" s="20"/>
    </row>
    <row r="56" spans="2:9" x14ac:dyDescent="0.25">
      <c r="B56" s="279"/>
      <c r="D56" s="71"/>
      <c r="I56" s="20"/>
    </row>
    <row r="57" spans="2:9" x14ac:dyDescent="0.25">
      <c r="B57" s="279"/>
      <c r="D57" s="71"/>
      <c r="I57" s="20"/>
    </row>
    <row r="58" spans="2:9" x14ac:dyDescent="0.25">
      <c r="B58" s="279"/>
      <c r="D58" s="71"/>
      <c r="I58" s="20"/>
    </row>
    <row r="59" spans="2:9" x14ac:dyDescent="0.25">
      <c r="B59" s="279"/>
      <c r="D59" s="71"/>
      <c r="I59" s="20"/>
    </row>
    <row r="60" spans="2:9" x14ac:dyDescent="0.25">
      <c r="B60" s="279"/>
      <c r="D60" s="71"/>
      <c r="I60" s="20"/>
    </row>
    <row r="61" spans="2:9" x14ac:dyDescent="0.25">
      <c r="B61" s="279"/>
      <c r="D61" s="71"/>
      <c r="I61" s="20"/>
    </row>
    <row r="62" spans="2:9" x14ac:dyDescent="0.25">
      <c r="B62" s="279"/>
      <c r="D62" s="71"/>
      <c r="I62" s="20"/>
    </row>
    <row r="63" spans="2:9" x14ac:dyDescent="0.25">
      <c r="B63" s="279"/>
      <c r="D63" s="71"/>
      <c r="I63" s="20"/>
    </row>
    <row r="64" spans="2:9" x14ac:dyDescent="0.25">
      <c r="B64" s="279"/>
      <c r="D64" s="71"/>
      <c r="I64" s="20"/>
    </row>
    <row r="65" spans="2:9" x14ac:dyDescent="0.25">
      <c r="B65" s="279"/>
      <c r="D65" s="71"/>
      <c r="I65" s="20"/>
    </row>
    <row r="66" spans="2:9" x14ac:dyDescent="0.25">
      <c r="B66" s="279"/>
      <c r="D66" s="71"/>
      <c r="I66" s="20"/>
    </row>
    <row r="67" spans="2:9" x14ac:dyDescent="0.25">
      <c r="B67" s="279"/>
      <c r="D67" s="71"/>
      <c r="I67" s="20"/>
    </row>
    <row r="68" spans="2:9" x14ac:dyDescent="0.25">
      <c r="B68" s="279"/>
      <c r="D68" s="71"/>
      <c r="I68" s="20"/>
    </row>
    <row r="69" spans="2:9" x14ac:dyDescent="0.25">
      <c r="B69" s="279"/>
      <c r="D69" s="71"/>
      <c r="I69" s="20"/>
    </row>
    <row r="70" spans="2:9" x14ac:dyDescent="0.25">
      <c r="B70" s="279"/>
      <c r="D70" s="71"/>
      <c r="I70" s="20"/>
    </row>
    <row r="71" spans="2:9" x14ac:dyDescent="0.25">
      <c r="B71" s="279"/>
      <c r="D71" s="71"/>
      <c r="I71" s="20"/>
    </row>
    <row r="72" spans="2:9" x14ac:dyDescent="0.25">
      <c r="B72" s="279"/>
      <c r="D72" s="71"/>
      <c r="I72" s="20"/>
    </row>
    <row r="73" spans="2:9" x14ac:dyDescent="0.25">
      <c r="B73" s="279"/>
      <c r="D73" s="71"/>
      <c r="I73" s="20"/>
    </row>
    <row r="74" spans="2:9" x14ac:dyDescent="0.25">
      <c r="B74" s="279"/>
      <c r="D74" s="71"/>
      <c r="I74" s="20"/>
    </row>
    <row r="75" spans="2:9" x14ac:dyDescent="0.25">
      <c r="B75" s="279"/>
      <c r="D75" s="71"/>
      <c r="I75" s="20"/>
    </row>
    <row r="76" spans="2:9" x14ac:dyDescent="0.25">
      <c r="B76" s="279"/>
      <c r="D76" s="71"/>
      <c r="I76" s="20"/>
    </row>
    <row r="77" spans="2:9" x14ac:dyDescent="0.25">
      <c r="B77" s="279"/>
      <c r="D77" s="71"/>
      <c r="I77" s="20"/>
    </row>
    <row r="78" spans="2:9" x14ac:dyDescent="0.25">
      <c r="B78" s="279"/>
      <c r="D78" s="71"/>
      <c r="I78" s="20"/>
    </row>
    <row r="79" spans="2:9" x14ac:dyDescent="0.25">
      <c r="B79" s="279"/>
      <c r="D79" s="71"/>
      <c r="I79" s="20"/>
    </row>
    <row r="80" spans="2:9" x14ac:dyDescent="0.25">
      <c r="B80" s="279"/>
      <c r="D80" s="71"/>
      <c r="I80" s="20"/>
    </row>
    <row r="81" spans="2:9" x14ac:dyDescent="0.25">
      <c r="B81" s="279"/>
      <c r="D81" s="71"/>
      <c r="I81" s="20"/>
    </row>
    <row r="82" spans="2:9" x14ac:dyDescent="0.25">
      <c r="B82" s="279"/>
      <c r="D82" s="71"/>
      <c r="I82" s="20"/>
    </row>
    <row r="83" spans="2:9" x14ac:dyDescent="0.25">
      <c r="B83" s="279"/>
      <c r="D83" s="71"/>
      <c r="I83" s="20"/>
    </row>
    <row r="84" spans="2:9" x14ac:dyDescent="0.25">
      <c r="B84" s="279"/>
      <c r="D84" s="71"/>
      <c r="I84" s="20"/>
    </row>
    <row r="85" spans="2:9" x14ac:dyDescent="0.25">
      <c r="B85" s="279"/>
      <c r="D85" s="71"/>
      <c r="I85" s="20"/>
    </row>
    <row r="86" spans="2:9" x14ac:dyDescent="0.25">
      <c r="B86" s="279"/>
      <c r="D86" s="71"/>
      <c r="I86" s="20"/>
    </row>
    <row r="87" spans="2:9" x14ac:dyDescent="0.25">
      <c r="B87" s="279"/>
      <c r="D87" s="71"/>
      <c r="I87" s="20"/>
    </row>
    <row r="88" spans="2:9" x14ac:dyDescent="0.25">
      <c r="B88" s="279"/>
      <c r="D88" s="71"/>
      <c r="I88" s="20"/>
    </row>
    <row r="89" spans="2:9" x14ac:dyDescent="0.25">
      <c r="B89" s="279"/>
      <c r="D89" s="71"/>
      <c r="I89" s="20"/>
    </row>
    <row r="90" spans="2:9" x14ac:dyDescent="0.25">
      <c r="B90" s="279"/>
      <c r="D90" s="71"/>
      <c r="I90" s="20"/>
    </row>
    <row r="91" spans="2:9" x14ac:dyDescent="0.25">
      <c r="B91" s="279"/>
      <c r="D91" s="71"/>
      <c r="I91" s="20"/>
    </row>
    <row r="92" spans="2:9" x14ac:dyDescent="0.25">
      <c r="B92" s="279"/>
      <c r="D92" s="71"/>
      <c r="I92" s="20"/>
    </row>
    <row r="93" spans="2:9" x14ac:dyDescent="0.25">
      <c r="B93" s="279"/>
      <c r="D93" s="71"/>
      <c r="I93" s="20"/>
    </row>
    <row r="94" spans="2:9" x14ac:dyDescent="0.25">
      <c r="B94" s="279"/>
      <c r="D94" s="71"/>
      <c r="I94" s="20"/>
    </row>
    <row r="95" spans="2:9" x14ac:dyDescent="0.25">
      <c r="B95" s="279"/>
      <c r="D95" s="71"/>
      <c r="I95" s="20"/>
    </row>
    <row r="96" spans="2:9" x14ac:dyDescent="0.25">
      <c r="B96" s="279"/>
      <c r="D96" s="71"/>
      <c r="I96" s="20"/>
    </row>
    <row r="97" spans="2:9" x14ac:dyDescent="0.25">
      <c r="B97" s="279"/>
      <c r="D97" s="71"/>
      <c r="I97" s="20"/>
    </row>
    <row r="98" spans="2:9" x14ac:dyDescent="0.25">
      <c r="B98" s="279"/>
      <c r="D98" s="71"/>
      <c r="I98" s="20"/>
    </row>
    <row r="99" spans="2:9" x14ac:dyDescent="0.25">
      <c r="B99" s="279"/>
      <c r="D99" s="71"/>
      <c r="I99" s="20"/>
    </row>
    <row r="100" spans="2:9" x14ac:dyDescent="0.25">
      <c r="B100" s="279"/>
      <c r="D100" s="71"/>
      <c r="I100" s="20"/>
    </row>
    <row r="101" spans="2:9" x14ac:dyDescent="0.25">
      <c r="B101" s="279"/>
      <c r="D101" s="71"/>
      <c r="I101" s="20"/>
    </row>
    <row r="102" spans="2:9" x14ac:dyDescent="0.25">
      <c r="B102" s="279"/>
      <c r="D102" s="71"/>
      <c r="I102" s="20"/>
    </row>
    <row r="103" spans="2:9" x14ac:dyDescent="0.25">
      <c r="B103" s="279"/>
      <c r="D103" s="71"/>
      <c r="I103" s="20"/>
    </row>
    <row r="104" spans="2:9" x14ac:dyDescent="0.25">
      <c r="B104" s="279"/>
      <c r="D104" s="71"/>
      <c r="I104" s="20"/>
    </row>
    <row r="105" spans="2:9" x14ac:dyDescent="0.25">
      <c r="B105" s="279"/>
      <c r="D105" s="71"/>
      <c r="I105" s="20"/>
    </row>
    <row r="106" spans="2:9" x14ac:dyDescent="0.25">
      <c r="B106" s="279"/>
      <c r="D106" s="71"/>
      <c r="I106" s="20"/>
    </row>
    <row r="107" spans="2:9" x14ac:dyDescent="0.25">
      <c r="B107" s="279"/>
      <c r="D107" s="71"/>
      <c r="I107" s="20"/>
    </row>
    <row r="108" spans="2:9" x14ac:dyDescent="0.25">
      <c r="B108" s="279"/>
      <c r="D108" s="71"/>
      <c r="I108" s="20"/>
    </row>
    <row r="109" spans="2:9" x14ac:dyDescent="0.25">
      <c r="B109" s="279"/>
      <c r="D109" s="71"/>
      <c r="I109" s="20"/>
    </row>
    <row r="110" spans="2:9" x14ac:dyDescent="0.25">
      <c r="B110" s="279"/>
      <c r="D110" s="71"/>
      <c r="I110" s="20"/>
    </row>
    <row r="111" spans="2:9" x14ac:dyDescent="0.25">
      <c r="B111" s="279"/>
      <c r="D111" s="71"/>
      <c r="I111" s="20"/>
    </row>
    <row r="112" spans="2:9" x14ac:dyDescent="0.25">
      <c r="B112" s="279"/>
      <c r="D112" s="71"/>
      <c r="I112" s="20"/>
    </row>
    <row r="113" spans="2:9" x14ac:dyDescent="0.25">
      <c r="B113" s="279"/>
      <c r="D113" s="71"/>
      <c r="I113" s="20"/>
    </row>
    <row r="114" spans="2:9" x14ac:dyDescent="0.25">
      <c r="B114" s="279"/>
      <c r="D114" s="71"/>
      <c r="I114" s="20"/>
    </row>
    <row r="115" spans="2:9" x14ac:dyDescent="0.25">
      <c r="B115" s="279"/>
      <c r="D115" s="71"/>
      <c r="I115" s="20"/>
    </row>
    <row r="116" spans="2:9" x14ac:dyDescent="0.25">
      <c r="B116" s="279"/>
      <c r="D116" s="71"/>
      <c r="I116" s="20"/>
    </row>
    <row r="117" spans="2:9" x14ac:dyDescent="0.25">
      <c r="B117" s="279"/>
      <c r="D117" s="71"/>
      <c r="I117" s="20"/>
    </row>
    <row r="118" spans="2:9" x14ac:dyDescent="0.25">
      <c r="B118" s="279"/>
      <c r="D118" s="71"/>
      <c r="I118" s="20"/>
    </row>
    <row r="119" spans="2:9" x14ac:dyDescent="0.25">
      <c r="B119" s="279"/>
      <c r="D119" s="71"/>
      <c r="I119" s="20"/>
    </row>
    <row r="120" spans="2:9" x14ac:dyDescent="0.25">
      <c r="B120" s="279"/>
      <c r="D120" s="71"/>
      <c r="I120" s="20"/>
    </row>
    <row r="121" spans="2:9" x14ac:dyDescent="0.25">
      <c r="B121" s="279"/>
      <c r="D121" s="71"/>
      <c r="I121" s="20"/>
    </row>
    <row r="122" spans="2:9" x14ac:dyDescent="0.25">
      <c r="B122" s="279"/>
      <c r="D122" s="71"/>
      <c r="I122" s="20"/>
    </row>
    <row r="123" spans="2:9" x14ac:dyDescent="0.25">
      <c r="B123" s="279"/>
      <c r="D123" s="71"/>
      <c r="I123" s="20"/>
    </row>
    <row r="124" spans="2:9" x14ac:dyDescent="0.25">
      <c r="B124" s="279"/>
      <c r="D124" s="71"/>
      <c r="I124" s="20"/>
    </row>
    <row r="125" spans="2:9" x14ac:dyDescent="0.25">
      <c r="B125" s="279"/>
      <c r="D125" s="71"/>
      <c r="I125" s="20"/>
    </row>
    <row r="126" spans="2:9" x14ac:dyDescent="0.25">
      <c r="B126" s="279"/>
      <c r="D126" s="71"/>
      <c r="I126" s="20"/>
    </row>
    <row r="127" spans="2:9" x14ac:dyDescent="0.25">
      <c r="B127" s="279"/>
      <c r="D127" s="71"/>
      <c r="I127" s="20"/>
    </row>
    <row r="128" spans="2:9" x14ac:dyDescent="0.25">
      <c r="B128" s="279"/>
      <c r="D128" s="71"/>
      <c r="I128" s="20"/>
    </row>
    <row r="129" spans="2:9" x14ac:dyDescent="0.25">
      <c r="B129" s="279"/>
      <c r="D129" s="71"/>
      <c r="I129" s="20"/>
    </row>
    <row r="130" spans="2:9" x14ac:dyDescent="0.25">
      <c r="B130" s="279"/>
      <c r="D130" s="71"/>
      <c r="I130" s="20"/>
    </row>
    <row r="131" spans="2:9" x14ac:dyDescent="0.25">
      <c r="B131" s="279"/>
      <c r="D131" s="71"/>
      <c r="I131" s="20"/>
    </row>
    <row r="132" spans="2:9" x14ac:dyDescent="0.25">
      <c r="B132" s="279"/>
      <c r="D132" s="71"/>
      <c r="I132" s="20"/>
    </row>
    <row r="133" spans="2:9" x14ac:dyDescent="0.25">
      <c r="B133" s="279"/>
      <c r="D133" s="71"/>
      <c r="I133" s="20"/>
    </row>
    <row r="134" spans="2:9" x14ac:dyDescent="0.25">
      <c r="B134" s="279"/>
      <c r="D134" s="71"/>
      <c r="I134" s="20"/>
    </row>
    <row r="135" spans="2:9" x14ac:dyDescent="0.25">
      <c r="B135" s="279"/>
      <c r="D135" s="71"/>
      <c r="I135" s="20"/>
    </row>
    <row r="136" spans="2:9" x14ac:dyDescent="0.25">
      <c r="B136" s="279"/>
      <c r="D136" s="71"/>
      <c r="I136" s="20"/>
    </row>
    <row r="137" spans="2:9" x14ac:dyDescent="0.25">
      <c r="B137" s="279"/>
      <c r="D137" s="71"/>
      <c r="I137" s="20"/>
    </row>
    <row r="138" spans="2:9" x14ac:dyDescent="0.25">
      <c r="B138" s="279"/>
      <c r="D138" s="71"/>
      <c r="I138" s="20"/>
    </row>
    <row r="139" spans="2:9" x14ac:dyDescent="0.25">
      <c r="B139" s="279"/>
      <c r="D139" s="71"/>
      <c r="I139" s="20"/>
    </row>
    <row r="140" spans="2:9" x14ac:dyDescent="0.25">
      <c r="B140" s="279"/>
      <c r="D140" s="71"/>
      <c r="I140" s="20"/>
    </row>
    <row r="141" spans="2:9" x14ac:dyDescent="0.25">
      <c r="B141" s="279"/>
      <c r="D141" s="71"/>
      <c r="I141" s="20"/>
    </row>
    <row r="142" spans="2:9" x14ac:dyDescent="0.25">
      <c r="B142" s="279"/>
      <c r="D142" s="71"/>
      <c r="I142" s="20"/>
    </row>
    <row r="143" spans="2:9" x14ac:dyDescent="0.25">
      <c r="B143" s="279"/>
      <c r="D143" s="71"/>
      <c r="I143" s="20"/>
    </row>
    <row r="144" spans="2:9" x14ac:dyDescent="0.25">
      <c r="B144" s="279"/>
      <c r="D144" s="71"/>
      <c r="I144" s="20"/>
    </row>
    <row r="145" spans="2:9" x14ac:dyDescent="0.25">
      <c r="B145" s="279"/>
      <c r="D145" s="71"/>
      <c r="I145" s="20"/>
    </row>
    <row r="146" spans="2:9" x14ac:dyDescent="0.25">
      <c r="B146" s="279"/>
      <c r="D146" s="71"/>
      <c r="I146" s="20"/>
    </row>
    <row r="147" spans="2:9" x14ac:dyDescent="0.25">
      <c r="B147" s="279"/>
      <c r="D147" s="71"/>
      <c r="I147" s="20"/>
    </row>
    <row r="148" spans="2:9" x14ac:dyDescent="0.25">
      <c r="B148" s="279"/>
      <c r="D148" s="71"/>
      <c r="I148" s="20"/>
    </row>
    <row r="149" spans="2:9" x14ac:dyDescent="0.25">
      <c r="B149" s="279"/>
      <c r="D149" s="71"/>
      <c r="I149" s="20"/>
    </row>
    <row r="150" spans="2:9" x14ac:dyDescent="0.25">
      <c r="B150" s="279"/>
      <c r="D150" s="71"/>
      <c r="I150" s="20"/>
    </row>
    <row r="151" spans="2:9" x14ac:dyDescent="0.25">
      <c r="B151" s="279"/>
      <c r="D151" s="71"/>
      <c r="I151" s="20"/>
    </row>
    <row r="152" spans="2:9" x14ac:dyDescent="0.25">
      <c r="B152" s="279"/>
      <c r="D152" s="71"/>
      <c r="I152" s="20"/>
    </row>
    <row r="153" spans="2:9" x14ac:dyDescent="0.25">
      <c r="B153" s="279"/>
      <c r="D153" s="71"/>
      <c r="I153" s="20"/>
    </row>
    <row r="154" spans="2:9" x14ac:dyDescent="0.25">
      <c r="B154" s="279"/>
      <c r="D154" s="71"/>
      <c r="I154" s="20"/>
    </row>
    <row r="155" spans="2:9" x14ac:dyDescent="0.25">
      <c r="B155" s="279"/>
      <c r="D155" s="71"/>
      <c r="I155" s="20"/>
    </row>
    <row r="156" spans="2:9" x14ac:dyDescent="0.25">
      <c r="B156" s="279"/>
      <c r="D156" s="71"/>
      <c r="I156" s="20"/>
    </row>
    <row r="157" spans="2:9" x14ac:dyDescent="0.25">
      <c r="B157" s="279"/>
      <c r="D157" s="71"/>
      <c r="I157" s="20"/>
    </row>
    <row r="158" spans="2:9" x14ac:dyDescent="0.25">
      <c r="B158" s="279"/>
      <c r="D158" s="71"/>
      <c r="I158" s="20"/>
    </row>
    <row r="159" spans="2:9" x14ac:dyDescent="0.25">
      <c r="B159" s="279"/>
      <c r="D159" s="71"/>
      <c r="I159" s="20"/>
    </row>
    <row r="160" spans="2:9" x14ac:dyDescent="0.25">
      <c r="B160" s="279"/>
      <c r="D160" s="71"/>
      <c r="I160" s="20"/>
    </row>
    <row r="161" spans="2:9" x14ac:dyDescent="0.25">
      <c r="B161" s="279"/>
      <c r="D161" s="71"/>
      <c r="I161" s="20"/>
    </row>
    <row r="162" spans="2:9" x14ac:dyDescent="0.25">
      <c r="B162" s="279"/>
      <c r="D162" s="71"/>
      <c r="I162" s="20"/>
    </row>
    <row r="163" spans="2:9" x14ac:dyDescent="0.25">
      <c r="B163" s="279"/>
      <c r="D163" s="71"/>
      <c r="I163" s="20"/>
    </row>
    <row r="164" spans="2:9" x14ac:dyDescent="0.25">
      <c r="B164" s="279"/>
      <c r="D164" s="71"/>
      <c r="I164" s="20"/>
    </row>
    <row r="165" spans="2:9" x14ac:dyDescent="0.25">
      <c r="B165" s="279"/>
      <c r="D165" s="71"/>
      <c r="I165" s="20"/>
    </row>
    <row r="166" spans="2:9" x14ac:dyDescent="0.25">
      <c r="B166" s="279"/>
      <c r="D166" s="71"/>
      <c r="I166" s="20"/>
    </row>
    <row r="167" spans="2:9" x14ac:dyDescent="0.25">
      <c r="B167" s="279"/>
      <c r="D167" s="71"/>
      <c r="I167" s="20"/>
    </row>
    <row r="168" spans="2:9" x14ac:dyDescent="0.25">
      <c r="B168" s="279"/>
      <c r="D168" s="71"/>
      <c r="I168" s="20"/>
    </row>
    <row r="169" spans="2:9" x14ac:dyDescent="0.25">
      <c r="B169" s="279"/>
      <c r="D169" s="71"/>
      <c r="I169" s="20"/>
    </row>
    <row r="170" spans="2:9" x14ac:dyDescent="0.25">
      <c r="B170" s="279"/>
      <c r="D170" s="71"/>
      <c r="I170" s="20"/>
    </row>
    <row r="171" spans="2:9" x14ac:dyDescent="0.25">
      <c r="B171" s="279"/>
      <c r="D171" s="71"/>
      <c r="I171" s="20"/>
    </row>
    <row r="172" spans="2:9" x14ac:dyDescent="0.25">
      <c r="B172" s="279"/>
      <c r="D172" s="71"/>
      <c r="I172" s="20"/>
    </row>
    <row r="173" spans="2:9" x14ac:dyDescent="0.25">
      <c r="B173" s="279"/>
      <c r="D173" s="71"/>
      <c r="I173" s="20"/>
    </row>
    <row r="174" spans="2:9" x14ac:dyDescent="0.25">
      <c r="B174" s="279"/>
      <c r="D174" s="71"/>
      <c r="I174" s="20"/>
    </row>
    <row r="175" spans="2:9" x14ac:dyDescent="0.25">
      <c r="B175" s="279"/>
      <c r="D175" s="71"/>
      <c r="I175" s="20"/>
    </row>
    <row r="176" spans="2:9" x14ac:dyDescent="0.25">
      <c r="B176" s="279"/>
      <c r="D176" s="71"/>
      <c r="I176" s="20"/>
    </row>
    <row r="177" spans="2:9" x14ac:dyDescent="0.25">
      <c r="B177" s="279"/>
      <c r="D177" s="71"/>
      <c r="I177" s="20"/>
    </row>
    <row r="178" spans="2:9" x14ac:dyDescent="0.25">
      <c r="B178" s="279"/>
      <c r="D178" s="71"/>
      <c r="I178" s="20"/>
    </row>
    <row r="179" spans="2:9" x14ac:dyDescent="0.25">
      <c r="B179" s="279"/>
      <c r="D179" s="71"/>
      <c r="I179" s="20"/>
    </row>
    <row r="180" spans="2:9" x14ac:dyDescent="0.25">
      <c r="B180" s="279"/>
      <c r="D180" s="71"/>
      <c r="I180" s="20"/>
    </row>
    <row r="181" spans="2:9" x14ac:dyDescent="0.25">
      <c r="B181" s="279"/>
      <c r="D181" s="71"/>
      <c r="I181" s="20"/>
    </row>
    <row r="182" spans="2:9" x14ac:dyDescent="0.25">
      <c r="B182" s="279"/>
      <c r="D182" s="71"/>
      <c r="I182" s="20"/>
    </row>
    <row r="183" spans="2:9" x14ac:dyDescent="0.25">
      <c r="B183" s="279"/>
      <c r="D183" s="71"/>
      <c r="I183" s="20"/>
    </row>
    <row r="184" spans="2:9" x14ac:dyDescent="0.25">
      <c r="B184" s="279"/>
      <c r="D184" s="71"/>
      <c r="I184" s="20"/>
    </row>
    <row r="185" spans="2:9" x14ac:dyDescent="0.25">
      <c r="B185" s="279"/>
      <c r="D185" s="71"/>
      <c r="I185" s="20"/>
    </row>
    <row r="186" spans="2:9" x14ac:dyDescent="0.25">
      <c r="B186" s="279"/>
      <c r="D186" s="71"/>
      <c r="I186" s="20"/>
    </row>
    <row r="187" spans="2:9" x14ac:dyDescent="0.25">
      <c r="B187" s="279"/>
      <c r="D187" s="71"/>
      <c r="I187" s="20"/>
    </row>
    <row r="188" spans="2:9" x14ac:dyDescent="0.25">
      <c r="B188" s="279"/>
      <c r="D188" s="71"/>
      <c r="I188" s="20"/>
    </row>
    <row r="189" spans="2:9" x14ac:dyDescent="0.25">
      <c r="B189" s="279"/>
      <c r="D189" s="71"/>
      <c r="I189" s="20"/>
    </row>
    <row r="190" spans="2:9" x14ac:dyDescent="0.25">
      <c r="B190" s="279"/>
      <c r="D190" s="71"/>
      <c r="I190" s="20"/>
    </row>
    <row r="191" spans="2:9" x14ac:dyDescent="0.25">
      <c r="B191" s="279"/>
      <c r="D191" s="71"/>
      <c r="I191" s="20"/>
    </row>
    <row r="192" spans="2:9" x14ac:dyDescent="0.25">
      <c r="B192" s="279"/>
      <c r="D192" s="71"/>
      <c r="I192" s="20"/>
    </row>
    <row r="193" spans="2:9" x14ac:dyDescent="0.25">
      <c r="B193" s="279"/>
      <c r="D193" s="71"/>
      <c r="I193" s="20"/>
    </row>
    <row r="194" spans="2:9" x14ac:dyDescent="0.25">
      <c r="B194" s="279"/>
      <c r="D194" s="71"/>
      <c r="I194" s="20"/>
    </row>
    <row r="195" spans="2:9" x14ac:dyDescent="0.25">
      <c r="B195" s="279"/>
      <c r="D195" s="71"/>
      <c r="I195" s="20"/>
    </row>
    <row r="196" spans="2:9" x14ac:dyDescent="0.25">
      <c r="B196" s="279"/>
      <c r="D196" s="71"/>
      <c r="I196" s="20"/>
    </row>
    <row r="197" spans="2:9" x14ac:dyDescent="0.25">
      <c r="B197" s="279"/>
      <c r="D197" s="71"/>
      <c r="I197" s="20"/>
    </row>
    <row r="198" spans="2:9" x14ac:dyDescent="0.25">
      <c r="B198" s="279"/>
      <c r="D198" s="71"/>
      <c r="I198" s="20"/>
    </row>
    <row r="199" spans="2:9" x14ac:dyDescent="0.25">
      <c r="B199" s="279"/>
      <c r="D199" s="71"/>
      <c r="I199" s="20"/>
    </row>
    <row r="200" spans="2:9" x14ac:dyDescent="0.25">
      <c r="B200" s="279"/>
      <c r="D200" s="71"/>
      <c r="I200" s="20"/>
    </row>
    <row r="201" spans="2:9" x14ac:dyDescent="0.25">
      <c r="B201" s="279"/>
      <c r="D201" s="71"/>
      <c r="I201" s="20"/>
    </row>
    <row r="202" spans="2:9" x14ac:dyDescent="0.25">
      <c r="B202" s="279"/>
      <c r="D202" s="71"/>
      <c r="I202" s="20"/>
    </row>
    <row r="203" spans="2:9" x14ac:dyDescent="0.25">
      <c r="B203" s="279"/>
      <c r="D203" s="71"/>
      <c r="I203" s="20"/>
    </row>
    <row r="204" spans="2:9" x14ac:dyDescent="0.25">
      <c r="B204" s="279"/>
      <c r="D204" s="71"/>
      <c r="I204" s="20"/>
    </row>
    <row r="205" spans="2:9" x14ac:dyDescent="0.25">
      <c r="B205" s="279"/>
      <c r="D205" s="71"/>
      <c r="I205" s="20"/>
    </row>
    <row r="206" spans="2:9" x14ac:dyDescent="0.25">
      <c r="B206" s="279"/>
      <c r="D206" s="71"/>
      <c r="I206" s="20"/>
    </row>
    <row r="207" spans="2:9" x14ac:dyDescent="0.25">
      <c r="B207" s="279"/>
      <c r="D207" s="71"/>
      <c r="I207" s="20"/>
    </row>
    <row r="208" spans="2:9" x14ac:dyDescent="0.25">
      <c r="B208" s="279"/>
      <c r="D208" s="71"/>
      <c r="I208" s="20"/>
    </row>
    <row r="209" spans="2:9" x14ac:dyDescent="0.25">
      <c r="B209" s="279"/>
      <c r="D209" s="71"/>
      <c r="I209" s="20"/>
    </row>
    <row r="210" spans="2:9" x14ac:dyDescent="0.25">
      <c r="B210" s="279"/>
      <c r="D210" s="71"/>
      <c r="I210" s="20"/>
    </row>
    <row r="211" spans="2:9" x14ac:dyDescent="0.25">
      <c r="B211" s="279"/>
      <c r="D211" s="71"/>
      <c r="I211" s="20"/>
    </row>
    <row r="212" spans="2:9" x14ac:dyDescent="0.25">
      <c r="B212" s="279"/>
      <c r="D212" s="71"/>
      <c r="I212" s="20"/>
    </row>
    <row r="213" spans="2:9" x14ac:dyDescent="0.25">
      <c r="B213" s="279"/>
      <c r="D213" s="71"/>
      <c r="I213" s="20"/>
    </row>
    <row r="214" spans="2:9" x14ac:dyDescent="0.25">
      <c r="B214" s="279"/>
      <c r="D214" s="71"/>
      <c r="I214" s="20"/>
    </row>
    <row r="215" spans="2:9" x14ac:dyDescent="0.25">
      <c r="B215" s="279"/>
      <c r="D215" s="71"/>
      <c r="I215" s="20"/>
    </row>
    <row r="216" spans="2:9" x14ac:dyDescent="0.25">
      <c r="B216" s="279"/>
      <c r="D216" s="71"/>
      <c r="I216" s="20"/>
    </row>
    <row r="217" spans="2:9" x14ac:dyDescent="0.25">
      <c r="B217" s="279"/>
      <c r="D217" s="71"/>
      <c r="I217" s="20"/>
    </row>
    <row r="218" spans="2:9" x14ac:dyDescent="0.25">
      <c r="B218" s="279"/>
      <c r="D218" s="71"/>
      <c r="I218" s="20"/>
    </row>
    <row r="219" spans="2:9" x14ac:dyDescent="0.25">
      <c r="B219" s="279"/>
      <c r="D219" s="71"/>
      <c r="I219" s="20"/>
    </row>
    <row r="220" spans="2:9" x14ac:dyDescent="0.25">
      <c r="B220" s="279"/>
      <c r="D220" s="71"/>
      <c r="I220" s="20"/>
    </row>
    <row r="221" spans="2:9" x14ac:dyDescent="0.25">
      <c r="B221" s="279"/>
      <c r="D221" s="71"/>
      <c r="I221" s="20"/>
    </row>
    <row r="222" spans="2:9" x14ac:dyDescent="0.25">
      <c r="B222" s="279"/>
      <c r="D222" s="71"/>
      <c r="I222" s="20"/>
    </row>
    <row r="223" spans="2:9" x14ac:dyDescent="0.25">
      <c r="B223" s="279"/>
      <c r="D223" s="71"/>
      <c r="I223" s="20"/>
    </row>
    <row r="224" spans="2:9" x14ac:dyDescent="0.25">
      <c r="B224" s="279"/>
      <c r="D224" s="71"/>
      <c r="I224" s="20"/>
    </row>
    <row r="225" spans="2:9" x14ac:dyDescent="0.25">
      <c r="B225" s="279"/>
      <c r="D225" s="71"/>
      <c r="I225" s="20"/>
    </row>
    <row r="226" spans="2:9" x14ac:dyDescent="0.25">
      <c r="B226" s="279"/>
      <c r="D226" s="71"/>
      <c r="I226" s="20"/>
    </row>
    <row r="227" spans="2:9" x14ac:dyDescent="0.25">
      <c r="B227" s="279"/>
      <c r="D227" s="71"/>
      <c r="I227" s="20"/>
    </row>
    <row r="228" spans="2:9" x14ac:dyDescent="0.25">
      <c r="B228" s="279"/>
      <c r="D228" s="71"/>
      <c r="I228" s="20"/>
    </row>
    <row r="229" spans="2:9" x14ac:dyDescent="0.25">
      <c r="B229" s="279"/>
      <c r="D229" s="71"/>
      <c r="I229" s="20"/>
    </row>
    <row r="230" spans="2:9" x14ac:dyDescent="0.25">
      <c r="B230" s="279"/>
      <c r="D230" s="71"/>
      <c r="I230" s="20"/>
    </row>
    <row r="231" spans="2:9" x14ac:dyDescent="0.25">
      <c r="B231" s="279"/>
      <c r="D231" s="71"/>
      <c r="I231" s="20"/>
    </row>
    <row r="232" spans="2:9" x14ac:dyDescent="0.25">
      <c r="B232" s="279"/>
      <c r="D232" s="71"/>
      <c r="I232" s="20"/>
    </row>
    <row r="233" spans="2:9" x14ac:dyDescent="0.25">
      <c r="B233" s="279"/>
      <c r="D233" s="71"/>
      <c r="I233" s="20"/>
    </row>
    <row r="234" spans="2:9" x14ac:dyDescent="0.25">
      <c r="B234" s="279"/>
      <c r="D234" s="71"/>
      <c r="I234" s="20"/>
    </row>
    <row r="235" spans="2:9" x14ac:dyDescent="0.25">
      <c r="B235" s="279"/>
      <c r="D235" s="71"/>
      <c r="I235" s="20"/>
    </row>
    <row r="236" spans="2:9" x14ac:dyDescent="0.25">
      <c r="B236" s="279"/>
      <c r="D236" s="71"/>
      <c r="I236" s="20"/>
    </row>
    <row r="237" spans="2:9" x14ac:dyDescent="0.25">
      <c r="B237" s="279"/>
      <c r="D237" s="71"/>
      <c r="I237" s="20"/>
    </row>
    <row r="238" spans="2:9" x14ac:dyDescent="0.25">
      <c r="B238" s="279"/>
      <c r="D238" s="71"/>
      <c r="I238" s="20"/>
    </row>
    <row r="239" spans="2:9" x14ac:dyDescent="0.25">
      <c r="B239" s="279"/>
      <c r="D239" s="71"/>
      <c r="I239" s="20"/>
    </row>
    <row r="240" spans="2:9" x14ac:dyDescent="0.25">
      <c r="B240" s="279"/>
      <c r="D240" s="71"/>
      <c r="I240" s="20"/>
    </row>
    <row r="241" spans="2:9" x14ac:dyDescent="0.25">
      <c r="B241" s="279"/>
      <c r="D241" s="71"/>
      <c r="I241" s="20"/>
    </row>
    <row r="242" spans="2:9" x14ac:dyDescent="0.25">
      <c r="B242" s="279"/>
      <c r="D242" s="71"/>
      <c r="I242" s="20"/>
    </row>
    <row r="243" spans="2:9" x14ac:dyDescent="0.25">
      <c r="B243" s="279"/>
      <c r="D243" s="71"/>
      <c r="I243" s="20"/>
    </row>
    <row r="244" spans="2:9" x14ac:dyDescent="0.25">
      <c r="B244" s="279"/>
      <c r="D244" s="71"/>
      <c r="I244" s="20"/>
    </row>
    <row r="245" spans="2:9" x14ac:dyDescent="0.25">
      <c r="B245" s="279"/>
      <c r="D245" s="71"/>
      <c r="I245" s="20"/>
    </row>
    <row r="246" spans="2:9" x14ac:dyDescent="0.25">
      <c r="B246" s="279"/>
      <c r="D246" s="71"/>
      <c r="I246" s="20"/>
    </row>
    <row r="247" spans="2:9" x14ac:dyDescent="0.25">
      <c r="B247" s="279"/>
      <c r="D247" s="71"/>
      <c r="I247" s="20"/>
    </row>
    <row r="248" spans="2:9" x14ac:dyDescent="0.25">
      <c r="B248" s="279"/>
      <c r="D248" s="71"/>
      <c r="I248" s="20"/>
    </row>
    <row r="249" spans="2:9" x14ac:dyDescent="0.25">
      <c r="B249" s="279"/>
      <c r="D249" s="71"/>
      <c r="I249" s="20"/>
    </row>
    <row r="250" spans="2:9" x14ac:dyDescent="0.25">
      <c r="B250" s="279"/>
      <c r="D250" s="71"/>
      <c r="I250" s="20"/>
    </row>
    <row r="251" spans="2:9" x14ac:dyDescent="0.25">
      <c r="B251" s="279"/>
      <c r="D251" s="71"/>
      <c r="I251" s="20"/>
    </row>
    <row r="252" spans="2:9" x14ac:dyDescent="0.25">
      <c r="B252" s="279"/>
      <c r="D252" s="71"/>
      <c r="I252" s="20"/>
    </row>
    <row r="253" spans="2:9" x14ac:dyDescent="0.25">
      <c r="B253" s="279"/>
      <c r="D253" s="71"/>
      <c r="I253" s="20"/>
    </row>
    <row r="254" spans="2:9" x14ac:dyDescent="0.25">
      <c r="B254" s="279"/>
      <c r="D254" s="71"/>
      <c r="I254" s="20"/>
    </row>
    <row r="255" spans="2:9" x14ac:dyDescent="0.25">
      <c r="B255" s="279"/>
      <c r="D255" s="71"/>
      <c r="I255" s="20"/>
    </row>
    <row r="256" spans="2:9" x14ac:dyDescent="0.25">
      <c r="B256" s="279"/>
      <c r="D256" s="71"/>
      <c r="I256" s="20"/>
    </row>
    <row r="257" spans="2:9" x14ac:dyDescent="0.25">
      <c r="B257" s="279"/>
      <c r="D257" s="71"/>
      <c r="I257" s="20"/>
    </row>
    <row r="258" spans="2:9" x14ac:dyDescent="0.25">
      <c r="B258" s="279"/>
      <c r="D258" s="71"/>
      <c r="I258" s="20"/>
    </row>
    <row r="259" spans="2:9" x14ac:dyDescent="0.25">
      <c r="B259" s="279"/>
      <c r="D259" s="71"/>
      <c r="I259" s="20"/>
    </row>
    <row r="260" spans="2:9" x14ac:dyDescent="0.25">
      <c r="B260" s="279"/>
      <c r="D260" s="71"/>
      <c r="I260" s="20"/>
    </row>
    <row r="261" spans="2:9" x14ac:dyDescent="0.25">
      <c r="B261" s="279"/>
      <c r="D261" s="71"/>
      <c r="I261" s="20"/>
    </row>
    <row r="262" spans="2:9" x14ac:dyDescent="0.25">
      <c r="B262" s="279"/>
      <c r="D262" s="71"/>
      <c r="I262" s="20"/>
    </row>
    <row r="263" spans="2:9" x14ac:dyDescent="0.25">
      <c r="B263" s="279"/>
      <c r="D263" s="71"/>
      <c r="I263" s="20"/>
    </row>
    <row r="264" spans="2:9" x14ac:dyDescent="0.25">
      <c r="B264" s="279"/>
      <c r="D264" s="71"/>
      <c r="I264" s="20"/>
    </row>
    <row r="265" spans="2:9" x14ac:dyDescent="0.25">
      <c r="B265" s="279"/>
      <c r="D265" s="71"/>
      <c r="I265" s="20"/>
    </row>
    <row r="266" spans="2:9" x14ac:dyDescent="0.25">
      <c r="B266" s="279"/>
      <c r="D266" s="71"/>
      <c r="I266" s="20"/>
    </row>
    <row r="267" spans="2:9" x14ac:dyDescent="0.25">
      <c r="B267" s="279"/>
      <c r="D267" s="71"/>
      <c r="I267" s="20"/>
    </row>
    <row r="268" spans="2:9" x14ac:dyDescent="0.25">
      <c r="B268" s="279"/>
      <c r="D268" s="71"/>
      <c r="I268" s="20"/>
    </row>
    <row r="269" spans="2:9" x14ac:dyDescent="0.25">
      <c r="B269" s="279"/>
      <c r="D269" s="71"/>
      <c r="I269" s="20"/>
    </row>
    <row r="270" spans="2:9" x14ac:dyDescent="0.25">
      <c r="B270" s="279"/>
      <c r="D270" s="71"/>
      <c r="I270" s="20"/>
    </row>
    <row r="271" spans="2:9" x14ac:dyDescent="0.25">
      <c r="B271" s="279"/>
      <c r="D271" s="71"/>
      <c r="I271" s="20"/>
    </row>
    <row r="272" spans="2:9" x14ac:dyDescent="0.25">
      <c r="B272" s="279"/>
      <c r="D272" s="71"/>
      <c r="I272" s="20"/>
    </row>
    <row r="273" spans="2:9" x14ac:dyDescent="0.25">
      <c r="B273" s="279"/>
      <c r="D273" s="71"/>
      <c r="I273" s="20"/>
    </row>
    <row r="274" spans="2:9" x14ac:dyDescent="0.25">
      <c r="B274" s="279"/>
      <c r="D274" s="71"/>
      <c r="I274" s="20"/>
    </row>
    <row r="275" spans="2:9" x14ac:dyDescent="0.25">
      <c r="B275" s="279"/>
      <c r="D275" s="71"/>
      <c r="I275" s="20"/>
    </row>
    <row r="276" spans="2:9" x14ac:dyDescent="0.25">
      <c r="B276" s="279"/>
      <c r="D276" s="71"/>
      <c r="I276" s="20"/>
    </row>
    <row r="277" spans="2:9" x14ac:dyDescent="0.25">
      <c r="B277" s="279"/>
      <c r="D277" s="71"/>
      <c r="I277" s="20"/>
    </row>
    <row r="278" spans="2:9" x14ac:dyDescent="0.25">
      <c r="B278" s="279"/>
      <c r="D278" s="71"/>
      <c r="I278" s="20"/>
    </row>
    <row r="279" spans="2:9" x14ac:dyDescent="0.25">
      <c r="B279" s="279"/>
      <c r="D279" s="71"/>
      <c r="I279" s="20"/>
    </row>
    <row r="280" spans="2:9" x14ac:dyDescent="0.25">
      <c r="B280" s="279"/>
      <c r="D280" s="71"/>
      <c r="I280" s="20"/>
    </row>
    <row r="281" spans="2:9" x14ac:dyDescent="0.25">
      <c r="B281" s="279"/>
      <c r="D281" s="71"/>
      <c r="I281" s="20"/>
    </row>
    <row r="282" spans="2:9" x14ac:dyDescent="0.25">
      <c r="B282" s="279"/>
      <c r="D282" s="71"/>
      <c r="I282" s="20"/>
    </row>
    <row r="283" spans="2:9" x14ac:dyDescent="0.25">
      <c r="B283" s="279"/>
      <c r="D283" s="71"/>
      <c r="I283" s="20"/>
    </row>
    <row r="284" spans="2:9" x14ac:dyDescent="0.25">
      <c r="B284" s="279"/>
      <c r="D284" s="71"/>
      <c r="I284" s="20"/>
    </row>
    <row r="285" spans="2:9" x14ac:dyDescent="0.25">
      <c r="B285" s="279"/>
      <c r="D285" s="71"/>
      <c r="I285" s="20"/>
    </row>
    <row r="286" spans="2:9" x14ac:dyDescent="0.25">
      <c r="B286" s="279"/>
      <c r="D286" s="71"/>
      <c r="I286" s="20"/>
    </row>
    <row r="287" spans="2:9" x14ac:dyDescent="0.25">
      <c r="B287" s="279"/>
      <c r="D287" s="71"/>
      <c r="I287" s="20"/>
    </row>
    <row r="288" spans="2:9" x14ac:dyDescent="0.25">
      <c r="B288" s="279"/>
      <c r="D288" s="71"/>
      <c r="I288" s="20"/>
    </row>
    <row r="289" spans="2:9" x14ac:dyDescent="0.25">
      <c r="B289" s="279"/>
      <c r="D289" s="71"/>
      <c r="I289" s="20"/>
    </row>
    <row r="290" spans="2:9" x14ac:dyDescent="0.25">
      <c r="B290" s="279"/>
      <c r="D290" s="71"/>
      <c r="I290" s="20"/>
    </row>
    <row r="291" spans="2:9" x14ac:dyDescent="0.25">
      <c r="B291" s="279"/>
      <c r="D291" s="71"/>
      <c r="I291" s="20"/>
    </row>
    <row r="292" spans="2:9" x14ac:dyDescent="0.25">
      <c r="B292" s="279"/>
      <c r="D292" s="71"/>
      <c r="I292" s="20"/>
    </row>
    <row r="293" spans="2:9" x14ac:dyDescent="0.25">
      <c r="B293" s="279"/>
      <c r="D293" s="71"/>
      <c r="I293" s="20"/>
    </row>
    <row r="294" spans="2:9" x14ac:dyDescent="0.25">
      <c r="B294" s="279"/>
      <c r="D294" s="71"/>
      <c r="I294" s="20"/>
    </row>
    <row r="295" spans="2:9" x14ac:dyDescent="0.25">
      <c r="B295" s="279"/>
      <c r="D295" s="71"/>
      <c r="I295" s="20"/>
    </row>
    <row r="296" spans="2:9" x14ac:dyDescent="0.25">
      <c r="B296" s="279"/>
      <c r="D296" s="71"/>
      <c r="I296" s="20"/>
    </row>
    <row r="297" spans="2:9" x14ac:dyDescent="0.25">
      <c r="B297" s="279"/>
      <c r="D297" s="71"/>
      <c r="I297" s="20"/>
    </row>
    <row r="298" spans="2:9" x14ac:dyDescent="0.25">
      <c r="B298" s="279"/>
      <c r="D298" s="71"/>
      <c r="I298" s="20"/>
    </row>
    <row r="299" spans="2:9" x14ac:dyDescent="0.25">
      <c r="B299" s="279"/>
      <c r="D299" s="71"/>
      <c r="I299" s="20"/>
    </row>
    <row r="300" spans="2:9" x14ac:dyDescent="0.25">
      <c r="B300" s="279"/>
      <c r="D300" s="71"/>
      <c r="I300" s="20"/>
    </row>
    <row r="301" spans="2:9" x14ac:dyDescent="0.25">
      <c r="B301" s="279"/>
      <c r="D301" s="71"/>
      <c r="I301" s="20"/>
    </row>
    <row r="302" spans="2:9" x14ac:dyDescent="0.25">
      <c r="B302" s="279"/>
      <c r="D302" s="71"/>
      <c r="I302" s="20"/>
    </row>
  </sheetData>
  <sheetProtection algorithmName="SHA-512" hashValue="iE8uQ+JNNYwf/OPMhNUwmmrz/MmnWlu91sWLJoaZNAczaAHaoMCvnuBUXsiGLKGupRKTTT5imJnWB0i+eNM0Vg==" saltValue="FfB8k2PPR+5m405SgigK3w==" spinCount="100000" sheet="1" objects="1" scenarios="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EB927-E740-4B5A-AA67-B4DEFE2B597C}">
  <sheetPr codeName="Sheet7">
    <tabColor theme="5" tint="0.59999389629810485"/>
  </sheetPr>
  <dimension ref="A1:AI875"/>
  <sheetViews>
    <sheetView showGridLines="0" showRowColHeaders="0" workbookViewId="0">
      <selection activeCell="K20" sqref="K20"/>
    </sheetView>
  </sheetViews>
  <sheetFormatPr defaultRowHeight="11.5" x14ac:dyDescent="0.25"/>
  <cols>
    <col min="2" max="2" width="10.3984375"/>
    <col min="3" max="3" width="9.296875" bestFit="1" customWidth="1"/>
    <col min="5" max="5" width="9.296875" bestFit="1" customWidth="1"/>
    <col min="7" max="7" width="12.59765625" customWidth="1"/>
    <col min="8" max="8" width="12" customWidth="1"/>
    <col min="9" max="9" width="13.3984375" customWidth="1"/>
    <col min="10" max="13" width="15.8984375" customWidth="1"/>
    <col min="14" max="14" width="9.59765625" customWidth="1"/>
    <col min="15" max="15" width="12.296875" customWidth="1"/>
    <col min="16" max="16" width="10.8984375" customWidth="1"/>
    <col min="17" max="17" width="13.296875" bestFit="1" customWidth="1"/>
    <col min="18" max="18" width="14.09765625" bestFit="1" customWidth="1"/>
    <col min="19" max="19" width="10" bestFit="1" customWidth="1"/>
    <col min="20" max="20" width="15.69921875" bestFit="1" customWidth="1"/>
    <col min="21" max="21" width="11" bestFit="1" customWidth="1"/>
    <col min="22" max="22" width="11" customWidth="1"/>
    <col min="23" max="23" width="6.8984375" bestFit="1" customWidth="1"/>
    <col min="24" max="24" width="9.3984375" customWidth="1"/>
    <col min="25" max="25" width="7.3984375" bestFit="1" customWidth="1"/>
    <col min="26" max="27" width="14.69921875" customWidth="1"/>
    <col min="28" max="28" width="13.296875" bestFit="1" customWidth="1"/>
    <col min="29" max="34" width="13.296875" customWidth="1"/>
    <col min="35" max="35" width="12.09765625" bestFit="1" customWidth="1"/>
    <col min="36" max="36" width="9.69921875" bestFit="1" customWidth="1"/>
    <col min="37" max="37" width="14.69921875" bestFit="1" customWidth="1"/>
    <col min="38" max="38" width="9.69921875" bestFit="1" customWidth="1"/>
    <col min="39" max="39" width="14.69921875" bestFit="1" customWidth="1"/>
    <col min="40" max="40" width="16.3984375" customWidth="1"/>
    <col min="41" max="41" width="14.69921875" bestFit="1" customWidth="1"/>
    <col min="42" max="42" width="9.69921875" bestFit="1" customWidth="1"/>
    <col min="43" max="43" width="19.59765625" bestFit="1" customWidth="1"/>
    <col min="44" max="44" width="14.59765625" bestFit="1" customWidth="1"/>
    <col min="45" max="45" width="10.3984375" bestFit="1" customWidth="1"/>
    <col min="46" max="46" width="9.3984375" bestFit="1" customWidth="1"/>
  </cols>
  <sheetData>
    <row r="1" spans="1:32" x14ac:dyDescent="0.25">
      <c r="A1" s="23" t="s">
        <v>8</v>
      </c>
      <c r="B1" s="68" t="s">
        <v>9</v>
      </c>
      <c r="C1" s="24" t="s">
        <v>10</v>
      </c>
      <c r="D1" s="24" t="s">
        <v>11</v>
      </c>
      <c r="E1" s="24" t="s">
        <v>12</v>
      </c>
      <c r="F1" s="24" t="s">
        <v>73</v>
      </c>
      <c r="G1" s="24" t="s">
        <v>15</v>
      </c>
      <c r="H1" s="67" t="s">
        <v>76</v>
      </c>
      <c r="I1" s="67" t="s">
        <v>78</v>
      </c>
      <c r="J1" s="67" t="s">
        <v>72</v>
      </c>
      <c r="K1" s="75"/>
      <c r="L1" s="75"/>
      <c r="M1" s="5" t="s">
        <v>79</v>
      </c>
      <c r="N1" s="5" t="s">
        <v>46</v>
      </c>
      <c r="O1" s="5" t="s">
        <v>15</v>
      </c>
      <c r="P1" s="5" t="s">
        <v>89</v>
      </c>
      <c r="Q1" s="5" t="s">
        <v>82</v>
      </c>
      <c r="R1" s="5" t="s">
        <v>83</v>
      </c>
      <c r="S1" s="5" t="s">
        <v>77</v>
      </c>
      <c r="U1" s="5" t="s">
        <v>9</v>
      </c>
      <c r="V1" s="5" t="s">
        <v>8</v>
      </c>
      <c r="X1" s="5" t="s">
        <v>79</v>
      </c>
      <c r="Y1" s="5" t="s">
        <v>46</v>
      </c>
      <c r="Z1" s="5" t="s">
        <v>15</v>
      </c>
      <c r="AA1" s="5" t="s">
        <v>90</v>
      </c>
      <c r="AB1" s="75" t="s">
        <v>191</v>
      </c>
      <c r="AC1" s="75"/>
      <c r="AD1" s="75"/>
      <c r="AE1" s="183"/>
      <c r="AF1" s="75"/>
    </row>
    <row r="2" spans="1:32" x14ac:dyDescent="0.25">
      <c r="A2">
        <v>2026</v>
      </c>
      <c r="B2" s="279">
        <v>46023</v>
      </c>
      <c r="C2" t="s">
        <v>13</v>
      </c>
      <c r="D2" t="s">
        <v>1332</v>
      </c>
      <c r="E2" t="s">
        <v>1415</v>
      </c>
      <c r="F2">
        <v>20260101</v>
      </c>
      <c r="G2" s="293">
        <v>0.01</v>
      </c>
      <c r="H2" s="70">
        <f>IFERROR(ExtrapBudget1[[#This Row],[Montant]]/VLOOKUP(ExtrapBudget1[[#This Row],[Cat_3]],TamponBudget1[],4,FALSE),"")</f>
        <v>12</v>
      </c>
      <c r="I2" s="293">
        <v>0.01</v>
      </c>
      <c r="J2">
        <v>0</v>
      </c>
      <c r="K2" s="71"/>
      <c r="L2" s="71"/>
      <c r="M2" t="s">
        <v>1415</v>
      </c>
      <c r="N2">
        <v>1</v>
      </c>
      <c r="O2" s="293">
        <v>0.01</v>
      </c>
      <c r="P2" s="71">
        <f>IFERROR(TamponBudget1[[#This Row],[Montant]]/$S$2,"")</f>
        <v>8.3333333333333339E-4</v>
      </c>
      <c r="Q2">
        <v>1</v>
      </c>
      <c r="R2">
        <v>113</v>
      </c>
      <c r="S2">
        <v>12</v>
      </c>
      <c r="U2" t="s">
        <v>433</v>
      </c>
      <c r="V2">
        <v>2026</v>
      </c>
      <c r="X2" t="s">
        <v>1415</v>
      </c>
      <c r="Y2">
        <v>1</v>
      </c>
      <c r="Z2" s="293">
        <v>0.01</v>
      </c>
      <c r="AA2" s="71">
        <f>IFERROR(tbTPCBudget1[[#This Row],[Montant]]/$S$2,"")</f>
        <v>8.3333333333333339E-4</v>
      </c>
      <c r="AB2">
        <v>0</v>
      </c>
      <c r="AE2" s="71"/>
    </row>
    <row r="3" spans="1:32" x14ac:dyDescent="0.25">
      <c r="A3">
        <v>2026</v>
      </c>
      <c r="B3" s="279">
        <v>46023</v>
      </c>
      <c r="C3" t="s">
        <v>13</v>
      </c>
      <c r="D3" t="s">
        <v>1331</v>
      </c>
      <c r="E3" t="s">
        <v>659</v>
      </c>
      <c r="F3">
        <v>20260102</v>
      </c>
      <c r="G3" s="293">
        <v>0.01</v>
      </c>
      <c r="H3" s="70">
        <f>IFERROR(ExtrapBudget1[[#This Row],[Montant]]/VLOOKUP(ExtrapBudget1[[#This Row],[Cat_3]],TamponBudget1[],4,FALSE),"")</f>
        <v>12</v>
      </c>
      <c r="I3" s="293">
        <v>0.01</v>
      </c>
      <c r="K3" s="71"/>
      <c r="L3" s="71"/>
      <c r="M3" t="s">
        <v>659</v>
      </c>
      <c r="N3">
        <v>2</v>
      </c>
      <c r="O3" s="293">
        <v>0.01</v>
      </c>
      <c r="P3" s="71">
        <f>IFERROR(TamponBudget1[[#This Row],[Montant]]/$S$2,"")</f>
        <v>8.3333333333333339E-4</v>
      </c>
      <c r="Q3" s="71">
        <f>IFERROR(SUM(ExtrapBudget1[Montant_Extrap])/$S$2,"")</f>
        <v>9.4166666666666732E-2</v>
      </c>
      <c r="U3" t="s">
        <v>434</v>
      </c>
      <c r="V3">
        <v>2026</v>
      </c>
      <c r="X3" t="s">
        <v>659</v>
      </c>
      <c r="Y3">
        <v>2</v>
      </c>
      <c r="Z3" s="293">
        <v>0.01</v>
      </c>
      <c r="AA3" s="71">
        <f>IFERROR(tbTPCBudget1[[#This Row],[Montant]]/$S$2,"")</f>
        <v>8.3333333333333339E-4</v>
      </c>
      <c r="AE3" s="71"/>
    </row>
    <row r="4" spans="1:32" x14ac:dyDescent="0.25">
      <c r="A4">
        <v>2026</v>
      </c>
      <c r="B4" s="279">
        <v>46023</v>
      </c>
      <c r="C4" t="s">
        <v>13</v>
      </c>
      <c r="D4" t="s">
        <v>1333</v>
      </c>
      <c r="E4" t="s">
        <v>1416</v>
      </c>
      <c r="F4">
        <v>20260103</v>
      </c>
      <c r="G4" s="293">
        <v>0.01</v>
      </c>
      <c r="H4" s="70">
        <f>IFERROR(ExtrapBudget1[[#This Row],[Montant]]/VLOOKUP(ExtrapBudget1[[#This Row],[Cat_3]],TamponBudget1[],4,FALSE),"")</f>
        <v>12</v>
      </c>
      <c r="I4" s="293">
        <v>0.01</v>
      </c>
      <c r="K4" s="71"/>
      <c r="L4" s="71"/>
      <c r="M4" t="s">
        <v>1416</v>
      </c>
      <c r="N4">
        <v>3</v>
      </c>
      <c r="O4" s="293">
        <v>0.01</v>
      </c>
      <c r="P4" s="71">
        <f>IFERROR(TamponBudget1[[#This Row],[Montant]]/$S$2,"")</f>
        <v>8.3333333333333339E-4</v>
      </c>
      <c r="U4" t="s">
        <v>435</v>
      </c>
      <c r="V4">
        <v>2026</v>
      </c>
      <c r="X4" t="s">
        <v>1416</v>
      </c>
      <c r="Y4">
        <v>3</v>
      </c>
      <c r="Z4" s="293">
        <v>0.01</v>
      </c>
      <c r="AA4" s="71">
        <f>IFERROR(tbTPCBudget1[[#This Row],[Montant]]/$S$2,"")</f>
        <v>8.3333333333333339E-4</v>
      </c>
      <c r="AE4" s="71"/>
    </row>
    <row r="5" spans="1:32" x14ac:dyDescent="0.25">
      <c r="A5">
        <v>2026</v>
      </c>
      <c r="B5" s="279">
        <v>46023</v>
      </c>
      <c r="C5" t="s">
        <v>14</v>
      </c>
      <c r="D5" t="s">
        <v>1401</v>
      </c>
      <c r="E5" t="s">
        <v>1408</v>
      </c>
      <c r="F5">
        <v>20260104</v>
      </c>
      <c r="G5" s="293">
        <v>0.01</v>
      </c>
      <c r="H5" s="70">
        <f>IFERROR(ExtrapBudget1[[#This Row],[Montant]]/VLOOKUP(ExtrapBudget1[[#This Row],[Cat_3]],TamponBudget1[],4,FALSE),"")</f>
        <v>12</v>
      </c>
      <c r="I5" s="293">
        <v>0.01</v>
      </c>
      <c r="K5" s="71"/>
      <c r="L5" s="71"/>
      <c r="M5" t="s">
        <v>1408</v>
      </c>
      <c r="N5">
        <v>4</v>
      </c>
      <c r="O5" s="293">
        <v>0.01</v>
      </c>
      <c r="P5" s="71">
        <f>IFERROR(TamponBudget1[[#This Row],[Montant]]/$S$2,"")</f>
        <v>8.3333333333333339E-4</v>
      </c>
      <c r="U5" t="s">
        <v>436</v>
      </c>
      <c r="V5">
        <v>2026</v>
      </c>
      <c r="X5" t="s">
        <v>1408</v>
      </c>
      <c r="Y5">
        <v>4</v>
      </c>
      <c r="Z5" s="293">
        <v>0.01</v>
      </c>
      <c r="AA5" s="71">
        <f>IFERROR(tbTPCBudget1[[#This Row],[Montant]]/$S$2,"")</f>
        <v>8.3333333333333339E-4</v>
      </c>
      <c r="AE5" s="71"/>
    </row>
    <row r="6" spans="1:32" x14ac:dyDescent="0.25">
      <c r="A6">
        <v>2026</v>
      </c>
      <c r="B6" s="279">
        <v>46023</v>
      </c>
      <c r="C6" t="s">
        <v>14</v>
      </c>
      <c r="D6" t="s">
        <v>1402</v>
      </c>
      <c r="E6" t="s">
        <v>1409</v>
      </c>
      <c r="F6">
        <v>20260105</v>
      </c>
      <c r="G6" s="293">
        <v>0.01</v>
      </c>
      <c r="H6" s="70">
        <f>IFERROR(ExtrapBudget1[[#This Row],[Montant]]/VLOOKUP(ExtrapBudget1[[#This Row],[Cat_3]],TamponBudget1[],4,FALSE),"")</f>
        <v>12</v>
      </c>
      <c r="I6" s="293">
        <v>0.01</v>
      </c>
      <c r="K6" s="71"/>
      <c r="L6" s="71"/>
      <c r="M6" t="s">
        <v>1409</v>
      </c>
      <c r="N6">
        <v>5</v>
      </c>
      <c r="O6" s="293">
        <v>0.01</v>
      </c>
      <c r="P6" s="71">
        <f>IFERROR(TamponBudget1[[#This Row],[Montant]]/$S$2,"")</f>
        <v>8.3333333333333339E-4</v>
      </c>
      <c r="U6" t="s">
        <v>437</v>
      </c>
      <c r="V6">
        <v>2026</v>
      </c>
      <c r="X6" t="s">
        <v>1409</v>
      </c>
      <c r="Y6">
        <v>5</v>
      </c>
      <c r="Z6" s="293">
        <v>0.01</v>
      </c>
      <c r="AA6" s="71">
        <f>IFERROR(tbTPCBudget1[[#This Row],[Montant]]/$S$2,"")</f>
        <v>8.3333333333333339E-4</v>
      </c>
      <c r="AE6" s="71"/>
    </row>
    <row r="7" spans="1:32" x14ac:dyDescent="0.25">
      <c r="A7">
        <v>2026</v>
      </c>
      <c r="B7" s="279">
        <v>46023</v>
      </c>
      <c r="C7" t="s">
        <v>14</v>
      </c>
      <c r="D7" t="s">
        <v>1403</v>
      </c>
      <c r="E7" t="s">
        <v>1410</v>
      </c>
      <c r="F7">
        <v>20260106</v>
      </c>
      <c r="G7" s="293">
        <v>0.01</v>
      </c>
      <c r="H7" s="70">
        <f>IFERROR(ExtrapBudget1[[#This Row],[Montant]]/VLOOKUP(ExtrapBudget1[[#This Row],[Cat_3]],TamponBudget1[],4,FALSE),"")</f>
        <v>12</v>
      </c>
      <c r="I7" s="293">
        <v>0.01</v>
      </c>
      <c r="K7" s="71"/>
      <c r="L7" s="71"/>
      <c r="M7" t="s">
        <v>1410</v>
      </c>
      <c r="N7">
        <v>6</v>
      </c>
      <c r="O7" s="293">
        <v>0.01</v>
      </c>
      <c r="P7" s="71">
        <f>IFERROR(TamponBudget1[[#This Row],[Montant]]/$S$2,"")</f>
        <v>8.3333333333333339E-4</v>
      </c>
      <c r="U7" t="s">
        <v>438</v>
      </c>
      <c r="V7">
        <v>2026</v>
      </c>
      <c r="X7" t="s">
        <v>1410</v>
      </c>
      <c r="Y7">
        <v>6</v>
      </c>
      <c r="Z7" s="293">
        <v>0.01</v>
      </c>
      <c r="AA7" s="71">
        <f>IFERROR(tbTPCBudget1[[#This Row],[Montant]]/$S$2,"")</f>
        <v>8.3333333333333339E-4</v>
      </c>
      <c r="AE7" s="71"/>
    </row>
    <row r="8" spans="1:32" x14ac:dyDescent="0.25">
      <c r="A8">
        <v>2026</v>
      </c>
      <c r="B8" s="279">
        <v>46023</v>
      </c>
      <c r="C8" t="s">
        <v>14</v>
      </c>
      <c r="D8" t="s">
        <v>1404</v>
      </c>
      <c r="E8" t="s">
        <v>1411</v>
      </c>
      <c r="F8">
        <v>20260107</v>
      </c>
      <c r="G8" s="293">
        <v>0.01</v>
      </c>
      <c r="H8" s="70">
        <f>IFERROR(ExtrapBudget1[[#This Row],[Montant]]/VLOOKUP(ExtrapBudget1[[#This Row],[Cat_3]],TamponBudget1[],4,FALSE),"")</f>
        <v>12</v>
      </c>
      <c r="I8" s="293">
        <v>0.01</v>
      </c>
      <c r="K8" s="71"/>
      <c r="L8" s="71"/>
      <c r="M8" t="s">
        <v>1411</v>
      </c>
      <c r="N8">
        <v>7</v>
      </c>
      <c r="O8" s="293">
        <v>0.01</v>
      </c>
      <c r="P8" s="71">
        <f>IFERROR(TamponBudget1[[#This Row],[Montant]]/$S$2,"")</f>
        <v>8.3333333333333339E-4</v>
      </c>
      <c r="U8" t="s">
        <v>439</v>
      </c>
      <c r="V8">
        <v>2026</v>
      </c>
      <c r="X8" t="s">
        <v>1411</v>
      </c>
      <c r="Y8">
        <v>7</v>
      </c>
      <c r="Z8" s="293">
        <v>0.01</v>
      </c>
      <c r="AA8" s="71">
        <f>IFERROR(tbTPCBudget1[[#This Row],[Montant]]/$S$2,"")</f>
        <v>8.3333333333333339E-4</v>
      </c>
      <c r="AE8" s="71"/>
    </row>
    <row r="9" spans="1:32" x14ac:dyDescent="0.25">
      <c r="A9">
        <v>2026</v>
      </c>
      <c r="B9" s="279">
        <v>46023</v>
      </c>
      <c r="C9" t="s">
        <v>14</v>
      </c>
      <c r="D9" t="s">
        <v>1405</v>
      </c>
      <c r="E9" t="s">
        <v>1412</v>
      </c>
      <c r="F9">
        <v>20260108</v>
      </c>
      <c r="G9" s="293">
        <v>0.01</v>
      </c>
      <c r="H9" s="70">
        <f>IFERROR(ExtrapBudget1[[#This Row],[Montant]]/VLOOKUP(ExtrapBudget1[[#This Row],[Cat_3]],TamponBudget1[],4,FALSE),"")</f>
        <v>12</v>
      </c>
      <c r="I9" s="293">
        <v>0.01</v>
      </c>
      <c r="K9" s="71"/>
      <c r="L9" s="71"/>
      <c r="M9" t="s">
        <v>1412</v>
      </c>
      <c r="N9">
        <v>8</v>
      </c>
      <c r="O9" s="293">
        <v>0.01</v>
      </c>
      <c r="P9" s="71">
        <f>IFERROR(TamponBudget1[[#This Row],[Montant]]/$S$2,"")</f>
        <v>8.3333333333333339E-4</v>
      </c>
      <c r="U9" t="s">
        <v>440</v>
      </c>
      <c r="V9">
        <v>2026</v>
      </c>
      <c r="X9" t="s">
        <v>1412</v>
      </c>
      <c r="Y9">
        <v>8</v>
      </c>
      <c r="Z9" s="293">
        <v>0.01</v>
      </c>
      <c r="AA9" s="71">
        <f>IFERROR(tbTPCBudget1[[#This Row],[Montant]]/$S$2,"")</f>
        <v>8.3333333333333339E-4</v>
      </c>
      <c r="AE9" s="71"/>
    </row>
    <row r="10" spans="1:32" x14ac:dyDescent="0.25">
      <c r="A10">
        <v>2026</v>
      </c>
      <c r="B10" s="279">
        <v>46023</v>
      </c>
      <c r="C10" t="s">
        <v>14</v>
      </c>
      <c r="D10" t="s">
        <v>1406</v>
      </c>
      <c r="E10" t="s">
        <v>1414</v>
      </c>
      <c r="F10">
        <v>20260109</v>
      </c>
      <c r="G10" s="293">
        <v>0.01</v>
      </c>
      <c r="H10" s="70">
        <f>IFERROR(ExtrapBudget1[[#This Row],[Montant]]/VLOOKUP(ExtrapBudget1[[#This Row],[Cat_3]],TamponBudget1[],4,FALSE),"")</f>
        <v>12</v>
      </c>
      <c r="I10" s="293">
        <v>0.01</v>
      </c>
      <c r="K10" s="71"/>
      <c r="L10" s="71"/>
      <c r="M10" t="s">
        <v>1414</v>
      </c>
      <c r="N10">
        <v>9</v>
      </c>
      <c r="O10" s="293">
        <v>0.01</v>
      </c>
      <c r="P10" s="71">
        <f>IFERROR(TamponBudget1[[#This Row],[Montant]]/$S$2,"")</f>
        <v>8.3333333333333339E-4</v>
      </c>
      <c r="U10" t="s">
        <v>441</v>
      </c>
      <c r="V10">
        <v>2026</v>
      </c>
      <c r="X10" t="s">
        <v>1414</v>
      </c>
      <c r="Y10">
        <v>9</v>
      </c>
      <c r="Z10" s="293">
        <v>0.01</v>
      </c>
      <c r="AA10" s="71">
        <f>IFERROR(tbTPCBudget1[[#This Row],[Montant]]/$S$2,"")</f>
        <v>8.3333333333333339E-4</v>
      </c>
      <c r="AE10" s="71"/>
    </row>
    <row r="11" spans="1:32" x14ac:dyDescent="0.25">
      <c r="A11">
        <v>2026</v>
      </c>
      <c r="B11" s="279">
        <v>46023</v>
      </c>
      <c r="C11" t="s">
        <v>14</v>
      </c>
      <c r="D11" t="s">
        <v>1407</v>
      </c>
      <c r="E11" t="s">
        <v>1413</v>
      </c>
      <c r="F11">
        <v>20260110</v>
      </c>
      <c r="G11" s="293">
        <v>0.01</v>
      </c>
      <c r="H11" s="70">
        <f>IFERROR(ExtrapBudget1[[#This Row],[Montant]]/VLOOKUP(ExtrapBudget1[[#This Row],[Cat_3]],TamponBudget1[],4,FALSE),"")</f>
        <v>12</v>
      </c>
      <c r="I11" s="293">
        <v>0.01</v>
      </c>
      <c r="K11" s="71"/>
      <c r="L11" s="71"/>
      <c r="M11" t="s">
        <v>1413</v>
      </c>
      <c r="N11">
        <v>10</v>
      </c>
      <c r="O11" s="293">
        <v>0.01</v>
      </c>
      <c r="P11" s="71">
        <f>IFERROR(TamponBudget1[[#This Row],[Montant]]/$S$2,"")</f>
        <v>8.3333333333333339E-4</v>
      </c>
      <c r="U11" t="s">
        <v>442</v>
      </c>
      <c r="V11">
        <v>2026</v>
      </c>
      <c r="X11" t="s">
        <v>1413</v>
      </c>
      <c r="Y11">
        <v>10</v>
      </c>
      <c r="Z11" s="293">
        <v>0.01</v>
      </c>
      <c r="AA11" s="71">
        <f>IFERROR(tbTPCBudget1[[#This Row],[Montant]]/$S$2,"")</f>
        <v>8.3333333333333339E-4</v>
      </c>
      <c r="AE11" s="71"/>
    </row>
    <row r="12" spans="1:32" x14ac:dyDescent="0.25">
      <c r="A12">
        <v>2026</v>
      </c>
      <c r="B12" s="279">
        <v>46054</v>
      </c>
      <c r="C12" t="s">
        <v>13</v>
      </c>
      <c r="D12" t="s">
        <v>1332</v>
      </c>
      <c r="E12" t="s">
        <v>1415</v>
      </c>
      <c r="F12">
        <v>20260201</v>
      </c>
      <c r="G12" s="293">
        <v>0.01</v>
      </c>
      <c r="H12" s="70">
        <f>IFERROR(ExtrapBudget1[[#This Row],[Montant]]/VLOOKUP(ExtrapBudget1[[#This Row],[Cat_3]],TamponBudget1[],4,FALSE),"")</f>
        <v>12</v>
      </c>
      <c r="I12" s="293">
        <v>0.01</v>
      </c>
      <c r="J12">
        <v>0</v>
      </c>
      <c r="K12" s="71"/>
      <c r="L12" s="71"/>
      <c r="O12" s="71"/>
      <c r="P12" s="71"/>
      <c r="U12" t="s">
        <v>443</v>
      </c>
      <c r="V12">
        <v>2026</v>
      </c>
      <c r="Z12" s="71"/>
      <c r="AA12" s="71"/>
      <c r="AE12" s="71"/>
    </row>
    <row r="13" spans="1:32" x14ac:dyDescent="0.25">
      <c r="A13">
        <v>2026</v>
      </c>
      <c r="B13" s="279">
        <v>46054</v>
      </c>
      <c r="C13" t="s">
        <v>13</v>
      </c>
      <c r="D13" t="s">
        <v>1331</v>
      </c>
      <c r="E13" t="s">
        <v>659</v>
      </c>
      <c r="F13">
        <v>20260202</v>
      </c>
      <c r="G13" s="293">
        <v>0.01</v>
      </c>
      <c r="H13" s="70">
        <f>IFERROR(ExtrapBudget1[[#This Row],[Montant]]/VLOOKUP(ExtrapBudget1[[#This Row],[Cat_3]],TamponBudget1[],4,FALSE),"")</f>
        <v>12</v>
      </c>
      <c r="I13" s="293">
        <v>0.01</v>
      </c>
      <c r="K13" s="71"/>
      <c r="L13" s="71"/>
      <c r="O13" s="71"/>
      <c r="P13" s="71"/>
      <c r="U13" t="s">
        <v>444</v>
      </c>
      <c r="V13">
        <v>2026</v>
      </c>
      <c r="Z13" s="71"/>
      <c r="AA13" s="71"/>
      <c r="AE13" s="71"/>
    </row>
    <row r="14" spans="1:32" x14ac:dyDescent="0.25">
      <c r="A14">
        <v>2026</v>
      </c>
      <c r="B14" s="279">
        <v>46054</v>
      </c>
      <c r="C14" t="s">
        <v>13</v>
      </c>
      <c r="D14" t="s">
        <v>1333</v>
      </c>
      <c r="E14" t="s">
        <v>1416</v>
      </c>
      <c r="F14">
        <v>20260203</v>
      </c>
      <c r="G14" s="293">
        <v>0.01</v>
      </c>
      <c r="H14" s="70">
        <f>IFERROR(ExtrapBudget1[[#This Row],[Montant]]/VLOOKUP(ExtrapBudget1[[#This Row],[Cat_3]],TamponBudget1[],4,FALSE),"")</f>
        <v>12</v>
      </c>
      <c r="I14" s="293">
        <v>0.01</v>
      </c>
      <c r="K14" s="71"/>
      <c r="L14" s="71"/>
      <c r="O14" s="71"/>
      <c r="P14" s="71"/>
      <c r="Z14" s="71"/>
      <c r="AA14" s="71"/>
      <c r="AE14" s="71"/>
    </row>
    <row r="15" spans="1:32" x14ac:dyDescent="0.25">
      <c r="A15">
        <v>2026</v>
      </c>
      <c r="B15" s="279">
        <v>46054</v>
      </c>
      <c r="C15" t="s">
        <v>14</v>
      </c>
      <c r="D15" t="s">
        <v>1401</v>
      </c>
      <c r="E15" t="s">
        <v>1408</v>
      </c>
      <c r="F15">
        <v>20260204</v>
      </c>
      <c r="G15" s="293">
        <v>0.01</v>
      </c>
      <c r="H15" s="70">
        <f>IFERROR(ExtrapBudget1[[#This Row],[Montant]]/VLOOKUP(ExtrapBudget1[[#This Row],[Cat_3]],TamponBudget1[],4,FALSE),"")</f>
        <v>12</v>
      </c>
      <c r="I15" s="293">
        <v>0.01</v>
      </c>
      <c r="K15" s="71"/>
      <c r="L15" s="71"/>
      <c r="O15" s="71"/>
      <c r="P15" s="71"/>
      <c r="Z15" s="71"/>
      <c r="AA15" s="71"/>
      <c r="AE15" s="71"/>
    </row>
    <row r="16" spans="1:32" x14ac:dyDescent="0.25">
      <c r="A16">
        <v>2026</v>
      </c>
      <c r="B16" s="279">
        <v>46054</v>
      </c>
      <c r="C16" t="s">
        <v>14</v>
      </c>
      <c r="D16" t="s">
        <v>1402</v>
      </c>
      <c r="E16" t="s">
        <v>1409</v>
      </c>
      <c r="F16">
        <v>20260205</v>
      </c>
      <c r="G16" s="293">
        <v>0.01</v>
      </c>
      <c r="H16" s="70">
        <f>IFERROR(ExtrapBudget1[[#This Row],[Montant]]/VLOOKUP(ExtrapBudget1[[#This Row],[Cat_3]],TamponBudget1[],4,FALSE),"")</f>
        <v>12</v>
      </c>
      <c r="I16" s="293">
        <v>0.01</v>
      </c>
      <c r="K16" s="71"/>
      <c r="L16" s="71"/>
      <c r="O16" s="71"/>
      <c r="P16" s="71"/>
      <c r="Z16" s="71"/>
      <c r="AA16" s="71"/>
      <c r="AE16" s="71"/>
    </row>
    <row r="17" spans="1:31" x14ac:dyDescent="0.25">
      <c r="A17">
        <v>2026</v>
      </c>
      <c r="B17" s="279">
        <v>46054</v>
      </c>
      <c r="C17" t="s">
        <v>14</v>
      </c>
      <c r="D17" t="s">
        <v>1403</v>
      </c>
      <c r="E17" t="s">
        <v>1410</v>
      </c>
      <c r="F17">
        <v>20260206</v>
      </c>
      <c r="G17" s="293">
        <v>0.01</v>
      </c>
      <c r="H17" s="70">
        <f>IFERROR(ExtrapBudget1[[#This Row],[Montant]]/VLOOKUP(ExtrapBudget1[[#This Row],[Cat_3]],TamponBudget1[],4,FALSE),"")</f>
        <v>12</v>
      </c>
      <c r="I17" s="293">
        <v>0.01</v>
      </c>
      <c r="K17" s="71"/>
      <c r="L17" s="71"/>
      <c r="O17" s="71"/>
      <c r="P17" s="71"/>
      <c r="Z17" s="71"/>
      <c r="AA17" s="71"/>
      <c r="AE17" s="71"/>
    </row>
    <row r="18" spans="1:31" x14ac:dyDescent="0.25">
      <c r="A18">
        <v>2026</v>
      </c>
      <c r="B18" s="279">
        <v>46054</v>
      </c>
      <c r="C18" t="s">
        <v>14</v>
      </c>
      <c r="D18" t="s">
        <v>1404</v>
      </c>
      <c r="E18" t="s">
        <v>1411</v>
      </c>
      <c r="F18">
        <v>20260207</v>
      </c>
      <c r="G18" s="293">
        <v>0.01</v>
      </c>
      <c r="H18" s="70">
        <f>IFERROR(ExtrapBudget1[[#This Row],[Montant]]/VLOOKUP(ExtrapBudget1[[#This Row],[Cat_3]],TamponBudget1[],4,FALSE),"")</f>
        <v>12</v>
      </c>
      <c r="I18" s="293">
        <v>0.01</v>
      </c>
      <c r="K18" s="71"/>
      <c r="L18" s="71"/>
      <c r="O18" s="71"/>
      <c r="P18" s="71"/>
      <c r="Z18" s="71"/>
      <c r="AA18" s="71"/>
      <c r="AE18" s="71"/>
    </row>
    <row r="19" spans="1:31" x14ac:dyDescent="0.25">
      <c r="A19">
        <v>2026</v>
      </c>
      <c r="B19" s="279">
        <v>46054</v>
      </c>
      <c r="C19" t="s">
        <v>14</v>
      </c>
      <c r="D19" t="s">
        <v>1405</v>
      </c>
      <c r="E19" t="s">
        <v>1412</v>
      </c>
      <c r="F19">
        <v>20260208</v>
      </c>
      <c r="G19" s="293">
        <v>0.01</v>
      </c>
      <c r="H19" s="70">
        <f>IFERROR(ExtrapBudget1[[#This Row],[Montant]]/VLOOKUP(ExtrapBudget1[[#This Row],[Cat_3]],TamponBudget1[],4,FALSE),"")</f>
        <v>12</v>
      </c>
      <c r="I19" s="293">
        <v>0.01</v>
      </c>
      <c r="K19" s="71"/>
      <c r="L19" s="71"/>
      <c r="O19" s="71"/>
      <c r="P19" s="71"/>
      <c r="Z19" s="71"/>
      <c r="AA19" s="71"/>
      <c r="AE19" s="71"/>
    </row>
    <row r="20" spans="1:31" x14ac:dyDescent="0.25">
      <c r="A20">
        <v>2026</v>
      </c>
      <c r="B20" s="279">
        <v>46054</v>
      </c>
      <c r="C20" t="s">
        <v>14</v>
      </c>
      <c r="D20" t="s">
        <v>1406</v>
      </c>
      <c r="E20" t="s">
        <v>1414</v>
      </c>
      <c r="F20">
        <v>20260209</v>
      </c>
      <c r="G20" s="293">
        <v>0.01</v>
      </c>
      <c r="H20" s="70">
        <f>IFERROR(ExtrapBudget1[[#This Row],[Montant]]/VLOOKUP(ExtrapBudget1[[#This Row],[Cat_3]],TamponBudget1[],4,FALSE),"")</f>
        <v>12</v>
      </c>
      <c r="I20" s="293">
        <v>0.01</v>
      </c>
      <c r="K20" s="71"/>
      <c r="L20" s="71"/>
      <c r="O20" s="71"/>
      <c r="P20" s="71"/>
      <c r="Z20" s="71"/>
      <c r="AA20" s="71"/>
      <c r="AE20" s="71"/>
    </row>
    <row r="21" spans="1:31" x14ac:dyDescent="0.25">
      <c r="A21">
        <v>2026</v>
      </c>
      <c r="B21" s="279">
        <v>46054</v>
      </c>
      <c r="C21" t="s">
        <v>14</v>
      </c>
      <c r="D21" t="s">
        <v>1407</v>
      </c>
      <c r="E21" t="s">
        <v>1413</v>
      </c>
      <c r="F21">
        <v>20260210</v>
      </c>
      <c r="G21" s="293">
        <v>0.01</v>
      </c>
      <c r="H21" s="70">
        <f>IFERROR(ExtrapBudget1[[#This Row],[Montant]]/VLOOKUP(ExtrapBudget1[[#This Row],[Cat_3]],TamponBudget1[],4,FALSE),"")</f>
        <v>12</v>
      </c>
      <c r="I21" s="293">
        <v>0.01</v>
      </c>
      <c r="K21" s="71"/>
      <c r="L21" s="71"/>
      <c r="O21" s="71"/>
      <c r="P21" s="71"/>
      <c r="Z21" s="71"/>
      <c r="AA21" s="71"/>
      <c r="AE21" s="71"/>
    </row>
    <row r="22" spans="1:31" x14ac:dyDescent="0.25">
      <c r="A22">
        <v>2026</v>
      </c>
      <c r="B22" s="279">
        <v>46054</v>
      </c>
      <c r="C22" t="s">
        <v>14</v>
      </c>
      <c r="D22" t="s">
        <v>1407</v>
      </c>
      <c r="E22" t="s">
        <v>1413</v>
      </c>
      <c r="F22">
        <v>20260210</v>
      </c>
      <c r="G22" s="293">
        <v>0.01</v>
      </c>
      <c r="H22" s="70">
        <f>IFERROR(ExtrapBudget1[[#This Row],[Montant]]/VLOOKUP(ExtrapBudget1[[#This Row],[Cat_3]],TamponBudget1[],4,FALSE),"")</f>
        <v>12</v>
      </c>
      <c r="I22" s="293">
        <v>0.01</v>
      </c>
      <c r="K22" s="71"/>
      <c r="L22" s="71"/>
      <c r="O22" s="71"/>
      <c r="P22" s="71"/>
      <c r="Z22" s="71"/>
      <c r="AA22" s="71"/>
      <c r="AE22" s="71"/>
    </row>
    <row r="23" spans="1:31" x14ac:dyDescent="0.25">
      <c r="A23">
        <v>2026</v>
      </c>
      <c r="B23" s="279">
        <v>46082</v>
      </c>
      <c r="C23" t="s">
        <v>13</v>
      </c>
      <c r="D23" t="s">
        <v>1332</v>
      </c>
      <c r="E23" t="s">
        <v>1415</v>
      </c>
      <c r="F23">
        <v>20260301</v>
      </c>
      <c r="G23" s="293">
        <v>0.01</v>
      </c>
      <c r="H23" s="70">
        <f>IFERROR(ExtrapBudget1[[#This Row],[Montant]]/VLOOKUP(ExtrapBudget1[[#This Row],[Cat_3]],TamponBudget1[],4,FALSE),"")</f>
        <v>12</v>
      </c>
      <c r="I23" s="293">
        <v>0.01</v>
      </c>
      <c r="J23">
        <v>0</v>
      </c>
      <c r="K23" s="71"/>
      <c r="L23" s="71"/>
      <c r="O23" s="71"/>
      <c r="P23" s="71"/>
      <c r="Z23" s="71"/>
      <c r="AA23" s="71"/>
      <c r="AE23" s="71"/>
    </row>
    <row r="24" spans="1:31" x14ac:dyDescent="0.25">
      <c r="A24">
        <v>2026</v>
      </c>
      <c r="B24" s="279">
        <v>46082</v>
      </c>
      <c r="C24" t="s">
        <v>13</v>
      </c>
      <c r="D24" t="s">
        <v>1331</v>
      </c>
      <c r="E24" t="s">
        <v>659</v>
      </c>
      <c r="F24">
        <v>20260302</v>
      </c>
      <c r="G24" s="293">
        <v>0.01</v>
      </c>
      <c r="H24" s="70">
        <f>IFERROR(ExtrapBudget1[[#This Row],[Montant]]/VLOOKUP(ExtrapBudget1[[#This Row],[Cat_3]],TamponBudget1[],4,FALSE),"")</f>
        <v>12</v>
      </c>
      <c r="I24" s="293">
        <v>0.01</v>
      </c>
      <c r="K24" s="71"/>
      <c r="L24" s="71"/>
      <c r="O24" s="71"/>
      <c r="P24" s="71"/>
      <c r="Z24" s="71"/>
      <c r="AA24" s="71"/>
      <c r="AE24" s="71"/>
    </row>
    <row r="25" spans="1:31" x14ac:dyDescent="0.25">
      <c r="A25">
        <v>2026</v>
      </c>
      <c r="B25" s="279">
        <v>46082</v>
      </c>
      <c r="C25" t="s">
        <v>14</v>
      </c>
      <c r="D25" t="s">
        <v>1401</v>
      </c>
      <c r="E25" t="s">
        <v>1408</v>
      </c>
      <c r="F25">
        <v>20260304</v>
      </c>
      <c r="G25" s="293">
        <v>0.01</v>
      </c>
      <c r="H25" s="70">
        <f>IFERROR(ExtrapBudget1[[#This Row],[Montant]]/VLOOKUP(ExtrapBudget1[[#This Row],[Cat_3]],TamponBudget1[],4,FALSE),"")</f>
        <v>12</v>
      </c>
      <c r="I25" s="293">
        <v>0.01</v>
      </c>
      <c r="K25" s="71"/>
      <c r="L25" s="71"/>
      <c r="O25" s="71"/>
      <c r="P25" s="71"/>
      <c r="Z25" s="71"/>
      <c r="AA25" s="71"/>
      <c r="AE25" s="71"/>
    </row>
    <row r="26" spans="1:31" x14ac:dyDescent="0.25">
      <c r="A26">
        <v>2026</v>
      </c>
      <c r="B26" s="279">
        <v>46082</v>
      </c>
      <c r="C26" t="s">
        <v>14</v>
      </c>
      <c r="D26" t="s">
        <v>1402</v>
      </c>
      <c r="E26" t="s">
        <v>1409</v>
      </c>
      <c r="F26">
        <v>20260305</v>
      </c>
      <c r="G26" s="293">
        <v>0.01</v>
      </c>
      <c r="H26" s="70">
        <f>IFERROR(ExtrapBudget1[[#This Row],[Montant]]/VLOOKUP(ExtrapBudget1[[#This Row],[Cat_3]],TamponBudget1[],4,FALSE),"")</f>
        <v>12</v>
      </c>
      <c r="I26" s="293">
        <v>0.01</v>
      </c>
      <c r="K26" s="71"/>
      <c r="L26" s="71"/>
      <c r="O26" s="71"/>
      <c r="P26" s="71"/>
      <c r="Z26" s="71"/>
      <c r="AA26" s="71"/>
      <c r="AE26" s="71"/>
    </row>
    <row r="27" spans="1:31" x14ac:dyDescent="0.25">
      <c r="A27">
        <v>2026</v>
      </c>
      <c r="B27" s="279">
        <v>46082</v>
      </c>
      <c r="C27" t="s">
        <v>14</v>
      </c>
      <c r="D27" t="s">
        <v>1403</v>
      </c>
      <c r="E27" t="s">
        <v>1410</v>
      </c>
      <c r="F27">
        <v>20260306</v>
      </c>
      <c r="G27" s="293">
        <v>0.01</v>
      </c>
      <c r="H27" s="70">
        <f>IFERROR(ExtrapBudget1[[#This Row],[Montant]]/VLOOKUP(ExtrapBudget1[[#This Row],[Cat_3]],TamponBudget1[],4,FALSE),"")</f>
        <v>12</v>
      </c>
      <c r="I27" s="293">
        <v>0.01</v>
      </c>
      <c r="K27" s="71"/>
      <c r="L27" s="71"/>
      <c r="O27" s="71"/>
      <c r="P27" s="71"/>
      <c r="Z27" s="71"/>
      <c r="AA27" s="71"/>
      <c r="AE27" s="71"/>
    </row>
    <row r="28" spans="1:31" x14ac:dyDescent="0.25">
      <c r="A28">
        <v>2026</v>
      </c>
      <c r="B28" s="279">
        <v>46082</v>
      </c>
      <c r="C28" t="s">
        <v>14</v>
      </c>
      <c r="D28" t="s">
        <v>1404</v>
      </c>
      <c r="E28" t="s">
        <v>1411</v>
      </c>
      <c r="F28">
        <v>20260307</v>
      </c>
      <c r="G28" s="293">
        <v>0.01</v>
      </c>
      <c r="H28" s="70">
        <f>IFERROR(ExtrapBudget1[[#This Row],[Montant]]/VLOOKUP(ExtrapBudget1[[#This Row],[Cat_3]],TamponBudget1[],4,FALSE),"")</f>
        <v>12</v>
      </c>
      <c r="I28" s="293">
        <v>0.01</v>
      </c>
      <c r="K28" s="71"/>
      <c r="L28" s="71"/>
      <c r="O28" s="71"/>
      <c r="P28" s="71"/>
      <c r="Z28" s="71"/>
      <c r="AA28" s="71"/>
      <c r="AE28" s="71"/>
    </row>
    <row r="29" spans="1:31" x14ac:dyDescent="0.25">
      <c r="A29">
        <v>2026</v>
      </c>
      <c r="B29" s="279">
        <v>46082</v>
      </c>
      <c r="C29" t="s">
        <v>14</v>
      </c>
      <c r="D29" t="s">
        <v>1405</v>
      </c>
      <c r="E29" t="s">
        <v>1412</v>
      </c>
      <c r="F29">
        <v>20260308</v>
      </c>
      <c r="G29" s="293">
        <v>0.01</v>
      </c>
      <c r="H29" s="70">
        <f>IFERROR(ExtrapBudget1[[#This Row],[Montant]]/VLOOKUP(ExtrapBudget1[[#This Row],[Cat_3]],TamponBudget1[],4,FALSE),"")</f>
        <v>12</v>
      </c>
      <c r="I29" s="293">
        <v>0.01</v>
      </c>
      <c r="K29" s="71"/>
      <c r="L29" s="71"/>
      <c r="O29" s="71"/>
      <c r="P29" s="71"/>
      <c r="Z29" s="71"/>
      <c r="AA29" s="71"/>
      <c r="AE29" s="71"/>
    </row>
    <row r="30" spans="1:31" x14ac:dyDescent="0.25">
      <c r="A30">
        <v>2026</v>
      </c>
      <c r="B30" s="279">
        <v>46082</v>
      </c>
      <c r="C30" t="s">
        <v>14</v>
      </c>
      <c r="D30" t="s">
        <v>1406</v>
      </c>
      <c r="E30" t="s">
        <v>1414</v>
      </c>
      <c r="F30">
        <v>20260309</v>
      </c>
      <c r="G30" s="293">
        <v>0.01</v>
      </c>
      <c r="H30" s="70">
        <f>IFERROR(ExtrapBudget1[[#This Row],[Montant]]/VLOOKUP(ExtrapBudget1[[#This Row],[Cat_3]],TamponBudget1[],4,FALSE),"")</f>
        <v>12</v>
      </c>
      <c r="I30" s="293">
        <v>0.01</v>
      </c>
      <c r="K30" s="71"/>
      <c r="L30" s="71"/>
      <c r="O30" s="71"/>
      <c r="P30" s="71"/>
      <c r="Z30" s="71"/>
      <c r="AA30" s="71"/>
      <c r="AE30" s="71"/>
    </row>
    <row r="31" spans="1:31" x14ac:dyDescent="0.25">
      <c r="A31">
        <v>2026</v>
      </c>
      <c r="B31" s="279">
        <v>46082</v>
      </c>
      <c r="C31" t="s">
        <v>14</v>
      </c>
      <c r="D31" t="s">
        <v>1407</v>
      </c>
      <c r="E31" t="s">
        <v>1413</v>
      </c>
      <c r="F31">
        <v>20260310</v>
      </c>
      <c r="G31" s="293">
        <v>0.01</v>
      </c>
      <c r="H31" s="70">
        <f>IFERROR(ExtrapBudget1[[#This Row],[Montant]]/VLOOKUP(ExtrapBudget1[[#This Row],[Cat_3]],TamponBudget1[],4,FALSE),"")</f>
        <v>12</v>
      </c>
      <c r="I31" s="293">
        <v>0.01</v>
      </c>
      <c r="K31" s="71"/>
      <c r="L31" s="71"/>
      <c r="O31" s="71"/>
      <c r="P31" s="71"/>
      <c r="Z31" s="71"/>
      <c r="AA31" s="71"/>
      <c r="AE31" s="71"/>
    </row>
    <row r="32" spans="1:31" x14ac:dyDescent="0.25">
      <c r="A32">
        <v>2026</v>
      </c>
      <c r="B32" s="279">
        <v>46082</v>
      </c>
      <c r="C32" t="s">
        <v>13</v>
      </c>
      <c r="D32" t="s">
        <v>1333</v>
      </c>
      <c r="E32" t="s">
        <v>1416</v>
      </c>
      <c r="F32">
        <v>20260303</v>
      </c>
      <c r="G32" s="293">
        <v>0.01</v>
      </c>
      <c r="H32" s="70">
        <f>IFERROR(ExtrapBudget1[[#This Row],[Montant]]/VLOOKUP(ExtrapBudget1[[#This Row],[Cat_3]],TamponBudget1[],4,FALSE),"")</f>
        <v>12</v>
      </c>
      <c r="I32" s="293">
        <v>0.01</v>
      </c>
      <c r="K32" s="71"/>
      <c r="L32" s="71"/>
      <c r="O32" s="71"/>
      <c r="P32" s="71"/>
      <c r="Z32" s="71"/>
      <c r="AA32" s="71"/>
      <c r="AE32" s="71"/>
    </row>
    <row r="33" spans="1:35" x14ac:dyDescent="0.25">
      <c r="A33">
        <v>2026</v>
      </c>
      <c r="B33" s="279">
        <v>46113</v>
      </c>
      <c r="C33" t="s">
        <v>13</v>
      </c>
      <c r="D33" t="s">
        <v>1332</v>
      </c>
      <c r="E33" t="s">
        <v>1415</v>
      </c>
      <c r="F33">
        <v>20260401</v>
      </c>
      <c r="G33" s="293">
        <v>0.01</v>
      </c>
      <c r="H33" s="70">
        <f>IFERROR(ExtrapBudget1[[#This Row],[Montant]]/VLOOKUP(ExtrapBudget1[[#This Row],[Cat_3]],TamponBudget1[],4,FALSE),"")</f>
        <v>12</v>
      </c>
      <c r="I33" s="293">
        <v>0.01</v>
      </c>
      <c r="J33">
        <v>1</v>
      </c>
      <c r="K33" s="71"/>
      <c r="L33" s="71"/>
      <c r="O33" s="71"/>
      <c r="P33" s="71"/>
      <c r="Z33" s="71"/>
      <c r="AA33" s="71"/>
      <c r="AE33" s="71"/>
    </row>
    <row r="34" spans="1:35" x14ac:dyDescent="0.25">
      <c r="A34">
        <v>2026</v>
      </c>
      <c r="B34" s="279">
        <v>46113</v>
      </c>
      <c r="C34" t="s">
        <v>13</v>
      </c>
      <c r="D34" t="s">
        <v>1331</v>
      </c>
      <c r="E34" t="s">
        <v>659</v>
      </c>
      <c r="F34">
        <v>20260402</v>
      </c>
      <c r="G34" s="293">
        <v>0.01</v>
      </c>
      <c r="H34" s="70">
        <f>IFERROR(ExtrapBudget1[[#This Row],[Montant]]/VLOOKUP(ExtrapBudget1[[#This Row],[Cat_3]],TamponBudget1[],4,FALSE),"")</f>
        <v>12</v>
      </c>
      <c r="I34" s="293">
        <v>0.01</v>
      </c>
      <c r="K34" s="71"/>
      <c r="L34" s="71"/>
      <c r="O34" s="71"/>
      <c r="P34" s="71"/>
      <c r="Z34" s="71"/>
      <c r="AA34" s="71"/>
      <c r="AE34" s="71"/>
    </row>
    <row r="35" spans="1:35" x14ac:dyDescent="0.25">
      <c r="A35">
        <v>2026</v>
      </c>
      <c r="B35" s="279">
        <v>46113</v>
      </c>
      <c r="C35" t="s">
        <v>14</v>
      </c>
      <c r="D35" t="s">
        <v>1401</v>
      </c>
      <c r="E35" t="s">
        <v>1408</v>
      </c>
      <c r="F35">
        <v>20260404</v>
      </c>
      <c r="G35" s="293">
        <v>0.01</v>
      </c>
      <c r="H35" s="70">
        <f>IFERROR(ExtrapBudget1[[#This Row],[Montant]]/VLOOKUP(ExtrapBudget1[[#This Row],[Cat_3]],TamponBudget1[],4,FALSE),"")</f>
        <v>12</v>
      </c>
      <c r="I35" s="293">
        <v>0.01</v>
      </c>
      <c r="K35" s="71"/>
      <c r="L35" s="71"/>
      <c r="O35" s="71"/>
      <c r="P35" s="71"/>
      <c r="Z35" s="71"/>
      <c r="AA35" s="71"/>
      <c r="AE35" s="71"/>
    </row>
    <row r="36" spans="1:35" x14ac:dyDescent="0.25">
      <c r="A36">
        <v>2026</v>
      </c>
      <c r="B36" s="279">
        <v>46113</v>
      </c>
      <c r="C36" t="s">
        <v>14</v>
      </c>
      <c r="D36" t="s">
        <v>1402</v>
      </c>
      <c r="E36" t="s">
        <v>1409</v>
      </c>
      <c r="F36">
        <v>20260405</v>
      </c>
      <c r="G36" s="293">
        <v>0.01</v>
      </c>
      <c r="H36" s="70">
        <f>IFERROR(ExtrapBudget1[[#This Row],[Montant]]/VLOOKUP(ExtrapBudget1[[#This Row],[Cat_3]],TamponBudget1[],4,FALSE),"")</f>
        <v>12</v>
      </c>
      <c r="I36" s="293">
        <v>0.01</v>
      </c>
      <c r="K36" s="71"/>
      <c r="L36" s="71"/>
      <c r="O36" s="71"/>
      <c r="P36" s="71"/>
      <c r="Z36" s="71"/>
      <c r="AA36" s="71"/>
      <c r="AE36" s="71"/>
    </row>
    <row r="37" spans="1:35" x14ac:dyDescent="0.25">
      <c r="A37">
        <v>2026</v>
      </c>
      <c r="B37" s="279">
        <v>46113</v>
      </c>
      <c r="C37" t="s">
        <v>14</v>
      </c>
      <c r="D37" t="s">
        <v>1403</v>
      </c>
      <c r="E37" t="s">
        <v>1410</v>
      </c>
      <c r="F37">
        <v>20260406</v>
      </c>
      <c r="G37" s="293">
        <v>0.01</v>
      </c>
      <c r="H37" s="70">
        <f>IFERROR(ExtrapBudget1[[#This Row],[Montant]]/VLOOKUP(ExtrapBudget1[[#This Row],[Cat_3]],TamponBudget1[],4,FALSE),"")</f>
        <v>12</v>
      </c>
      <c r="I37" s="293">
        <v>0.01</v>
      </c>
      <c r="K37" s="71"/>
      <c r="L37" s="71"/>
      <c r="O37" s="71"/>
      <c r="AA37" s="71"/>
      <c r="AE37" s="69"/>
      <c r="AI37" s="71"/>
    </row>
    <row r="38" spans="1:35" x14ac:dyDescent="0.25">
      <c r="A38">
        <v>2026</v>
      </c>
      <c r="B38" s="279">
        <v>46113</v>
      </c>
      <c r="C38" t="s">
        <v>14</v>
      </c>
      <c r="D38" t="s">
        <v>1404</v>
      </c>
      <c r="E38" t="s">
        <v>1411</v>
      </c>
      <c r="F38">
        <v>20260407</v>
      </c>
      <c r="G38" s="293">
        <v>0.01</v>
      </c>
      <c r="H38" s="70">
        <f>IFERROR(ExtrapBudget1[[#This Row],[Montant]]/VLOOKUP(ExtrapBudget1[[#This Row],[Cat_3]],TamponBudget1[],4,FALSE),"")</f>
        <v>12</v>
      </c>
      <c r="I38" s="293">
        <v>0.01</v>
      </c>
      <c r="K38" s="71"/>
      <c r="L38" s="71"/>
      <c r="AE38" s="69"/>
      <c r="AI38" s="71"/>
    </row>
    <row r="39" spans="1:35" x14ac:dyDescent="0.25">
      <c r="A39">
        <v>2026</v>
      </c>
      <c r="B39" s="279">
        <v>46113</v>
      </c>
      <c r="C39" t="s">
        <v>14</v>
      </c>
      <c r="D39" t="s">
        <v>1405</v>
      </c>
      <c r="E39" t="s">
        <v>1412</v>
      </c>
      <c r="F39">
        <v>20260408</v>
      </c>
      <c r="G39" s="293">
        <v>0.01</v>
      </c>
      <c r="H39" s="70">
        <f>IFERROR(ExtrapBudget1[[#This Row],[Montant]]/VLOOKUP(ExtrapBudget1[[#This Row],[Cat_3]],TamponBudget1[],4,FALSE),"")</f>
        <v>12</v>
      </c>
      <c r="I39" s="293">
        <v>0.01</v>
      </c>
      <c r="K39" s="71"/>
      <c r="L39" s="71"/>
      <c r="AE39" s="69"/>
      <c r="AI39" s="71"/>
    </row>
    <row r="40" spans="1:35" x14ac:dyDescent="0.25">
      <c r="A40">
        <v>2026</v>
      </c>
      <c r="B40" s="279">
        <v>46113</v>
      </c>
      <c r="C40" t="s">
        <v>14</v>
      </c>
      <c r="D40" t="s">
        <v>1406</v>
      </c>
      <c r="E40" t="s">
        <v>1414</v>
      </c>
      <c r="F40">
        <v>20260409</v>
      </c>
      <c r="G40" s="293">
        <v>0.01</v>
      </c>
      <c r="H40" s="70">
        <f>IFERROR(ExtrapBudget1[[#This Row],[Montant]]/VLOOKUP(ExtrapBudget1[[#This Row],[Cat_3]],TamponBudget1[],4,FALSE),"")</f>
        <v>12</v>
      </c>
      <c r="I40" s="293">
        <v>0.01</v>
      </c>
      <c r="K40" s="71"/>
      <c r="L40" s="71"/>
      <c r="AE40" s="69"/>
      <c r="AI40" s="71"/>
    </row>
    <row r="41" spans="1:35" x14ac:dyDescent="0.25">
      <c r="A41">
        <v>2026</v>
      </c>
      <c r="B41" s="279">
        <v>46113</v>
      </c>
      <c r="C41" t="s">
        <v>14</v>
      </c>
      <c r="D41" t="s">
        <v>1407</v>
      </c>
      <c r="E41" t="s">
        <v>1413</v>
      </c>
      <c r="F41">
        <v>20260410</v>
      </c>
      <c r="G41" s="293">
        <v>0.01</v>
      </c>
      <c r="H41" s="70">
        <f>IFERROR(ExtrapBudget1[[#This Row],[Montant]]/VLOOKUP(ExtrapBudget1[[#This Row],[Cat_3]],TamponBudget1[],4,FALSE),"")</f>
        <v>12</v>
      </c>
      <c r="I41" s="293">
        <v>0.01</v>
      </c>
      <c r="K41" s="71"/>
      <c r="L41" s="71"/>
      <c r="AE41" s="69"/>
      <c r="AI41" s="71"/>
    </row>
    <row r="42" spans="1:35" x14ac:dyDescent="0.25">
      <c r="A42">
        <v>2026</v>
      </c>
      <c r="B42" s="279">
        <v>46143</v>
      </c>
      <c r="C42" t="s">
        <v>13</v>
      </c>
      <c r="D42" t="s">
        <v>1332</v>
      </c>
      <c r="E42" t="s">
        <v>1415</v>
      </c>
      <c r="F42">
        <v>20260501</v>
      </c>
      <c r="G42" s="293">
        <v>0.01</v>
      </c>
      <c r="H42" s="70">
        <f>IFERROR(ExtrapBudget1[[#This Row],[Montant]]/VLOOKUP(ExtrapBudget1[[#This Row],[Cat_3]],TamponBudget1[],4,FALSE),"")</f>
        <v>12</v>
      </c>
      <c r="I42" s="293">
        <v>0.01</v>
      </c>
      <c r="J42">
        <v>1</v>
      </c>
      <c r="K42" s="71"/>
      <c r="L42" s="71"/>
      <c r="AE42" s="69"/>
      <c r="AI42" s="71"/>
    </row>
    <row r="43" spans="1:35" x14ac:dyDescent="0.25">
      <c r="A43">
        <v>2026</v>
      </c>
      <c r="B43" s="279">
        <v>46143</v>
      </c>
      <c r="C43" t="s">
        <v>13</v>
      </c>
      <c r="D43" t="s">
        <v>1331</v>
      </c>
      <c r="E43" t="s">
        <v>659</v>
      </c>
      <c r="F43">
        <v>20260502</v>
      </c>
      <c r="G43" s="293">
        <v>0.01</v>
      </c>
      <c r="H43" s="70">
        <f>IFERROR(ExtrapBudget1[[#This Row],[Montant]]/VLOOKUP(ExtrapBudget1[[#This Row],[Cat_3]],TamponBudget1[],4,FALSE),"")</f>
        <v>12</v>
      </c>
      <c r="I43" s="293">
        <v>0.01</v>
      </c>
      <c r="K43" s="71"/>
      <c r="L43" s="71"/>
      <c r="AE43" s="69"/>
      <c r="AI43" s="71"/>
    </row>
    <row r="44" spans="1:35" x14ac:dyDescent="0.25">
      <c r="A44">
        <v>2026</v>
      </c>
      <c r="B44" s="279">
        <v>46143</v>
      </c>
      <c r="C44" t="s">
        <v>14</v>
      </c>
      <c r="D44" t="s">
        <v>1401</v>
      </c>
      <c r="E44" t="s">
        <v>1408</v>
      </c>
      <c r="F44">
        <v>20260504</v>
      </c>
      <c r="G44" s="293">
        <v>0.01</v>
      </c>
      <c r="H44" s="70">
        <f>IFERROR(ExtrapBudget1[[#This Row],[Montant]]/VLOOKUP(ExtrapBudget1[[#This Row],[Cat_3]],TamponBudget1[],4,FALSE),"")</f>
        <v>12</v>
      </c>
      <c r="I44" s="293">
        <v>0.01</v>
      </c>
      <c r="K44" s="71"/>
      <c r="L44" s="71"/>
      <c r="AE44" s="69"/>
      <c r="AI44" s="71"/>
    </row>
    <row r="45" spans="1:35" x14ac:dyDescent="0.25">
      <c r="A45">
        <v>2026</v>
      </c>
      <c r="B45" s="279">
        <v>46143</v>
      </c>
      <c r="C45" t="s">
        <v>14</v>
      </c>
      <c r="D45" t="s">
        <v>1402</v>
      </c>
      <c r="E45" t="s">
        <v>1409</v>
      </c>
      <c r="F45">
        <v>20260505</v>
      </c>
      <c r="G45" s="293">
        <v>0.01</v>
      </c>
      <c r="H45" s="70">
        <f>IFERROR(ExtrapBudget1[[#This Row],[Montant]]/VLOOKUP(ExtrapBudget1[[#This Row],[Cat_3]],TamponBudget1[],4,FALSE),"")</f>
        <v>12</v>
      </c>
      <c r="I45" s="293">
        <v>0.01</v>
      </c>
      <c r="K45" s="71"/>
      <c r="L45" s="71"/>
      <c r="AE45" s="69"/>
      <c r="AI45" s="71"/>
    </row>
    <row r="46" spans="1:35" x14ac:dyDescent="0.25">
      <c r="A46">
        <v>2026</v>
      </c>
      <c r="B46" s="279">
        <v>46143</v>
      </c>
      <c r="C46" t="s">
        <v>14</v>
      </c>
      <c r="D46" t="s">
        <v>1403</v>
      </c>
      <c r="E46" t="s">
        <v>1410</v>
      </c>
      <c r="F46">
        <v>20260506</v>
      </c>
      <c r="G46" s="293">
        <v>0.01</v>
      </c>
      <c r="H46" s="70">
        <f>IFERROR(ExtrapBudget1[[#This Row],[Montant]]/VLOOKUP(ExtrapBudget1[[#This Row],[Cat_3]],TamponBudget1[],4,FALSE),"")</f>
        <v>12</v>
      </c>
      <c r="I46" s="293">
        <v>0.01</v>
      </c>
      <c r="K46" s="71"/>
      <c r="L46" s="71"/>
      <c r="AE46" s="69"/>
      <c r="AI46" s="71"/>
    </row>
    <row r="47" spans="1:35" x14ac:dyDescent="0.25">
      <c r="A47">
        <v>2026</v>
      </c>
      <c r="B47" s="279">
        <v>46143</v>
      </c>
      <c r="C47" t="s">
        <v>14</v>
      </c>
      <c r="D47" t="s">
        <v>1404</v>
      </c>
      <c r="E47" t="s">
        <v>1411</v>
      </c>
      <c r="F47">
        <v>20260507</v>
      </c>
      <c r="G47" s="293">
        <v>0.01</v>
      </c>
      <c r="H47" s="70">
        <f>IFERROR(ExtrapBudget1[[#This Row],[Montant]]/VLOOKUP(ExtrapBudget1[[#This Row],[Cat_3]],TamponBudget1[],4,FALSE),"")</f>
        <v>12</v>
      </c>
      <c r="I47" s="293">
        <v>0.01</v>
      </c>
      <c r="K47" s="71"/>
      <c r="L47" s="71"/>
      <c r="AE47" s="69"/>
      <c r="AI47" s="71"/>
    </row>
    <row r="48" spans="1:35" x14ac:dyDescent="0.25">
      <c r="A48">
        <v>2026</v>
      </c>
      <c r="B48" s="279">
        <v>46143</v>
      </c>
      <c r="C48" t="s">
        <v>14</v>
      </c>
      <c r="D48" t="s">
        <v>1405</v>
      </c>
      <c r="E48" t="s">
        <v>1412</v>
      </c>
      <c r="F48">
        <v>20260508</v>
      </c>
      <c r="G48" s="293">
        <v>0.01</v>
      </c>
      <c r="H48" s="70">
        <f>IFERROR(ExtrapBudget1[[#This Row],[Montant]]/VLOOKUP(ExtrapBudget1[[#This Row],[Cat_3]],TamponBudget1[],4,FALSE),"")</f>
        <v>12</v>
      </c>
      <c r="I48" s="293">
        <v>0.01</v>
      </c>
      <c r="K48" s="71"/>
      <c r="L48" s="71"/>
      <c r="AE48" s="69"/>
      <c r="AI48" s="71"/>
    </row>
    <row r="49" spans="1:35" x14ac:dyDescent="0.25">
      <c r="A49">
        <v>2026</v>
      </c>
      <c r="B49" s="279">
        <v>46143</v>
      </c>
      <c r="C49" t="s">
        <v>14</v>
      </c>
      <c r="D49" t="s">
        <v>1406</v>
      </c>
      <c r="E49" t="s">
        <v>1414</v>
      </c>
      <c r="F49">
        <v>20260509</v>
      </c>
      <c r="G49" s="293">
        <v>0.01</v>
      </c>
      <c r="H49" s="70">
        <f>IFERROR(ExtrapBudget1[[#This Row],[Montant]]/VLOOKUP(ExtrapBudget1[[#This Row],[Cat_3]],TamponBudget1[],4,FALSE),"")</f>
        <v>12</v>
      </c>
      <c r="I49" s="293">
        <v>0.01</v>
      </c>
      <c r="K49" s="71"/>
      <c r="L49" s="71"/>
      <c r="AE49" s="69"/>
      <c r="AI49" s="71"/>
    </row>
    <row r="50" spans="1:35" x14ac:dyDescent="0.25">
      <c r="A50">
        <v>2026</v>
      </c>
      <c r="B50" s="279">
        <v>46143</v>
      </c>
      <c r="C50" t="s">
        <v>14</v>
      </c>
      <c r="D50" t="s">
        <v>1407</v>
      </c>
      <c r="E50" t="s">
        <v>1413</v>
      </c>
      <c r="F50">
        <v>20260510</v>
      </c>
      <c r="G50" s="293">
        <v>0.01</v>
      </c>
      <c r="H50" s="70">
        <f>IFERROR(ExtrapBudget1[[#This Row],[Montant]]/VLOOKUP(ExtrapBudget1[[#This Row],[Cat_3]],TamponBudget1[],4,FALSE),"")</f>
        <v>12</v>
      </c>
      <c r="I50" s="293">
        <v>0.01</v>
      </c>
      <c r="K50" s="71"/>
      <c r="L50" s="71"/>
      <c r="AE50" s="69"/>
      <c r="AI50" s="71"/>
    </row>
    <row r="51" spans="1:35" x14ac:dyDescent="0.25">
      <c r="A51">
        <v>2026</v>
      </c>
      <c r="B51" s="279">
        <v>46174</v>
      </c>
      <c r="C51" t="s">
        <v>13</v>
      </c>
      <c r="D51" t="s">
        <v>1332</v>
      </c>
      <c r="E51" t="s">
        <v>1415</v>
      </c>
      <c r="F51">
        <v>20260601</v>
      </c>
      <c r="G51" s="293">
        <v>0.01</v>
      </c>
      <c r="H51" s="70">
        <f>IFERROR(ExtrapBudget1[[#This Row],[Montant]]/VLOOKUP(ExtrapBudget1[[#This Row],[Cat_3]],TamponBudget1[],4,FALSE),"")</f>
        <v>12</v>
      </c>
      <c r="I51" s="293">
        <v>0.01</v>
      </c>
      <c r="J51">
        <v>0</v>
      </c>
      <c r="K51" s="71"/>
      <c r="L51" s="71"/>
      <c r="AE51" s="69"/>
      <c r="AI51" s="71"/>
    </row>
    <row r="52" spans="1:35" x14ac:dyDescent="0.25">
      <c r="A52">
        <v>2026</v>
      </c>
      <c r="B52" s="279">
        <v>46174</v>
      </c>
      <c r="C52" t="s">
        <v>13</v>
      </c>
      <c r="D52" t="s">
        <v>1331</v>
      </c>
      <c r="E52" t="s">
        <v>659</v>
      </c>
      <c r="F52">
        <v>20260602</v>
      </c>
      <c r="G52" s="293">
        <v>0.01</v>
      </c>
      <c r="H52" s="70">
        <f>IFERROR(ExtrapBudget1[[#This Row],[Montant]]/VLOOKUP(ExtrapBudget1[[#This Row],[Cat_3]],TamponBudget1[],4,FALSE),"")</f>
        <v>12</v>
      </c>
      <c r="I52" s="293">
        <v>0.01</v>
      </c>
      <c r="K52" s="71"/>
      <c r="L52" s="71"/>
      <c r="AE52" s="69"/>
      <c r="AI52" s="71"/>
    </row>
    <row r="53" spans="1:35" x14ac:dyDescent="0.25">
      <c r="A53">
        <v>2026</v>
      </c>
      <c r="B53" s="279">
        <v>46174</v>
      </c>
      <c r="C53" t="s">
        <v>14</v>
      </c>
      <c r="D53" t="s">
        <v>1401</v>
      </c>
      <c r="E53" t="s">
        <v>1408</v>
      </c>
      <c r="F53">
        <v>20260604</v>
      </c>
      <c r="G53" s="293">
        <v>0.01</v>
      </c>
      <c r="H53" s="70">
        <f>IFERROR(ExtrapBudget1[[#This Row],[Montant]]/VLOOKUP(ExtrapBudget1[[#This Row],[Cat_3]],TamponBudget1[],4,FALSE),"")</f>
        <v>12</v>
      </c>
      <c r="I53" s="293">
        <v>0.01</v>
      </c>
      <c r="K53" s="71"/>
      <c r="L53" s="71"/>
      <c r="AE53" s="69"/>
      <c r="AI53" s="71"/>
    </row>
    <row r="54" spans="1:35" x14ac:dyDescent="0.25">
      <c r="A54">
        <v>2026</v>
      </c>
      <c r="B54" s="279">
        <v>46174</v>
      </c>
      <c r="C54" t="s">
        <v>14</v>
      </c>
      <c r="D54" t="s">
        <v>1402</v>
      </c>
      <c r="E54" t="s">
        <v>1409</v>
      </c>
      <c r="F54">
        <v>20260605</v>
      </c>
      <c r="G54" s="293">
        <v>0.01</v>
      </c>
      <c r="H54" s="70">
        <f>IFERROR(ExtrapBudget1[[#This Row],[Montant]]/VLOOKUP(ExtrapBudget1[[#This Row],[Cat_3]],TamponBudget1[],4,FALSE),"")</f>
        <v>12</v>
      </c>
      <c r="I54" s="293">
        <v>0.01</v>
      </c>
      <c r="K54" s="71"/>
      <c r="L54" s="71"/>
      <c r="AE54" s="69"/>
      <c r="AI54" s="71"/>
    </row>
    <row r="55" spans="1:35" x14ac:dyDescent="0.25">
      <c r="A55">
        <v>2026</v>
      </c>
      <c r="B55" s="279">
        <v>46174</v>
      </c>
      <c r="C55" t="s">
        <v>14</v>
      </c>
      <c r="D55" t="s">
        <v>1403</v>
      </c>
      <c r="E55" t="s">
        <v>1410</v>
      </c>
      <c r="F55">
        <v>20260606</v>
      </c>
      <c r="G55" s="293">
        <v>0.01</v>
      </c>
      <c r="H55" s="70">
        <f>IFERROR(ExtrapBudget1[[#This Row],[Montant]]/VLOOKUP(ExtrapBudget1[[#This Row],[Cat_3]],TamponBudget1[],4,FALSE),"")</f>
        <v>12</v>
      </c>
      <c r="I55" s="293">
        <v>0.01</v>
      </c>
      <c r="K55" s="71"/>
      <c r="L55" s="71"/>
      <c r="AE55" s="69"/>
      <c r="AI55" s="71"/>
    </row>
    <row r="56" spans="1:35" x14ac:dyDescent="0.25">
      <c r="A56">
        <v>2026</v>
      </c>
      <c r="B56" s="279">
        <v>46174</v>
      </c>
      <c r="C56" t="s">
        <v>14</v>
      </c>
      <c r="D56" t="s">
        <v>1404</v>
      </c>
      <c r="E56" t="s">
        <v>1411</v>
      </c>
      <c r="F56">
        <v>20260607</v>
      </c>
      <c r="G56" s="293">
        <v>0.01</v>
      </c>
      <c r="H56" s="70">
        <f>IFERROR(ExtrapBudget1[[#This Row],[Montant]]/VLOOKUP(ExtrapBudget1[[#This Row],[Cat_3]],TamponBudget1[],4,FALSE),"")</f>
        <v>12</v>
      </c>
      <c r="I56" s="293">
        <v>0.01</v>
      </c>
      <c r="K56" s="71"/>
      <c r="L56" s="71"/>
      <c r="AE56" s="69"/>
      <c r="AI56" s="71"/>
    </row>
    <row r="57" spans="1:35" x14ac:dyDescent="0.25">
      <c r="A57">
        <v>2026</v>
      </c>
      <c r="B57" s="279">
        <v>46174</v>
      </c>
      <c r="C57" t="s">
        <v>14</v>
      </c>
      <c r="D57" t="s">
        <v>1405</v>
      </c>
      <c r="E57" t="s">
        <v>1412</v>
      </c>
      <c r="F57">
        <v>20260608</v>
      </c>
      <c r="G57" s="293">
        <v>0.01</v>
      </c>
      <c r="H57" s="70">
        <f>IFERROR(ExtrapBudget1[[#This Row],[Montant]]/VLOOKUP(ExtrapBudget1[[#This Row],[Cat_3]],TamponBudget1[],4,FALSE),"")</f>
        <v>12</v>
      </c>
      <c r="I57" s="293">
        <v>0.01</v>
      </c>
      <c r="K57" s="71"/>
      <c r="L57" s="71"/>
      <c r="AE57" s="69"/>
      <c r="AI57" s="71"/>
    </row>
    <row r="58" spans="1:35" x14ac:dyDescent="0.25">
      <c r="A58">
        <v>2026</v>
      </c>
      <c r="B58" s="279">
        <v>46174</v>
      </c>
      <c r="C58" t="s">
        <v>14</v>
      </c>
      <c r="D58" t="s">
        <v>1406</v>
      </c>
      <c r="E58" t="s">
        <v>1414</v>
      </c>
      <c r="F58">
        <v>20260609</v>
      </c>
      <c r="G58" s="293">
        <v>0.01</v>
      </c>
      <c r="H58" s="70">
        <f>IFERROR(ExtrapBudget1[[#This Row],[Montant]]/VLOOKUP(ExtrapBudget1[[#This Row],[Cat_3]],TamponBudget1[],4,FALSE),"")</f>
        <v>12</v>
      </c>
      <c r="I58" s="293">
        <v>0.01</v>
      </c>
      <c r="K58" s="71"/>
      <c r="L58" s="71"/>
      <c r="AE58" s="69"/>
      <c r="AI58" s="71"/>
    </row>
    <row r="59" spans="1:35" x14ac:dyDescent="0.25">
      <c r="A59">
        <v>2026</v>
      </c>
      <c r="B59" s="279">
        <v>46174</v>
      </c>
      <c r="C59" t="s">
        <v>14</v>
      </c>
      <c r="D59" t="s">
        <v>1407</v>
      </c>
      <c r="E59" t="s">
        <v>1413</v>
      </c>
      <c r="F59">
        <v>20260610</v>
      </c>
      <c r="G59" s="293">
        <v>0.01</v>
      </c>
      <c r="H59" s="70">
        <f>IFERROR(ExtrapBudget1[[#This Row],[Montant]]/VLOOKUP(ExtrapBudget1[[#This Row],[Cat_3]],TamponBudget1[],4,FALSE),"")</f>
        <v>12</v>
      </c>
      <c r="I59" s="293">
        <v>0.01</v>
      </c>
      <c r="K59" s="71"/>
      <c r="L59" s="71"/>
      <c r="AE59" s="69"/>
      <c r="AI59" s="71"/>
    </row>
    <row r="60" spans="1:35" x14ac:dyDescent="0.25">
      <c r="A60">
        <v>2026</v>
      </c>
      <c r="B60" s="279">
        <v>46204</v>
      </c>
      <c r="C60" t="s">
        <v>13</v>
      </c>
      <c r="D60" t="s">
        <v>1332</v>
      </c>
      <c r="E60" t="s">
        <v>1415</v>
      </c>
      <c r="F60">
        <v>20260701</v>
      </c>
      <c r="G60" s="293">
        <v>0.01</v>
      </c>
      <c r="H60" s="70">
        <f>IFERROR(ExtrapBudget1[[#This Row],[Montant]]/VLOOKUP(ExtrapBudget1[[#This Row],[Cat_3]],TamponBudget1[],4,FALSE),"")</f>
        <v>12</v>
      </c>
      <c r="I60" s="293">
        <v>0.01</v>
      </c>
      <c r="J60">
        <v>0</v>
      </c>
      <c r="K60" s="71"/>
      <c r="L60" s="71"/>
      <c r="AE60" s="69"/>
      <c r="AI60" s="71"/>
    </row>
    <row r="61" spans="1:35" x14ac:dyDescent="0.25">
      <c r="A61">
        <v>2026</v>
      </c>
      <c r="B61" s="279">
        <v>46204</v>
      </c>
      <c r="C61" t="s">
        <v>13</v>
      </c>
      <c r="D61" t="s">
        <v>1331</v>
      </c>
      <c r="E61" t="s">
        <v>659</v>
      </c>
      <c r="F61">
        <v>20260702</v>
      </c>
      <c r="G61" s="293">
        <v>0.01</v>
      </c>
      <c r="H61" s="70">
        <f>IFERROR(ExtrapBudget1[[#This Row],[Montant]]/VLOOKUP(ExtrapBudget1[[#This Row],[Cat_3]],TamponBudget1[],4,FALSE),"")</f>
        <v>12</v>
      </c>
      <c r="I61" s="293">
        <v>0.01</v>
      </c>
      <c r="K61" s="71"/>
      <c r="L61" s="71"/>
      <c r="AE61" s="69"/>
      <c r="AI61" s="71"/>
    </row>
    <row r="62" spans="1:35" x14ac:dyDescent="0.25">
      <c r="A62">
        <v>2026</v>
      </c>
      <c r="B62" s="279">
        <v>46204</v>
      </c>
      <c r="C62" t="s">
        <v>14</v>
      </c>
      <c r="D62" t="s">
        <v>1401</v>
      </c>
      <c r="E62" t="s">
        <v>1408</v>
      </c>
      <c r="F62">
        <v>20260704</v>
      </c>
      <c r="G62" s="293">
        <v>0.01</v>
      </c>
      <c r="H62" s="70">
        <f>IFERROR(ExtrapBudget1[[#This Row],[Montant]]/VLOOKUP(ExtrapBudget1[[#This Row],[Cat_3]],TamponBudget1[],4,FALSE),"")</f>
        <v>12</v>
      </c>
      <c r="I62" s="293">
        <v>0.01</v>
      </c>
      <c r="K62" s="71"/>
      <c r="L62" s="71"/>
      <c r="AE62" s="69"/>
      <c r="AI62" s="71"/>
    </row>
    <row r="63" spans="1:35" x14ac:dyDescent="0.25">
      <c r="A63">
        <v>2026</v>
      </c>
      <c r="B63" s="279">
        <v>46204</v>
      </c>
      <c r="C63" t="s">
        <v>14</v>
      </c>
      <c r="D63" t="s">
        <v>1402</v>
      </c>
      <c r="E63" t="s">
        <v>1409</v>
      </c>
      <c r="F63">
        <v>20260705</v>
      </c>
      <c r="G63" s="293">
        <v>0.01</v>
      </c>
      <c r="H63" s="70">
        <f>IFERROR(ExtrapBudget1[[#This Row],[Montant]]/VLOOKUP(ExtrapBudget1[[#This Row],[Cat_3]],TamponBudget1[],4,FALSE),"")</f>
        <v>12</v>
      </c>
      <c r="I63" s="293">
        <v>0.01</v>
      </c>
      <c r="K63" s="71"/>
      <c r="L63" s="71"/>
      <c r="AE63" s="69"/>
      <c r="AI63" s="71"/>
    </row>
    <row r="64" spans="1:35" x14ac:dyDescent="0.25">
      <c r="A64">
        <v>2026</v>
      </c>
      <c r="B64" s="279">
        <v>46204</v>
      </c>
      <c r="C64" t="s">
        <v>14</v>
      </c>
      <c r="D64" t="s">
        <v>1403</v>
      </c>
      <c r="E64" t="s">
        <v>1410</v>
      </c>
      <c r="F64">
        <v>20260706</v>
      </c>
      <c r="G64" s="293">
        <v>0.01</v>
      </c>
      <c r="H64" s="70">
        <f>IFERROR(ExtrapBudget1[[#This Row],[Montant]]/VLOOKUP(ExtrapBudget1[[#This Row],[Cat_3]],TamponBudget1[],4,FALSE),"")</f>
        <v>12</v>
      </c>
      <c r="I64" s="293">
        <v>0.01</v>
      </c>
      <c r="K64" s="71"/>
      <c r="L64" s="71"/>
      <c r="AE64" s="69"/>
      <c r="AI64" s="71"/>
    </row>
    <row r="65" spans="1:35" x14ac:dyDescent="0.25">
      <c r="A65">
        <v>2026</v>
      </c>
      <c r="B65" s="279">
        <v>46204</v>
      </c>
      <c r="C65" t="s">
        <v>14</v>
      </c>
      <c r="D65" t="s">
        <v>1404</v>
      </c>
      <c r="E65" t="s">
        <v>1411</v>
      </c>
      <c r="F65">
        <v>20260707</v>
      </c>
      <c r="G65" s="293">
        <v>0.01</v>
      </c>
      <c r="H65" s="70">
        <f>IFERROR(ExtrapBudget1[[#This Row],[Montant]]/VLOOKUP(ExtrapBudget1[[#This Row],[Cat_3]],TamponBudget1[],4,FALSE),"")</f>
        <v>12</v>
      </c>
      <c r="I65" s="293">
        <v>0.01</v>
      </c>
      <c r="K65" s="71"/>
      <c r="L65" s="71"/>
      <c r="AE65" s="69"/>
      <c r="AI65" s="71"/>
    </row>
    <row r="66" spans="1:35" x14ac:dyDescent="0.25">
      <c r="A66">
        <v>2026</v>
      </c>
      <c r="B66" s="279">
        <v>46204</v>
      </c>
      <c r="C66" t="s">
        <v>14</v>
      </c>
      <c r="D66" t="s">
        <v>1405</v>
      </c>
      <c r="E66" t="s">
        <v>1412</v>
      </c>
      <c r="F66">
        <v>20260708</v>
      </c>
      <c r="G66" s="293">
        <v>0.01</v>
      </c>
      <c r="H66" s="70">
        <f>IFERROR(ExtrapBudget1[[#This Row],[Montant]]/VLOOKUP(ExtrapBudget1[[#This Row],[Cat_3]],TamponBudget1[],4,FALSE),"")</f>
        <v>12</v>
      </c>
      <c r="I66" s="293">
        <v>0.01</v>
      </c>
      <c r="K66" s="71"/>
      <c r="L66" s="71"/>
      <c r="AE66" s="69"/>
      <c r="AI66" s="71"/>
    </row>
    <row r="67" spans="1:35" x14ac:dyDescent="0.25">
      <c r="A67">
        <v>2026</v>
      </c>
      <c r="B67" s="279">
        <v>46204</v>
      </c>
      <c r="C67" t="s">
        <v>14</v>
      </c>
      <c r="D67" t="s">
        <v>1406</v>
      </c>
      <c r="E67" t="s">
        <v>1414</v>
      </c>
      <c r="F67">
        <v>20260709</v>
      </c>
      <c r="G67" s="293">
        <v>0.01</v>
      </c>
      <c r="H67" s="70">
        <f>IFERROR(ExtrapBudget1[[#This Row],[Montant]]/VLOOKUP(ExtrapBudget1[[#This Row],[Cat_3]],TamponBudget1[],4,FALSE),"")</f>
        <v>12</v>
      </c>
      <c r="I67" s="293">
        <v>0.01</v>
      </c>
      <c r="K67" s="71"/>
      <c r="L67" s="71"/>
      <c r="AE67" s="69"/>
      <c r="AI67" s="71"/>
    </row>
    <row r="68" spans="1:35" x14ac:dyDescent="0.25">
      <c r="A68">
        <v>2026</v>
      </c>
      <c r="B68" s="279">
        <v>46204</v>
      </c>
      <c r="C68" t="s">
        <v>14</v>
      </c>
      <c r="D68" t="s">
        <v>1407</v>
      </c>
      <c r="E68" t="s">
        <v>1413</v>
      </c>
      <c r="F68">
        <v>20260710</v>
      </c>
      <c r="G68" s="293">
        <v>0.01</v>
      </c>
      <c r="H68" s="70">
        <f>IFERROR(ExtrapBudget1[[#This Row],[Montant]]/VLOOKUP(ExtrapBudget1[[#This Row],[Cat_3]],TamponBudget1[],4,FALSE),"")</f>
        <v>12</v>
      </c>
      <c r="I68" s="293">
        <v>0.01</v>
      </c>
      <c r="K68" s="71"/>
      <c r="L68" s="71"/>
      <c r="AE68" s="69"/>
      <c r="AI68" s="71"/>
    </row>
    <row r="69" spans="1:35" x14ac:dyDescent="0.25">
      <c r="A69">
        <v>2026</v>
      </c>
      <c r="B69" s="279">
        <v>46235</v>
      </c>
      <c r="C69" t="s">
        <v>13</v>
      </c>
      <c r="D69" t="s">
        <v>1332</v>
      </c>
      <c r="E69" t="s">
        <v>1415</v>
      </c>
      <c r="F69">
        <v>20260801</v>
      </c>
      <c r="G69" s="293">
        <v>0.01</v>
      </c>
      <c r="H69" s="70">
        <f>IFERROR(ExtrapBudget1[[#This Row],[Montant]]/VLOOKUP(ExtrapBudget1[[#This Row],[Cat_3]],TamponBudget1[],4,FALSE),"")</f>
        <v>12</v>
      </c>
      <c r="I69" s="293">
        <v>0.01</v>
      </c>
      <c r="J69">
        <v>0</v>
      </c>
      <c r="K69" s="71"/>
      <c r="L69" s="71"/>
      <c r="AE69" s="69"/>
      <c r="AI69" s="71"/>
    </row>
    <row r="70" spans="1:35" x14ac:dyDescent="0.25">
      <c r="A70">
        <v>2026</v>
      </c>
      <c r="B70" s="279">
        <v>46235</v>
      </c>
      <c r="C70" t="s">
        <v>13</v>
      </c>
      <c r="D70" t="s">
        <v>1331</v>
      </c>
      <c r="E70" t="s">
        <v>659</v>
      </c>
      <c r="F70">
        <v>20260802</v>
      </c>
      <c r="G70" s="293">
        <v>0.01</v>
      </c>
      <c r="H70" s="70">
        <f>IFERROR(ExtrapBudget1[[#This Row],[Montant]]/VLOOKUP(ExtrapBudget1[[#This Row],[Cat_3]],TamponBudget1[],4,FALSE),"")</f>
        <v>12</v>
      </c>
      <c r="I70" s="293">
        <v>0.01</v>
      </c>
      <c r="K70" s="71"/>
      <c r="L70" s="71"/>
      <c r="AE70" s="69"/>
      <c r="AI70" s="71"/>
    </row>
    <row r="71" spans="1:35" x14ac:dyDescent="0.25">
      <c r="A71">
        <v>2026</v>
      </c>
      <c r="B71" s="279">
        <v>46235</v>
      </c>
      <c r="C71" t="s">
        <v>14</v>
      </c>
      <c r="D71" t="s">
        <v>1401</v>
      </c>
      <c r="E71" t="s">
        <v>1408</v>
      </c>
      <c r="F71">
        <v>20260804</v>
      </c>
      <c r="G71" s="293">
        <v>0.01</v>
      </c>
      <c r="H71" s="70">
        <f>IFERROR(ExtrapBudget1[[#This Row],[Montant]]/VLOOKUP(ExtrapBudget1[[#This Row],[Cat_3]],TamponBudget1[],4,FALSE),"")</f>
        <v>12</v>
      </c>
      <c r="I71" s="293">
        <v>0.01</v>
      </c>
      <c r="K71" s="71"/>
      <c r="L71" s="71"/>
      <c r="AE71" s="69"/>
      <c r="AI71" s="71"/>
    </row>
    <row r="72" spans="1:35" x14ac:dyDescent="0.25">
      <c r="A72">
        <v>2026</v>
      </c>
      <c r="B72" s="279">
        <v>46235</v>
      </c>
      <c r="C72" t="s">
        <v>14</v>
      </c>
      <c r="D72" t="s">
        <v>1402</v>
      </c>
      <c r="E72" t="s">
        <v>1409</v>
      </c>
      <c r="F72">
        <v>20260805</v>
      </c>
      <c r="G72" s="293">
        <v>0.01</v>
      </c>
      <c r="H72" s="70">
        <f>IFERROR(ExtrapBudget1[[#This Row],[Montant]]/VLOOKUP(ExtrapBudget1[[#This Row],[Cat_3]],TamponBudget1[],4,FALSE),"")</f>
        <v>12</v>
      </c>
      <c r="I72" s="293">
        <v>0.01</v>
      </c>
      <c r="K72" s="71"/>
      <c r="L72" s="71"/>
      <c r="AE72" s="69"/>
      <c r="AI72" s="71"/>
    </row>
    <row r="73" spans="1:35" x14ac:dyDescent="0.25">
      <c r="A73">
        <v>2026</v>
      </c>
      <c r="B73" s="279">
        <v>46235</v>
      </c>
      <c r="C73" t="s">
        <v>14</v>
      </c>
      <c r="D73" t="s">
        <v>1403</v>
      </c>
      <c r="E73" t="s">
        <v>1410</v>
      </c>
      <c r="F73">
        <v>20260806</v>
      </c>
      <c r="G73" s="293">
        <v>0.01</v>
      </c>
      <c r="H73" s="70">
        <f>IFERROR(ExtrapBudget1[[#This Row],[Montant]]/VLOOKUP(ExtrapBudget1[[#This Row],[Cat_3]],TamponBudget1[],4,FALSE),"")</f>
        <v>12</v>
      </c>
      <c r="I73" s="293">
        <v>0.01</v>
      </c>
      <c r="K73" s="71"/>
      <c r="L73" s="71"/>
      <c r="AE73" s="69"/>
      <c r="AI73" s="71"/>
    </row>
    <row r="74" spans="1:35" x14ac:dyDescent="0.25">
      <c r="A74">
        <v>2026</v>
      </c>
      <c r="B74" s="279">
        <v>46235</v>
      </c>
      <c r="C74" t="s">
        <v>14</v>
      </c>
      <c r="D74" t="s">
        <v>1404</v>
      </c>
      <c r="E74" t="s">
        <v>1411</v>
      </c>
      <c r="F74">
        <v>20260807</v>
      </c>
      <c r="G74" s="293">
        <v>0.01</v>
      </c>
      <c r="H74" s="70">
        <f>IFERROR(ExtrapBudget1[[#This Row],[Montant]]/VLOOKUP(ExtrapBudget1[[#This Row],[Cat_3]],TamponBudget1[],4,FALSE),"")</f>
        <v>12</v>
      </c>
      <c r="I74" s="293">
        <v>0.01</v>
      </c>
      <c r="K74" s="71"/>
      <c r="L74" s="71"/>
      <c r="AE74" s="69"/>
      <c r="AI74" s="71"/>
    </row>
    <row r="75" spans="1:35" x14ac:dyDescent="0.25">
      <c r="A75">
        <v>2026</v>
      </c>
      <c r="B75" s="279">
        <v>46235</v>
      </c>
      <c r="C75" t="s">
        <v>14</v>
      </c>
      <c r="D75" t="s">
        <v>1405</v>
      </c>
      <c r="E75" t="s">
        <v>1412</v>
      </c>
      <c r="F75">
        <v>20260808</v>
      </c>
      <c r="G75" s="293">
        <v>0.01</v>
      </c>
      <c r="H75" s="70">
        <f>IFERROR(ExtrapBudget1[[#This Row],[Montant]]/VLOOKUP(ExtrapBudget1[[#This Row],[Cat_3]],TamponBudget1[],4,FALSE),"")</f>
        <v>12</v>
      </c>
      <c r="I75" s="293">
        <v>0.01</v>
      </c>
      <c r="K75" s="71"/>
      <c r="L75" s="71"/>
      <c r="AE75" s="69"/>
      <c r="AI75" s="71"/>
    </row>
    <row r="76" spans="1:35" x14ac:dyDescent="0.25">
      <c r="A76">
        <v>2026</v>
      </c>
      <c r="B76" s="279">
        <v>46235</v>
      </c>
      <c r="C76" t="s">
        <v>14</v>
      </c>
      <c r="D76" t="s">
        <v>1406</v>
      </c>
      <c r="E76" t="s">
        <v>1414</v>
      </c>
      <c r="F76">
        <v>20260809</v>
      </c>
      <c r="G76" s="293">
        <v>0.01</v>
      </c>
      <c r="H76" s="70">
        <f>IFERROR(ExtrapBudget1[[#This Row],[Montant]]/VLOOKUP(ExtrapBudget1[[#This Row],[Cat_3]],TamponBudget1[],4,FALSE),"")</f>
        <v>12</v>
      </c>
      <c r="I76" s="293">
        <v>0.01</v>
      </c>
      <c r="K76" s="71"/>
      <c r="L76" s="71"/>
      <c r="AE76" s="69"/>
      <c r="AI76" s="71"/>
    </row>
    <row r="77" spans="1:35" x14ac:dyDescent="0.25">
      <c r="A77">
        <v>2026</v>
      </c>
      <c r="B77" s="279">
        <v>46235</v>
      </c>
      <c r="C77" t="s">
        <v>14</v>
      </c>
      <c r="D77" t="s">
        <v>1407</v>
      </c>
      <c r="E77" t="s">
        <v>1413</v>
      </c>
      <c r="F77">
        <v>20260810</v>
      </c>
      <c r="G77" s="293">
        <v>0.01</v>
      </c>
      <c r="H77" s="70">
        <f>IFERROR(ExtrapBudget1[[#This Row],[Montant]]/VLOOKUP(ExtrapBudget1[[#This Row],[Cat_3]],TamponBudget1[],4,FALSE),"")</f>
        <v>12</v>
      </c>
      <c r="I77" s="293">
        <v>0.01</v>
      </c>
      <c r="K77" s="71"/>
      <c r="L77" s="71"/>
      <c r="AE77" s="69"/>
      <c r="AI77" s="71"/>
    </row>
    <row r="78" spans="1:35" x14ac:dyDescent="0.25">
      <c r="A78">
        <v>2026</v>
      </c>
      <c r="B78" s="279">
        <v>46266</v>
      </c>
      <c r="C78" t="s">
        <v>13</v>
      </c>
      <c r="D78" t="s">
        <v>1332</v>
      </c>
      <c r="E78" t="s">
        <v>1415</v>
      </c>
      <c r="F78">
        <v>20260901</v>
      </c>
      <c r="G78" s="293">
        <v>0.01</v>
      </c>
      <c r="H78" s="70">
        <f>IFERROR(ExtrapBudget1[[#This Row],[Montant]]/VLOOKUP(ExtrapBudget1[[#This Row],[Cat_3]],TamponBudget1[],4,FALSE),"")</f>
        <v>12</v>
      </c>
      <c r="I78" s="293">
        <v>0.01</v>
      </c>
      <c r="J78">
        <v>0</v>
      </c>
      <c r="K78" s="71"/>
      <c r="L78" s="71"/>
      <c r="AE78" s="69"/>
      <c r="AI78" s="71"/>
    </row>
    <row r="79" spans="1:35" x14ac:dyDescent="0.25">
      <c r="A79">
        <v>2026</v>
      </c>
      <c r="B79" s="279">
        <v>46266</v>
      </c>
      <c r="C79" t="s">
        <v>13</v>
      </c>
      <c r="D79" t="s">
        <v>1331</v>
      </c>
      <c r="E79" t="s">
        <v>659</v>
      </c>
      <c r="F79">
        <v>20260902</v>
      </c>
      <c r="G79" s="293">
        <v>0.01</v>
      </c>
      <c r="H79" s="70">
        <f>IFERROR(ExtrapBudget1[[#This Row],[Montant]]/VLOOKUP(ExtrapBudget1[[#This Row],[Cat_3]],TamponBudget1[],4,FALSE),"")</f>
        <v>12</v>
      </c>
      <c r="I79" s="293">
        <v>0.01</v>
      </c>
      <c r="K79" s="71"/>
      <c r="L79" s="71"/>
      <c r="W79" s="5"/>
      <c r="AE79" s="69"/>
      <c r="AI79" s="71"/>
    </row>
    <row r="80" spans="1:35" x14ac:dyDescent="0.25">
      <c r="A80">
        <v>2026</v>
      </c>
      <c r="B80" s="279">
        <v>46266</v>
      </c>
      <c r="C80" t="s">
        <v>14</v>
      </c>
      <c r="D80" t="s">
        <v>1401</v>
      </c>
      <c r="E80" t="s">
        <v>1408</v>
      </c>
      <c r="F80">
        <v>20260904</v>
      </c>
      <c r="G80" s="293">
        <v>0.01</v>
      </c>
      <c r="H80" s="70">
        <f>IFERROR(ExtrapBudget1[[#This Row],[Montant]]/VLOOKUP(ExtrapBudget1[[#This Row],[Cat_3]],TamponBudget1[],4,FALSE),"")</f>
        <v>12</v>
      </c>
      <c r="I80" s="293">
        <v>0.01</v>
      </c>
      <c r="K80" s="71"/>
      <c r="L80" s="71"/>
      <c r="W80" s="5"/>
      <c r="AE80" s="69"/>
      <c r="AI80" s="71"/>
    </row>
    <row r="81" spans="1:35" x14ac:dyDescent="0.25">
      <c r="A81">
        <v>2026</v>
      </c>
      <c r="B81" s="279">
        <v>46266</v>
      </c>
      <c r="C81" t="s">
        <v>14</v>
      </c>
      <c r="D81" t="s">
        <v>1402</v>
      </c>
      <c r="E81" t="s">
        <v>1409</v>
      </c>
      <c r="F81">
        <v>20260905</v>
      </c>
      <c r="G81" s="293">
        <v>0.01</v>
      </c>
      <c r="H81" s="70">
        <f>IFERROR(ExtrapBudget1[[#This Row],[Montant]]/VLOOKUP(ExtrapBudget1[[#This Row],[Cat_3]],TamponBudget1[],4,FALSE),"")</f>
        <v>12</v>
      </c>
      <c r="I81" s="293">
        <v>0.01</v>
      </c>
      <c r="K81" s="71"/>
      <c r="L81" s="71"/>
      <c r="W81" s="5"/>
      <c r="AE81" s="69"/>
      <c r="AI81" s="71"/>
    </row>
    <row r="82" spans="1:35" x14ac:dyDescent="0.25">
      <c r="A82">
        <v>2026</v>
      </c>
      <c r="B82" s="279">
        <v>46266</v>
      </c>
      <c r="C82" t="s">
        <v>14</v>
      </c>
      <c r="D82" t="s">
        <v>1403</v>
      </c>
      <c r="E82" t="s">
        <v>1410</v>
      </c>
      <c r="F82">
        <v>20260906</v>
      </c>
      <c r="G82" s="293">
        <v>0.01</v>
      </c>
      <c r="H82" s="70">
        <f>IFERROR(ExtrapBudget1[[#This Row],[Montant]]/VLOOKUP(ExtrapBudget1[[#This Row],[Cat_3]],TamponBudget1[],4,FALSE),"")</f>
        <v>12</v>
      </c>
      <c r="I82" s="293">
        <v>0.01</v>
      </c>
      <c r="K82" s="71"/>
      <c r="L82" s="71"/>
      <c r="W82" s="5"/>
      <c r="AE82" s="69"/>
      <c r="AI82" s="71"/>
    </row>
    <row r="83" spans="1:35" x14ac:dyDescent="0.25">
      <c r="A83">
        <v>2026</v>
      </c>
      <c r="B83" s="279">
        <v>46266</v>
      </c>
      <c r="C83" t="s">
        <v>14</v>
      </c>
      <c r="D83" t="s">
        <v>1404</v>
      </c>
      <c r="E83" t="s">
        <v>1411</v>
      </c>
      <c r="F83">
        <v>20260907</v>
      </c>
      <c r="G83" s="293">
        <v>0.01</v>
      </c>
      <c r="H83" s="70">
        <f>IFERROR(ExtrapBudget1[[#This Row],[Montant]]/VLOOKUP(ExtrapBudget1[[#This Row],[Cat_3]],TamponBudget1[],4,FALSE),"")</f>
        <v>12</v>
      </c>
      <c r="I83" s="293">
        <v>0.01</v>
      </c>
      <c r="K83" s="71"/>
      <c r="L83" s="71"/>
      <c r="W83" s="5"/>
      <c r="AE83" s="69"/>
      <c r="AI83" s="71"/>
    </row>
    <row r="84" spans="1:35" x14ac:dyDescent="0.25">
      <c r="A84">
        <v>2026</v>
      </c>
      <c r="B84" s="279">
        <v>46266</v>
      </c>
      <c r="C84" t="s">
        <v>14</v>
      </c>
      <c r="D84" t="s">
        <v>1405</v>
      </c>
      <c r="E84" t="s">
        <v>1412</v>
      </c>
      <c r="F84">
        <v>20260908</v>
      </c>
      <c r="G84" s="293">
        <v>0.01</v>
      </c>
      <c r="H84" s="70">
        <f>IFERROR(ExtrapBudget1[[#This Row],[Montant]]/VLOOKUP(ExtrapBudget1[[#This Row],[Cat_3]],TamponBudget1[],4,FALSE),"")</f>
        <v>12</v>
      </c>
      <c r="I84" s="293">
        <v>0.01</v>
      </c>
      <c r="K84" s="71"/>
      <c r="L84" s="71"/>
      <c r="W84" s="5"/>
      <c r="AE84" s="69"/>
      <c r="AI84" s="71"/>
    </row>
    <row r="85" spans="1:35" x14ac:dyDescent="0.25">
      <c r="A85">
        <v>2026</v>
      </c>
      <c r="B85" s="279">
        <v>46266</v>
      </c>
      <c r="C85" t="s">
        <v>14</v>
      </c>
      <c r="D85" t="s">
        <v>1406</v>
      </c>
      <c r="E85" t="s">
        <v>1414</v>
      </c>
      <c r="F85">
        <v>20260909</v>
      </c>
      <c r="G85" s="293">
        <v>0.01</v>
      </c>
      <c r="H85" s="70">
        <f>IFERROR(ExtrapBudget1[[#This Row],[Montant]]/VLOOKUP(ExtrapBudget1[[#This Row],[Cat_3]],TamponBudget1[],4,FALSE),"")</f>
        <v>12</v>
      </c>
      <c r="I85" s="293">
        <v>0.01</v>
      </c>
      <c r="K85" s="71"/>
      <c r="L85" s="71"/>
      <c r="W85" s="5"/>
      <c r="AE85" s="69"/>
      <c r="AI85" s="71"/>
    </row>
    <row r="86" spans="1:35" x14ac:dyDescent="0.25">
      <c r="A86">
        <v>2026</v>
      </c>
      <c r="B86" s="279">
        <v>46266</v>
      </c>
      <c r="C86" t="s">
        <v>14</v>
      </c>
      <c r="D86" t="s">
        <v>1407</v>
      </c>
      <c r="E86" t="s">
        <v>1413</v>
      </c>
      <c r="F86">
        <v>20260910</v>
      </c>
      <c r="G86" s="293">
        <v>0.01</v>
      </c>
      <c r="H86" s="70">
        <f>IFERROR(ExtrapBudget1[[#This Row],[Montant]]/VLOOKUP(ExtrapBudget1[[#This Row],[Cat_3]],TamponBudget1[],4,FALSE),"")</f>
        <v>12</v>
      </c>
      <c r="I86" s="293">
        <v>0.01</v>
      </c>
      <c r="K86" s="71"/>
      <c r="L86" s="71"/>
      <c r="W86" s="5"/>
      <c r="AE86" s="69"/>
      <c r="AI86" s="71"/>
    </row>
    <row r="87" spans="1:35" x14ac:dyDescent="0.25">
      <c r="A87">
        <v>2026</v>
      </c>
      <c r="B87" s="279">
        <v>46266</v>
      </c>
      <c r="C87" t="s">
        <v>13</v>
      </c>
      <c r="D87" t="s">
        <v>1333</v>
      </c>
      <c r="E87" t="s">
        <v>1416</v>
      </c>
      <c r="F87">
        <v>20260903</v>
      </c>
      <c r="G87" s="293">
        <v>0.01</v>
      </c>
      <c r="H87" s="70">
        <f>IFERROR(ExtrapBudget1[[#This Row],[Montant]]/VLOOKUP(ExtrapBudget1[[#This Row],[Cat_3]],TamponBudget1[],4,FALSE),"")</f>
        <v>12</v>
      </c>
      <c r="I87" s="293">
        <v>0.01</v>
      </c>
      <c r="K87" s="71"/>
      <c r="L87" s="71"/>
      <c r="W87" s="5"/>
      <c r="AE87" s="69"/>
      <c r="AI87" s="71"/>
    </row>
    <row r="88" spans="1:35" x14ac:dyDescent="0.25">
      <c r="A88">
        <v>2026</v>
      </c>
      <c r="B88" s="279">
        <v>46296</v>
      </c>
      <c r="C88" t="s">
        <v>13</v>
      </c>
      <c r="D88" t="s">
        <v>1332</v>
      </c>
      <c r="E88" t="s">
        <v>1415</v>
      </c>
      <c r="F88">
        <v>20261001</v>
      </c>
      <c r="G88" s="293">
        <v>0.01</v>
      </c>
      <c r="H88" s="70">
        <f>IFERROR(ExtrapBudget1[[#This Row],[Montant]]/VLOOKUP(ExtrapBudget1[[#This Row],[Cat_3]],TamponBudget1[],4,FALSE),"")</f>
        <v>12</v>
      </c>
      <c r="I88" s="293">
        <v>0.01</v>
      </c>
      <c r="J88">
        <v>0</v>
      </c>
      <c r="K88" s="71"/>
      <c r="L88" s="71"/>
      <c r="W88" s="5"/>
      <c r="AE88" s="69"/>
      <c r="AI88" s="71"/>
    </row>
    <row r="89" spans="1:35" x14ac:dyDescent="0.25">
      <c r="A89">
        <v>2026</v>
      </c>
      <c r="B89" s="279">
        <v>46296</v>
      </c>
      <c r="C89" t="s">
        <v>13</v>
      </c>
      <c r="D89" t="s">
        <v>1331</v>
      </c>
      <c r="E89" t="s">
        <v>659</v>
      </c>
      <c r="F89">
        <v>20261002</v>
      </c>
      <c r="G89" s="293">
        <v>0.01</v>
      </c>
      <c r="H89" s="70">
        <f>IFERROR(ExtrapBudget1[[#This Row],[Montant]]/VLOOKUP(ExtrapBudget1[[#This Row],[Cat_3]],TamponBudget1[],4,FALSE),"")</f>
        <v>12</v>
      </c>
      <c r="I89" s="293">
        <v>0.01</v>
      </c>
      <c r="K89" s="71"/>
      <c r="L89" s="71"/>
      <c r="W89" s="5"/>
      <c r="AE89" s="69"/>
      <c r="AI89" s="71"/>
    </row>
    <row r="90" spans="1:35" x14ac:dyDescent="0.25">
      <c r="A90">
        <v>2026</v>
      </c>
      <c r="B90" s="279">
        <v>46296</v>
      </c>
      <c r="C90" t="s">
        <v>14</v>
      </c>
      <c r="D90" t="s">
        <v>1401</v>
      </c>
      <c r="E90" t="s">
        <v>1408</v>
      </c>
      <c r="F90">
        <v>20261004</v>
      </c>
      <c r="G90" s="293">
        <v>0.01</v>
      </c>
      <c r="H90" s="70">
        <f>IFERROR(ExtrapBudget1[[#This Row],[Montant]]/VLOOKUP(ExtrapBudget1[[#This Row],[Cat_3]],TamponBudget1[],4,FALSE),"")</f>
        <v>12</v>
      </c>
      <c r="I90" s="293">
        <v>0.01</v>
      </c>
      <c r="K90" s="71"/>
      <c r="L90" s="71"/>
      <c r="W90" s="5"/>
      <c r="AE90" s="69"/>
      <c r="AI90" s="71"/>
    </row>
    <row r="91" spans="1:35" x14ac:dyDescent="0.25">
      <c r="A91">
        <v>2026</v>
      </c>
      <c r="B91" s="279">
        <v>46296</v>
      </c>
      <c r="C91" t="s">
        <v>14</v>
      </c>
      <c r="D91" t="s">
        <v>1402</v>
      </c>
      <c r="E91" t="s">
        <v>1409</v>
      </c>
      <c r="F91">
        <v>20261005</v>
      </c>
      <c r="G91" s="293">
        <v>0.01</v>
      </c>
      <c r="H91" s="70">
        <f>IFERROR(ExtrapBudget1[[#This Row],[Montant]]/VLOOKUP(ExtrapBudget1[[#This Row],[Cat_3]],TamponBudget1[],4,FALSE),"")</f>
        <v>12</v>
      </c>
      <c r="I91" s="293">
        <v>0.01</v>
      </c>
      <c r="K91" s="71"/>
      <c r="L91" s="71"/>
      <c r="W91" s="5"/>
      <c r="AE91" s="69"/>
      <c r="AI91" s="71"/>
    </row>
    <row r="92" spans="1:35" x14ac:dyDescent="0.25">
      <c r="A92">
        <v>2026</v>
      </c>
      <c r="B92" s="279">
        <v>46296</v>
      </c>
      <c r="C92" t="s">
        <v>14</v>
      </c>
      <c r="D92" t="s">
        <v>1403</v>
      </c>
      <c r="E92" t="s">
        <v>1410</v>
      </c>
      <c r="F92">
        <v>20261006</v>
      </c>
      <c r="G92" s="293">
        <v>0.01</v>
      </c>
      <c r="H92" s="70">
        <f>IFERROR(ExtrapBudget1[[#This Row],[Montant]]/VLOOKUP(ExtrapBudget1[[#This Row],[Cat_3]],TamponBudget1[],4,FALSE),"")</f>
        <v>12</v>
      </c>
      <c r="I92" s="293">
        <v>0.01</v>
      </c>
      <c r="K92" s="71"/>
      <c r="L92" s="71"/>
      <c r="W92" s="5"/>
      <c r="AE92" s="69"/>
      <c r="AI92" s="71"/>
    </row>
    <row r="93" spans="1:35" x14ac:dyDescent="0.25">
      <c r="A93">
        <v>2026</v>
      </c>
      <c r="B93" s="279">
        <v>46296</v>
      </c>
      <c r="C93" t="s">
        <v>14</v>
      </c>
      <c r="D93" t="s">
        <v>1404</v>
      </c>
      <c r="E93" t="s">
        <v>1411</v>
      </c>
      <c r="F93">
        <v>20261007</v>
      </c>
      <c r="G93" s="293">
        <v>0.01</v>
      </c>
      <c r="H93" s="70">
        <f>IFERROR(ExtrapBudget1[[#This Row],[Montant]]/VLOOKUP(ExtrapBudget1[[#This Row],[Cat_3]],TamponBudget1[],4,FALSE),"")</f>
        <v>12</v>
      </c>
      <c r="I93" s="293">
        <v>0.01</v>
      </c>
      <c r="K93" s="71"/>
      <c r="L93" s="71"/>
      <c r="W93" s="5"/>
      <c r="AE93" s="69"/>
      <c r="AI93" s="71"/>
    </row>
    <row r="94" spans="1:35" x14ac:dyDescent="0.25">
      <c r="A94">
        <v>2026</v>
      </c>
      <c r="B94" s="279">
        <v>46296</v>
      </c>
      <c r="C94" t="s">
        <v>14</v>
      </c>
      <c r="D94" t="s">
        <v>1405</v>
      </c>
      <c r="E94" t="s">
        <v>1412</v>
      </c>
      <c r="F94">
        <v>20261008</v>
      </c>
      <c r="G94" s="293">
        <v>0.01</v>
      </c>
      <c r="H94" s="70">
        <f>IFERROR(ExtrapBudget1[[#This Row],[Montant]]/VLOOKUP(ExtrapBudget1[[#This Row],[Cat_3]],TamponBudget1[],4,FALSE),"")</f>
        <v>12</v>
      </c>
      <c r="I94" s="293">
        <v>0.01</v>
      </c>
      <c r="K94" s="71"/>
      <c r="L94" s="71"/>
      <c r="W94" s="5"/>
      <c r="AE94" s="69"/>
      <c r="AI94" s="71"/>
    </row>
    <row r="95" spans="1:35" x14ac:dyDescent="0.25">
      <c r="A95">
        <v>2026</v>
      </c>
      <c r="B95" s="279">
        <v>46296</v>
      </c>
      <c r="C95" t="s">
        <v>14</v>
      </c>
      <c r="D95" t="s">
        <v>1406</v>
      </c>
      <c r="E95" t="s">
        <v>1414</v>
      </c>
      <c r="F95">
        <v>20261009</v>
      </c>
      <c r="G95" s="293">
        <v>0.01</v>
      </c>
      <c r="H95" s="70">
        <f>IFERROR(ExtrapBudget1[[#This Row],[Montant]]/VLOOKUP(ExtrapBudget1[[#This Row],[Cat_3]],TamponBudget1[],4,FALSE),"")</f>
        <v>12</v>
      </c>
      <c r="I95" s="293">
        <v>0.01</v>
      </c>
      <c r="K95" s="71"/>
      <c r="L95" s="71"/>
      <c r="W95" s="5"/>
      <c r="AE95" s="69"/>
      <c r="AI95" s="71"/>
    </row>
    <row r="96" spans="1:35" x14ac:dyDescent="0.25">
      <c r="A96">
        <v>2026</v>
      </c>
      <c r="B96" s="279">
        <v>46296</v>
      </c>
      <c r="C96" t="s">
        <v>14</v>
      </c>
      <c r="D96" t="s">
        <v>1407</v>
      </c>
      <c r="E96" t="s">
        <v>1413</v>
      </c>
      <c r="F96">
        <v>20261010</v>
      </c>
      <c r="G96" s="293">
        <v>0.01</v>
      </c>
      <c r="H96" s="70">
        <f>IFERROR(ExtrapBudget1[[#This Row],[Montant]]/VLOOKUP(ExtrapBudget1[[#This Row],[Cat_3]],TamponBudget1[],4,FALSE),"")</f>
        <v>12</v>
      </c>
      <c r="I96" s="293">
        <v>0.01</v>
      </c>
      <c r="K96" s="71"/>
      <c r="L96" s="71"/>
      <c r="W96" s="5"/>
      <c r="AE96" s="69"/>
      <c r="AI96" s="71"/>
    </row>
    <row r="97" spans="1:35" x14ac:dyDescent="0.25">
      <c r="A97">
        <v>2026</v>
      </c>
      <c r="B97" s="279">
        <v>46327</v>
      </c>
      <c r="C97" t="s">
        <v>13</v>
      </c>
      <c r="D97" t="s">
        <v>1332</v>
      </c>
      <c r="E97" t="s">
        <v>1415</v>
      </c>
      <c r="F97">
        <v>20261101</v>
      </c>
      <c r="G97" s="293">
        <v>0.01</v>
      </c>
      <c r="H97" s="70">
        <f>IFERROR(ExtrapBudget1[[#This Row],[Montant]]/VLOOKUP(ExtrapBudget1[[#This Row],[Cat_3]],TamponBudget1[],4,FALSE),"")</f>
        <v>12</v>
      </c>
      <c r="I97" s="293">
        <v>0.01</v>
      </c>
      <c r="J97">
        <v>0</v>
      </c>
      <c r="K97" s="71"/>
      <c r="L97" s="71"/>
      <c r="W97" s="5"/>
      <c r="AE97" s="69"/>
      <c r="AI97" s="71"/>
    </row>
    <row r="98" spans="1:35" x14ac:dyDescent="0.25">
      <c r="A98">
        <v>2026</v>
      </c>
      <c r="B98" s="279">
        <v>46327</v>
      </c>
      <c r="C98" t="s">
        <v>13</v>
      </c>
      <c r="D98" t="s">
        <v>1331</v>
      </c>
      <c r="E98" t="s">
        <v>659</v>
      </c>
      <c r="F98">
        <v>20261102</v>
      </c>
      <c r="G98" s="293">
        <v>0.01</v>
      </c>
      <c r="H98" s="70">
        <f>IFERROR(ExtrapBudget1[[#This Row],[Montant]]/VLOOKUP(ExtrapBudget1[[#This Row],[Cat_3]],TamponBudget1[],4,FALSE),"")</f>
        <v>12</v>
      </c>
      <c r="I98" s="293">
        <v>0.01</v>
      </c>
      <c r="K98" s="71"/>
      <c r="L98" s="71"/>
      <c r="W98" s="5"/>
      <c r="AE98" s="69"/>
      <c r="AI98" s="71"/>
    </row>
    <row r="99" spans="1:35" x14ac:dyDescent="0.25">
      <c r="A99">
        <v>2026</v>
      </c>
      <c r="B99" s="279">
        <v>46327</v>
      </c>
      <c r="C99" t="s">
        <v>14</v>
      </c>
      <c r="D99" t="s">
        <v>1401</v>
      </c>
      <c r="E99" t="s">
        <v>1408</v>
      </c>
      <c r="F99">
        <v>20261104</v>
      </c>
      <c r="G99" s="293">
        <v>0.01</v>
      </c>
      <c r="H99" s="70">
        <f>IFERROR(ExtrapBudget1[[#This Row],[Montant]]/VLOOKUP(ExtrapBudget1[[#This Row],[Cat_3]],TamponBudget1[],4,FALSE),"")</f>
        <v>12</v>
      </c>
      <c r="I99" s="293">
        <v>0.01</v>
      </c>
      <c r="K99" s="71"/>
      <c r="L99" s="71"/>
      <c r="W99" s="5"/>
      <c r="AE99" s="69"/>
      <c r="AI99" s="71"/>
    </row>
    <row r="100" spans="1:35" x14ac:dyDescent="0.25">
      <c r="A100">
        <v>2026</v>
      </c>
      <c r="B100" s="279">
        <v>46327</v>
      </c>
      <c r="C100" t="s">
        <v>14</v>
      </c>
      <c r="D100" t="s">
        <v>1402</v>
      </c>
      <c r="E100" t="s">
        <v>1409</v>
      </c>
      <c r="F100">
        <v>20261105</v>
      </c>
      <c r="G100" s="293">
        <v>0.01</v>
      </c>
      <c r="H100" s="70">
        <f>IFERROR(ExtrapBudget1[[#This Row],[Montant]]/VLOOKUP(ExtrapBudget1[[#This Row],[Cat_3]],TamponBudget1[],4,FALSE),"")</f>
        <v>12</v>
      </c>
      <c r="I100" s="293">
        <v>0.01</v>
      </c>
      <c r="K100" s="71"/>
      <c r="L100" s="71"/>
      <c r="W100" s="5"/>
      <c r="AE100" s="69"/>
      <c r="AI100" s="71"/>
    </row>
    <row r="101" spans="1:35" x14ac:dyDescent="0.25">
      <c r="A101">
        <v>2026</v>
      </c>
      <c r="B101" s="279">
        <v>46327</v>
      </c>
      <c r="C101" t="s">
        <v>14</v>
      </c>
      <c r="D101" t="s">
        <v>1403</v>
      </c>
      <c r="E101" t="s">
        <v>1410</v>
      </c>
      <c r="F101">
        <v>20261106</v>
      </c>
      <c r="G101" s="293">
        <v>0.01</v>
      </c>
      <c r="H101" s="70">
        <f>IFERROR(ExtrapBudget1[[#This Row],[Montant]]/VLOOKUP(ExtrapBudget1[[#This Row],[Cat_3]],TamponBudget1[],4,FALSE),"")</f>
        <v>12</v>
      </c>
      <c r="I101" s="293">
        <v>0.01</v>
      </c>
      <c r="K101" s="71"/>
      <c r="L101" s="71"/>
      <c r="W101" s="5"/>
      <c r="AE101" s="69"/>
      <c r="AI101" s="71"/>
    </row>
    <row r="102" spans="1:35" x14ac:dyDescent="0.25">
      <c r="A102">
        <v>2026</v>
      </c>
      <c r="B102" s="279">
        <v>46327</v>
      </c>
      <c r="C102" t="s">
        <v>14</v>
      </c>
      <c r="D102" t="s">
        <v>1404</v>
      </c>
      <c r="E102" t="s">
        <v>1411</v>
      </c>
      <c r="F102">
        <v>20261107</v>
      </c>
      <c r="G102" s="293">
        <v>0.01</v>
      </c>
      <c r="H102" s="70">
        <f>IFERROR(ExtrapBudget1[[#This Row],[Montant]]/VLOOKUP(ExtrapBudget1[[#This Row],[Cat_3]],TamponBudget1[],4,FALSE),"")</f>
        <v>12</v>
      </c>
      <c r="I102" s="293">
        <v>0.01</v>
      </c>
      <c r="K102" s="71"/>
      <c r="L102" s="71"/>
      <c r="W102" s="5"/>
      <c r="AE102" s="69"/>
      <c r="AI102" s="71"/>
    </row>
    <row r="103" spans="1:35" x14ac:dyDescent="0.25">
      <c r="A103">
        <v>2026</v>
      </c>
      <c r="B103" s="279">
        <v>46327</v>
      </c>
      <c r="C103" t="s">
        <v>14</v>
      </c>
      <c r="D103" t="s">
        <v>1405</v>
      </c>
      <c r="E103" t="s">
        <v>1412</v>
      </c>
      <c r="F103">
        <v>20261108</v>
      </c>
      <c r="G103" s="293">
        <v>0.01</v>
      </c>
      <c r="H103" s="70">
        <f>IFERROR(ExtrapBudget1[[#This Row],[Montant]]/VLOOKUP(ExtrapBudget1[[#This Row],[Cat_3]],TamponBudget1[],4,FALSE),"")</f>
        <v>12</v>
      </c>
      <c r="I103" s="293">
        <v>0.01</v>
      </c>
      <c r="K103" s="71"/>
      <c r="L103" s="71"/>
      <c r="W103" s="5"/>
      <c r="AE103" s="69"/>
      <c r="AI103" s="71"/>
    </row>
    <row r="104" spans="1:35" x14ac:dyDescent="0.25">
      <c r="A104">
        <v>2026</v>
      </c>
      <c r="B104" s="279">
        <v>46327</v>
      </c>
      <c r="C104" t="s">
        <v>14</v>
      </c>
      <c r="D104" t="s">
        <v>1406</v>
      </c>
      <c r="E104" t="s">
        <v>1414</v>
      </c>
      <c r="F104">
        <v>20261109</v>
      </c>
      <c r="G104" s="293">
        <v>0.01</v>
      </c>
      <c r="H104" s="70">
        <f>IFERROR(ExtrapBudget1[[#This Row],[Montant]]/VLOOKUP(ExtrapBudget1[[#This Row],[Cat_3]],TamponBudget1[],4,FALSE),"")</f>
        <v>12</v>
      </c>
      <c r="I104" s="293">
        <v>0.01</v>
      </c>
      <c r="K104" s="71"/>
      <c r="L104" s="71"/>
      <c r="W104" s="5"/>
      <c r="AE104" s="69"/>
      <c r="AI104" s="71"/>
    </row>
    <row r="105" spans="1:35" x14ac:dyDescent="0.25">
      <c r="A105">
        <v>2026</v>
      </c>
      <c r="B105" s="279">
        <v>46327</v>
      </c>
      <c r="C105" t="s">
        <v>14</v>
      </c>
      <c r="D105" t="s">
        <v>1407</v>
      </c>
      <c r="E105" t="s">
        <v>1413</v>
      </c>
      <c r="F105">
        <v>20261110</v>
      </c>
      <c r="G105" s="293">
        <v>0.01</v>
      </c>
      <c r="H105" s="70">
        <f>IFERROR(ExtrapBudget1[[#This Row],[Montant]]/VLOOKUP(ExtrapBudget1[[#This Row],[Cat_3]],TamponBudget1[],4,FALSE),"")</f>
        <v>12</v>
      </c>
      <c r="I105" s="293">
        <v>0.01</v>
      </c>
      <c r="K105" s="71"/>
      <c r="L105" s="71"/>
      <c r="W105" s="5"/>
      <c r="AE105" s="69"/>
      <c r="AI105" s="71"/>
    </row>
    <row r="106" spans="1:35" x14ac:dyDescent="0.25">
      <c r="A106">
        <v>2026</v>
      </c>
      <c r="B106" s="279">
        <v>46357</v>
      </c>
      <c r="C106" t="s">
        <v>13</v>
      </c>
      <c r="D106" t="s">
        <v>1332</v>
      </c>
      <c r="E106" t="s">
        <v>1415</v>
      </c>
      <c r="F106">
        <v>20261201</v>
      </c>
      <c r="G106" s="293">
        <v>0.01</v>
      </c>
      <c r="H106" s="70">
        <f>IFERROR(ExtrapBudget1[[#This Row],[Montant]]/VLOOKUP(ExtrapBudget1[[#This Row],[Cat_3]],TamponBudget1[],4,FALSE),"")</f>
        <v>12</v>
      </c>
      <c r="I106" s="293">
        <v>0.01</v>
      </c>
      <c r="J106">
        <v>0</v>
      </c>
      <c r="K106" s="71"/>
      <c r="L106" s="71"/>
      <c r="W106" s="5"/>
      <c r="AE106" s="69"/>
      <c r="AI106" s="71"/>
    </row>
    <row r="107" spans="1:35" x14ac:dyDescent="0.25">
      <c r="A107">
        <v>2026</v>
      </c>
      <c r="B107" s="279">
        <v>46357</v>
      </c>
      <c r="C107" t="s">
        <v>13</v>
      </c>
      <c r="D107" t="s">
        <v>1331</v>
      </c>
      <c r="E107" t="s">
        <v>659</v>
      </c>
      <c r="F107">
        <v>20261202</v>
      </c>
      <c r="G107" s="293">
        <v>0.01</v>
      </c>
      <c r="H107" s="70">
        <f>IFERROR(ExtrapBudget1[[#This Row],[Montant]]/VLOOKUP(ExtrapBudget1[[#This Row],[Cat_3]],TamponBudget1[],4,FALSE),"")</f>
        <v>12</v>
      </c>
      <c r="I107" s="293">
        <v>0.01</v>
      </c>
      <c r="K107" s="71"/>
      <c r="L107" s="71"/>
      <c r="W107" s="5"/>
      <c r="AE107" s="69"/>
      <c r="AI107" s="71"/>
    </row>
    <row r="108" spans="1:35" x14ac:dyDescent="0.25">
      <c r="A108">
        <v>2026</v>
      </c>
      <c r="B108" s="279">
        <v>46357</v>
      </c>
      <c r="C108" t="s">
        <v>14</v>
      </c>
      <c r="D108" t="s">
        <v>1401</v>
      </c>
      <c r="E108" t="s">
        <v>1408</v>
      </c>
      <c r="F108">
        <v>20261204</v>
      </c>
      <c r="G108" s="293">
        <v>0.01</v>
      </c>
      <c r="H108" s="70">
        <f>IFERROR(ExtrapBudget1[[#This Row],[Montant]]/VLOOKUP(ExtrapBudget1[[#This Row],[Cat_3]],TamponBudget1[],4,FALSE),"")</f>
        <v>12</v>
      </c>
      <c r="I108" s="293">
        <v>0.01</v>
      </c>
      <c r="K108" s="71"/>
      <c r="L108" s="71"/>
      <c r="W108" s="5"/>
      <c r="AE108" s="69"/>
      <c r="AI108" s="71"/>
    </row>
    <row r="109" spans="1:35" x14ac:dyDescent="0.25">
      <c r="A109">
        <v>2026</v>
      </c>
      <c r="B109" s="279">
        <v>46357</v>
      </c>
      <c r="C109" t="s">
        <v>14</v>
      </c>
      <c r="D109" t="s">
        <v>1402</v>
      </c>
      <c r="E109" t="s">
        <v>1409</v>
      </c>
      <c r="F109">
        <v>20261205</v>
      </c>
      <c r="G109" s="293">
        <v>0.01</v>
      </c>
      <c r="H109" s="70">
        <f>IFERROR(ExtrapBudget1[[#This Row],[Montant]]/VLOOKUP(ExtrapBudget1[[#This Row],[Cat_3]],TamponBudget1[],4,FALSE),"")</f>
        <v>12</v>
      </c>
      <c r="I109" s="293">
        <v>0.01</v>
      </c>
      <c r="K109" s="71"/>
      <c r="L109" s="71"/>
      <c r="W109" s="5"/>
      <c r="AE109" s="69"/>
      <c r="AI109" s="71"/>
    </row>
    <row r="110" spans="1:35" x14ac:dyDescent="0.25">
      <c r="A110">
        <v>2026</v>
      </c>
      <c r="B110" s="279">
        <v>46357</v>
      </c>
      <c r="C110" t="s">
        <v>14</v>
      </c>
      <c r="D110" t="s">
        <v>1403</v>
      </c>
      <c r="E110" t="s">
        <v>1410</v>
      </c>
      <c r="F110">
        <v>20261206</v>
      </c>
      <c r="G110" s="293">
        <v>0.01</v>
      </c>
      <c r="H110" s="70">
        <f>IFERROR(ExtrapBudget1[[#This Row],[Montant]]/VLOOKUP(ExtrapBudget1[[#This Row],[Cat_3]],TamponBudget1[],4,FALSE),"")</f>
        <v>12</v>
      </c>
      <c r="I110" s="293">
        <v>0.01</v>
      </c>
      <c r="K110" s="71"/>
      <c r="L110" s="71"/>
      <c r="W110" s="5"/>
      <c r="AE110" s="69"/>
      <c r="AI110" s="71"/>
    </row>
    <row r="111" spans="1:35" x14ac:dyDescent="0.25">
      <c r="A111">
        <v>2026</v>
      </c>
      <c r="B111" s="279">
        <v>46357</v>
      </c>
      <c r="C111" t="s">
        <v>14</v>
      </c>
      <c r="D111" t="s">
        <v>1404</v>
      </c>
      <c r="E111" t="s">
        <v>1411</v>
      </c>
      <c r="F111">
        <v>20261207</v>
      </c>
      <c r="G111" s="293">
        <v>0.01</v>
      </c>
      <c r="H111" s="70">
        <f>IFERROR(ExtrapBudget1[[#This Row],[Montant]]/VLOOKUP(ExtrapBudget1[[#This Row],[Cat_3]],TamponBudget1[],4,FALSE),"")</f>
        <v>12</v>
      </c>
      <c r="I111" s="293">
        <v>0.01</v>
      </c>
      <c r="K111" s="71"/>
      <c r="L111" s="71"/>
      <c r="W111" s="5"/>
      <c r="AE111" s="69"/>
      <c r="AI111" s="71"/>
    </row>
    <row r="112" spans="1:35" x14ac:dyDescent="0.25">
      <c r="A112">
        <v>2026</v>
      </c>
      <c r="B112" s="279">
        <v>46357</v>
      </c>
      <c r="C112" t="s">
        <v>14</v>
      </c>
      <c r="D112" t="s">
        <v>1405</v>
      </c>
      <c r="E112" t="s">
        <v>1412</v>
      </c>
      <c r="F112">
        <v>20261208</v>
      </c>
      <c r="G112" s="293">
        <v>0.01</v>
      </c>
      <c r="H112" s="70">
        <f>IFERROR(ExtrapBudget1[[#This Row],[Montant]]/VLOOKUP(ExtrapBudget1[[#This Row],[Cat_3]],TamponBudget1[],4,FALSE),"")</f>
        <v>12</v>
      </c>
      <c r="I112" s="293">
        <v>0.01</v>
      </c>
      <c r="K112" s="71"/>
      <c r="L112" s="71"/>
      <c r="W112" s="5"/>
      <c r="AE112" s="69"/>
      <c r="AI112" s="71"/>
    </row>
    <row r="113" spans="1:35" x14ac:dyDescent="0.25">
      <c r="A113">
        <v>2026</v>
      </c>
      <c r="B113" s="279">
        <v>46357</v>
      </c>
      <c r="C113" t="s">
        <v>14</v>
      </c>
      <c r="D113" t="s">
        <v>1406</v>
      </c>
      <c r="E113" t="s">
        <v>1414</v>
      </c>
      <c r="F113">
        <v>20261209</v>
      </c>
      <c r="G113" s="293">
        <v>0.01</v>
      </c>
      <c r="H113" s="70">
        <f>IFERROR(ExtrapBudget1[[#This Row],[Montant]]/VLOOKUP(ExtrapBudget1[[#This Row],[Cat_3]],TamponBudget1[],4,FALSE),"")</f>
        <v>12</v>
      </c>
      <c r="I113" s="293">
        <v>0.01</v>
      </c>
      <c r="K113" s="71"/>
      <c r="L113" s="71"/>
      <c r="W113" s="5"/>
      <c r="AE113" s="69"/>
      <c r="AI113" s="71"/>
    </row>
    <row r="114" spans="1:35" x14ac:dyDescent="0.25">
      <c r="A114">
        <v>2026</v>
      </c>
      <c r="B114" s="279">
        <v>46357</v>
      </c>
      <c r="C114" t="s">
        <v>14</v>
      </c>
      <c r="D114" t="s">
        <v>1407</v>
      </c>
      <c r="E114" t="s">
        <v>1413</v>
      </c>
      <c r="F114">
        <v>20261210</v>
      </c>
      <c r="G114" s="293">
        <v>0.01</v>
      </c>
      <c r="H114" s="70">
        <f>IFERROR(ExtrapBudget1[[#This Row],[Montant]]/VLOOKUP(ExtrapBudget1[[#This Row],[Cat_3]],TamponBudget1[],4,FALSE),"")</f>
        <v>12</v>
      </c>
      <c r="I114" s="293">
        <v>0.01</v>
      </c>
      <c r="K114" s="71"/>
      <c r="L114" s="71"/>
      <c r="W114" s="5"/>
      <c r="AE114" s="69"/>
      <c r="AI114" s="71"/>
    </row>
    <row r="115" spans="1:35" x14ac:dyDescent="0.25">
      <c r="B115" s="279"/>
      <c r="G115" s="71"/>
      <c r="H115" s="70"/>
      <c r="I115" s="71"/>
      <c r="K115" s="71"/>
      <c r="L115" s="71"/>
      <c r="W115" s="5"/>
      <c r="AE115" s="69"/>
      <c r="AI115" s="71"/>
    </row>
    <row r="116" spans="1:35" x14ac:dyDescent="0.25">
      <c r="B116" s="279"/>
      <c r="G116" s="71"/>
      <c r="H116" s="70"/>
      <c r="I116" s="71"/>
      <c r="K116" s="71"/>
      <c r="L116" s="71"/>
      <c r="W116" s="5"/>
      <c r="AE116" s="69"/>
      <c r="AI116" s="71"/>
    </row>
    <row r="117" spans="1:35" x14ac:dyDescent="0.25">
      <c r="B117" s="279"/>
      <c r="G117" s="71"/>
      <c r="H117" s="70"/>
      <c r="I117" s="71"/>
      <c r="K117" s="71"/>
      <c r="L117" s="71"/>
      <c r="W117" s="5"/>
      <c r="AE117" s="69"/>
      <c r="AI117" s="71"/>
    </row>
    <row r="118" spans="1:35" x14ac:dyDescent="0.25">
      <c r="B118" s="279"/>
      <c r="G118" s="71"/>
      <c r="H118" s="70"/>
      <c r="I118" s="71"/>
      <c r="K118" s="71"/>
      <c r="L118" s="71"/>
      <c r="W118" s="5"/>
      <c r="AE118" s="69"/>
      <c r="AI118" s="71"/>
    </row>
    <row r="119" spans="1:35" x14ac:dyDescent="0.25">
      <c r="B119" s="279"/>
      <c r="G119" s="71"/>
      <c r="H119" s="70"/>
      <c r="I119" s="71"/>
      <c r="K119" s="71"/>
      <c r="L119" s="71"/>
      <c r="W119" s="5"/>
      <c r="AE119" s="69"/>
      <c r="AI119" s="71"/>
    </row>
    <row r="120" spans="1:35" x14ac:dyDescent="0.25">
      <c r="B120" s="279"/>
      <c r="G120" s="71"/>
      <c r="H120" s="70"/>
      <c r="I120" s="71"/>
      <c r="K120" s="71"/>
      <c r="L120" s="71"/>
      <c r="W120" s="5"/>
      <c r="AE120" s="69"/>
      <c r="AI120" s="71"/>
    </row>
    <row r="121" spans="1:35" x14ac:dyDescent="0.25">
      <c r="B121" s="279"/>
      <c r="G121" s="71"/>
      <c r="H121" s="70"/>
      <c r="I121" s="71"/>
      <c r="K121" s="71"/>
      <c r="L121" s="71"/>
      <c r="W121" s="5"/>
      <c r="AE121" s="69"/>
      <c r="AI121" s="71"/>
    </row>
    <row r="122" spans="1:35" x14ac:dyDescent="0.25">
      <c r="B122" s="279"/>
      <c r="G122" s="71"/>
      <c r="H122" s="70"/>
      <c r="I122" s="71"/>
      <c r="K122" s="71"/>
      <c r="L122" s="71"/>
      <c r="W122" s="5"/>
      <c r="AE122" s="69"/>
      <c r="AI122" s="71"/>
    </row>
    <row r="123" spans="1:35" x14ac:dyDescent="0.25">
      <c r="B123" s="279"/>
      <c r="G123" s="71"/>
      <c r="H123" s="70"/>
      <c r="I123" s="71"/>
      <c r="K123" s="71"/>
      <c r="L123" s="71"/>
      <c r="W123" s="5"/>
      <c r="AE123" s="69"/>
      <c r="AI123" s="71"/>
    </row>
    <row r="124" spans="1:35" x14ac:dyDescent="0.25">
      <c r="B124" s="279"/>
      <c r="G124" s="71"/>
      <c r="H124" s="70"/>
      <c r="I124" s="71"/>
      <c r="K124" s="71"/>
      <c r="L124" s="71"/>
      <c r="W124" s="5"/>
      <c r="AE124" s="69"/>
      <c r="AI124" s="71"/>
    </row>
    <row r="125" spans="1:35" x14ac:dyDescent="0.25">
      <c r="B125" s="279"/>
      <c r="G125" s="71"/>
      <c r="H125" s="70"/>
      <c r="I125" s="71"/>
      <c r="K125" s="71"/>
      <c r="L125" s="71"/>
      <c r="W125" s="5"/>
      <c r="AE125" s="69"/>
      <c r="AI125" s="71"/>
    </row>
    <row r="126" spans="1:35" x14ac:dyDescent="0.25">
      <c r="B126" s="279"/>
      <c r="G126" s="71"/>
      <c r="H126" s="70"/>
      <c r="I126" s="71"/>
      <c r="K126" s="71"/>
      <c r="L126" s="71"/>
      <c r="W126" s="5"/>
      <c r="AE126" s="69"/>
      <c r="AI126" s="71"/>
    </row>
    <row r="127" spans="1:35" x14ac:dyDescent="0.25">
      <c r="B127" s="279"/>
      <c r="G127" s="71"/>
      <c r="H127" s="70"/>
      <c r="I127" s="71"/>
      <c r="K127" s="71"/>
      <c r="L127" s="71"/>
      <c r="W127" s="5"/>
      <c r="AE127" s="69"/>
      <c r="AI127" s="71"/>
    </row>
    <row r="128" spans="1:35" x14ac:dyDescent="0.25">
      <c r="B128" s="279"/>
      <c r="G128" s="71"/>
      <c r="H128" s="70"/>
      <c r="I128" s="71"/>
      <c r="K128" s="71"/>
      <c r="L128" s="71"/>
      <c r="W128" s="5"/>
      <c r="AE128" s="69"/>
      <c r="AI128" s="71"/>
    </row>
    <row r="129" spans="2:35" x14ac:dyDescent="0.25">
      <c r="B129" s="279"/>
      <c r="G129" s="71"/>
      <c r="H129" s="70"/>
      <c r="I129" s="71"/>
      <c r="K129" s="71"/>
      <c r="L129" s="71"/>
      <c r="W129" s="5"/>
      <c r="AE129" s="69"/>
      <c r="AI129" s="71"/>
    </row>
    <row r="130" spans="2:35" x14ac:dyDescent="0.25">
      <c r="B130" s="279"/>
      <c r="G130" s="71"/>
      <c r="H130" s="70"/>
      <c r="I130" s="71"/>
      <c r="K130" s="71"/>
      <c r="L130" s="71"/>
      <c r="W130" s="5"/>
      <c r="AE130" s="69"/>
      <c r="AI130" s="71"/>
    </row>
    <row r="131" spans="2:35" x14ac:dyDescent="0.25">
      <c r="B131" s="279"/>
      <c r="G131" s="71"/>
      <c r="H131" s="70"/>
      <c r="I131" s="71"/>
      <c r="K131" s="71"/>
      <c r="L131" s="71"/>
      <c r="W131" s="5"/>
      <c r="AE131" s="69"/>
      <c r="AI131" s="71"/>
    </row>
    <row r="132" spans="2:35" x14ac:dyDescent="0.25">
      <c r="B132" s="279"/>
      <c r="G132" s="71"/>
      <c r="H132" s="70"/>
      <c r="I132" s="71"/>
      <c r="K132" s="71"/>
      <c r="L132" s="71"/>
      <c r="W132" s="5"/>
      <c r="AE132" s="69"/>
      <c r="AI132" s="71"/>
    </row>
    <row r="133" spans="2:35" x14ac:dyDescent="0.25">
      <c r="B133" s="279"/>
      <c r="G133" s="71"/>
      <c r="H133" s="70"/>
      <c r="I133" s="71"/>
      <c r="K133" s="71"/>
      <c r="L133" s="71"/>
      <c r="W133" s="5"/>
      <c r="AE133" s="69"/>
      <c r="AI133" s="71"/>
    </row>
    <row r="134" spans="2:35" x14ac:dyDescent="0.25">
      <c r="B134" s="279"/>
      <c r="G134" s="71"/>
      <c r="H134" s="70"/>
      <c r="I134" s="71"/>
      <c r="K134" s="71"/>
      <c r="L134" s="71"/>
      <c r="W134" s="5"/>
      <c r="AE134" s="69"/>
      <c r="AI134" s="71"/>
    </row>
    <row r="135" spans="2:35" x14ac:dyDescent="0.25">
      <c r="B135" s="279"/>
      <c r="G135" s="71"/>
      <c r="H135" s="70"/>
      <c r="I135" s="71"/>
      <c r="K135" s="71"/>
      <c r="L135" s="71"/>
      <c r="W135" s="5"/>
      <c r="AE135" s="69"/>
      <c r="AI135" s="71"/>
    </row>
    <row r="136" spans="2:35" x14ac:dyDescent="0.25">
      <c r="B136" s="279"/>
      <c r="G136" s="71"/>
      <c r="H136" s="70"/>
      <c r="I136" s="71"/>
      <c r="K136" s="71"/>
      <c r="L136" s="71"/>
      <c r="W136" s="5"/>
      <c r="AE136" s="69"/>
      <c r="AI136" s="71"/>
    </row>
    <row r="137" spans="2:35" x14ac:dyDescent="0.25">
      <c r="B137" s="279"/>
      <c r="G137" s="71"/>
      <c r="H137" s="70"/>
      <c r="I137" s="71"/>
      <c r="K137" s="71"/>
      <c r="L137" s="71"/>
      <c r="W137" s="5"/>
      <c r="AE137" s="69"/>
      <c r="AI137" s="71"/>
    </row>
    <row r="138" spans="2:35" x14ac:dyDescent="0.25">
      <c r="B138" s="279"/>
      <c r="G138" s="71"/>
      <c r="H138" s="70"/>
      <c r="I138" s="71"/>
      <c r="K138" s="71"/>
      <c r="L138" s="71"/>
      <c r="W138" s="5"/>
      <c r="AE138" s="69"/>
      <c r="AI138" s="71"/>
    </row>
    <row r="139" spans="2:35" x14ac:dyDescent="0.25">
      <c r="B139" s="279"/>
      <c r="G139" s="71"/>
      <c r="H139" s="70"/>
      <c r="I139" s="71"/>
      <c r="K139" s="71"/>
      <c r="L139" s="71"/>
      <c r="W139" s="5"/>
      <c r="AE139" s="69"/>
      <c r="AI139" s="71"/>
    </row>
    <row r="140" spans="2:35" x14ac:dyDescent="0.25">
      <c r="B140" s="279"/>
      <c r="G140" s="71"/>
      <c r="H140" s="70"/>
      <c r="I140" s="71"/>
      <c r="K140" s="71"/>
      <c r="L140" s="71"/>
      <c r="W140" s="5"/>
      <c r="AE140" s="69"/>
      <c r="AI140" s="71"/>
    </row>
    <row r="141" spans="2:35" x14ac:dyDescent="0.25">
      <c r="B141" s="279"/>
      <c r="G141" s="71"/>
      <c r="H141" s="70"/>
      <c r="I141" s="71"/>
      <c r="K141" s="71"/>
      <c r="L141" s="71"/>
      <c r="W141" s="5"/>
      <c r="AE141" s="69"/>
      <c r="AI141" s="71"/>
    </row>
    <row r="142" spans="2:35" x14ac:dyDescent="0.25">
      <c r="B142" s="279"/>
      <c r="G142" s="71"/>
      <c r="H142" s="70"/>
      <c r="I142" s="71"/>
      <c r="K142" s="71"/>
      <c r="L142" s="71"/>
      <c r="W142" s="5"/>
      <c r="AE142" s="69"/>
      <c r="AI142" s="71"/>
    </row>
    <row r="143" spans="2:35" x14ac:dyDescent="0.25">
      <c r="B143" s="279"/>
      <c r="G143" s="71"/>
      <c r="H143" s="70"/>
      <c r="I143" s="71"/>
      <c r="K143" s="71"/>
      <c r="L143" s="71"/>
      <c r="W143" s="5"/>
      <c r="AE143" s="69"/>
      <c r="AI143" s="71"/>
    </row>
    <row r="144" spans="2:35" x14ac:dyDescent="0.25">
      <c r="B144" s="279"/>
      <c r="G144" s="71"/>
      <c r="H144" s="70"/>
      <c r="I144" s="71"/>
      <c r="K144" s="71"/>
      <c r="L144" s="71"/>
      <c r="W144" s="5"/>
      <c r="AE144" s="69"/>
      <c r="AI144" s="71"/>
    </row>
    <row r="145" spans="2:35" x14ac:dyDescent="0.25">
      <c r="B145" s="279"/>
      <c r="G145" s="71"/>
      <c r="H145" s="70"/>
      <c r="I145" s="71"/>
      <c r="K145" s="71"/>
      <c r="L145" s="71"/>
      <c r="W145" s="5"/>
      <c r="AE145" s="69"/>
      <c r="AI145" s="71"/>
    </row>
    <row r="146" spans="2:35" x14ac:dyDescent="0.25">
      <c r="B146" s="279"/>
      <c r="G146" s="71"/>
      <c r="H146" s="70"/>
      <c r="I146" s="71"/>
      <c r="K146" s="71"/>
      <c r="L146" s="71"/>
      <c r="W146" s="5"/>
      <c r="AE146" s="69"/>
      <c r="AI146" s="71"/>
    </row>
    <row r="147" spans="2:35" x14ac:dyDescent="0.25">
      <c r="B147" s="279"/>
      <c r="G147" s="71"/>
      <c r="H147" s="70"/>
      <c r="I147" s="71"/>
      <c r="K147" s="71"/>
      <c r="L147" s="71"/>
      <c r="W147" s="5"/>
      <c r="AE147" s="69"/>
      <c r="AI147" s="71"/>
    </row>
    <row r="148" spans="2:35" x14ac:dyDescent="0.25">
      <c r="B148" s="279"/>
      <c r="G148" s="71"/>
      <c r="H148" s="70"/>
      <c r="I148" s="71"/>
      <c r="K148" s="71"/>
      <c r="L148" s="71"/>
      <c r="W148" s="5"/>
      <c r="AE148" s="69"/>
      <c r="AI148" s="71"/>
    </row>
    <row r="149" spans="2:35" x14ac:dyDescent="0.25">
      <c r="B149" s="279"/>
      <c r="G149" s="71"/>
      <c r="H149" s="70"/>
      <c r="I149" s="71"/>
      <c r="K149" s="71"/>
      <c r="L149" s="71"/>
      <c r="W149" s="5"/>
      <c r="AE149" s="69"/>
      <c r="AI149" s="71"/>
    </row>
    <row r="150" spans="2:35" x14ac:dyDescent="0.25">
      <c r="B150" s="279"/>
      <c r="G150" s="71"/>
      <c r="H150" s="70"/>
      <c r="I150" s="71"/>
      <c r="K150" s="71"/>
      <c r="L150" s="71"/>
      <c r="W150" s="5"/>
      <c r="AE150" s="69"/>
      <c r="AI150" s="71"/>
    </row>
    <row r="151" spans="2:35" x14ac:dyDescent="0.25">
      <c r="B151" s="279"/>
      <c r="G151" s="71"/>
      <c r="H151" s="70"/>
      <c r="I151" s="71"/>
      <c r="K151" s="71"/>
      <c r="L151" s="71"/>
      <c r="W151" s="5"/>
      <c r="AE151" s="69"/>
      <c r="AI151" s="71"/>
    </row>
    <row r="152" spans="2:35" x14ac:dyDescent="0.25">
      <c r="B152" s="279"/>
      <c r="G152" s="71"/>
      <c r="H152" s="70"/>
      <c r="I152" s="71"/>
      <c r="K152" s="71"/>
      <c r="L152" s="71"/>
      <c r="W152" s="5"/>
      <c r="AE152" s="69"/>
      <c r="AI152" s="71"/>
    </row>
    <row r="153" spans="2:35" x14ac:dyDescent="0.25">
      <c r="B153" s="279"/>
      <c r="G153" s="71"/>
      <c r="H153" s="70"/>
      <c r="I153" s="71"/>
      <c r="K153" s="71"/>
      <c r="L153" s="71"/>
      <c r="W153" s="5"/>
      <c r="AE153" s="69"/>
      <c r="AI153" s="71"/>
    </row>
    <row r="154" spans="2:35" x14ac:dyDescent="0.25">
      <c r="B154" s="279"/>
      <c r="G154" s="71"/>
      <c r="H154" s="70"/>
      <c r="I154" s="71"/>
      <c r="K154" s="71"/>
      <c r="L154" s="71"/>
      <c r="W154" s="5"/>
      <c r="AE154" s="69"/>
      <c r="AI154" s="71"/>
    </row>
    <row r="155" spans="2:35" x14ac:dyDescent="0.25">
      <c r="B155" s="279"/>
      <c r="G155" s="71"/>
      <c r="H155" s="70"/>
      <c r="I155" s="71"/>
      <c r="K155" s="71"/>
      <c r="L155" s="71"/>
      <c r="W155" s="5"/>
      <c r="AE155" s="69"/>
      <c r="AI155" s="71"/>
    </row>
    <row r="156" spans="2:35" x14ac:dyDescent="0.25">
      <c r="B156" s="279"/>
      <c r="G156" s="71"/>
      <c r="H156" s="70"/>
      <c r="I156" s="71"/>
      <c r="K156" s="71"/>
      <c r="L156" s="71"/>
      <c r="W156" s="5"/>
      <c r="AE156" s="69"/>
      <c r="AI156" s="71"/>
    </row>
    <row r="157" spans="2:35" x14ac:dyDescent="0.25">
      <c r="B157" s="279"/>
      <c r="G157" s="71"/>
      <c r="H157" s="70"/>
      <c r="I157" s="71"/>
      <c r="K157" s="71"/>
      <c r="L157" s="71"/>
      <c r="W157" s="5"/>
      <c r="AE157" s="69"/>
      <c r="AI157" s="71"/>
    </row>
    <row r="158" spans="2:35" x14ac:dyDescent="0.25">
      <c r="B158" s="279"/>
      <c r="G158" s="71"/>
      <c r="H158" s="70"/>
      <c r="I158" s="71"/>
      <c r="K158" s="71"/>
      <c r="L158" s="71"/>
      <c r="W158" s="5"/>
      <c r="AE158" s="69"/>
      <c r="AI158" s="71"/>
    </row>
    <row r="159" spans="2:35" x14ac:dyDescent="0.25">
      <c r="B159" s="279"/>
      <c r="G159" s="71"/>
      <c r="H159" s="70"/>
      <c r="I159" s="71"/>
      <c r="K159" s="71"/>
      <c r="L159" s="71"/>
      <c r="W159" s="5"/>
      <c r="AE159" s="69"/>
      <c r="AI159" s="71"/>
    </row>
    <row r="160" spans="2:35" x14ac:dyDescent="0.25">
      <c r="B160" s="279"/>
      <c r="G160" s="71"/>
      <c r="H160" s="70"/>
      <c r="I160" s="71"/>
      <c r="K160" s="71"/>
      <c r="L160" s="71"/>
      <c r="W160" s="5"/>
      <c r="AE160" s="69"/>
      <c r="AI160" s="71"/>
    </row>
    <row r="161" spans="2:35" x14ac:dyDescent="0.25">
      <c r="B161" s="279"/>
      <c r="G161" s="71"/>
      <c r="H161" s="70"/>
      <c r="I161" s="71"/>
      <c r="K161" s="71"/>
      <c r="L161" s="71"/>
      <c r="W161" s="5"/>
      <c r="AE161" s="69"/>
      <c r="AI161" s="71"/>
    </row>
    <row r="162" spans="2:35" x14ac:dyDescent="0.25">
      <c r="B162" s="279"/>
      <c r="G162" s="71"/>
      <c r="H162" s="70"/>
      <c r="I162" s="71"/>
      <c r="K162" s="71"/>
      <c r="L162" s="71"/>
      <c r="W162" s="5"/>
      <c r="AE162" s="69"/>
      <c r="AI162" s="71"/>
    </row>
    <row r="163" spans="2:35" x14ac:dyDescent="0.25">
      <c r="B163" s="279"/>
      <c r="G163" s="71"/>
      <c r="H163" s="70"/>
      <c r="I163" s="71"/>
      <c r="K163" s="71"/>
      <c r="L163" s="71"/>
      <c r="W163" s="5"/>
      <c r="AE163" s="69"/>
      <c r="AI163" s="71"/>
    </row>
    <row r="164" spans="2:35" x14ac:dyDescent="0.25">
      <c r="B164" s="279"/>
      <c r="G164" s="71"/>
      <c r="H164" s="70"/>
      <c r="I164" s="71"/>
      <c r="K164" s="71"/>
      <c r="L164" s="71"/>
      <c r="W164" s="5"/>
      <c r="AE164" s="69"/>
      <c r="AI164" s="71"/>
    </row>
    <row r="165" spans="2:35" x14ac:dyDescent="0.25">
      <c r="B165" s="279"/>
      <c r="G165" s="71"/>
      <c r="H165" s="70"/>
      <c r="I165" s="71"/>
      <c r="K165" s="71"/>
      <c r="L165" s="71"/>
      <c r="W165" s="5"/>
      <c r="AE165" s="69"/>
      <c r="AI165" s="71"/>
    </row>
    <row r="166" spans="2:35" x14ac:dyDescent="0.25">
      <c r="B166" s="279"/>
      <c r="G166" s="71"/>
      <c r="H166" s="70"/>
      <c r="I166" s="71"/>
      <c r="K166" s="71"/>
      <c r="L166" s="71"/>
      <c r="W166" s="5"/>
      <c r="AE166" s="69"/>
      <c r="AI166" s="71"/>
    </row>
    <row r="167" spans="2:35" x14ac:dyDescent="0.25">
      <c r="B167" s="279"/>
      <c r="G167" s="71"/>
      <c r="H167" s="70"/>
      <c r="I167" s="71"/>
      <c r="K167" s="71"/>
      <c r="L167" s="71"/>
      <c r="W167" s="5"/>
      <c r="AE167" s="69"/>
      <c r="AI167" s="71"/>
    </row>
    <row r="168" spans="2:35" x14ac:dyDescent="0.25">
      <c r="B168" s="279"/>
      <c r="G168" s="71"/>
      <c r="H168" s="70"/>
      <c r="I168" s="71"/>
      <c r="K168" s="71"/>
      <c r="L168" s="71"/>
      <c r="W168" s="5"/>
      <c r="AE168" s="69"/>
      <c r="AI168" s="71"/>
    </row>
    <row r="169" spans="2:35" x14ac:dyDescent="0.25">
      <c r="B169" s="279"/>
      <c r="G169" s="71"/>
      <c r="H169" s="70"/>
      <c r="I169" s="71"/>
      <c r="K169" s="71"/>
      <c r="L169" s="71"/>
      <c r="W169" s="5"/>
      <c r="AE169" s="69"/>
      <c r="AI169" s="71"/>
    </row>
    <row r="170" spans="2:35" x14ac:dyDescent="0.25">
      <c r="B170" s="279"/>
      <c r="G170" s="71"/>
      <c r="H170" s="70"/>
      <c r="I170" s="71"/>
      <c r="K170" s="71"/>
      <c r="L170" s="71"/>
      <c r="W170" s="5"/>
      <c r="AE170" s="69"/>
      <c r="AI170" s="71"/>
    </row>
    <row r="171" spans="2:35" x14ac:dyDescent="0.25">
      <c r="B171" s="279"/>
      <c r="G171" s="71"/>
      <c r="H171" s="70"/>
      <c r="I171" s="71"/>
      <c r="K171" s="71"/>
      <c r="L171" s="71"/>
      <c r="W171" s="5"/>
      <c r="AE171" s="69"/>
      <c r="AI171" s="71"/>
    </row>
    <row r="172" spans="2:35" x14ac:dyDescent="0.25">
      <c r="B172" s="279"/>
      <c r="G172" s="71"/>
      <c r="H172" s="70"/>
      <c r="I172" s="71"/>
      <c r="K172" s="71"/>
      <c r="L172" s="71"/>
      <c r="W172" s="5"/>
      <c r="AE172" s="69"/>
      <c r="AI172" s="71"/>
    </row>
    <row r="173" spans="2:35" x14ac:dyDescent="0.25">
      <c r="B173" s="279"/>
      <c r="G173" s="71"/>
      <c r="H173" s="70"/>
      <c r="I173" s="71"/>
      <c r="K173" s="71"/>
      <c r="L173" s="71"/>
      <c r="W173" s="5"/>
      <c r="AE173" s="69"/>
      <c r="AI173" s="71"/>
    </row>
    <row r="174" spans="2:35" x14ac:dyDescent="0.25">
      <c r="B174" s="279"/>
      <c r="G174" s="71"/>
      <c r="H174" s="70"/>
      <c r="I174" s="71"/>
      <c r="K174" s="71"/>
      <c r="L174" s="71"/>
      <c r="W174" s="5"/>
      <c r="AE174" s="69"/>
      <c r="AI174" s="71"/>
    </row>
    <row r="175" spans="2:35" x14ac:dyDescent="0.25">
      <c r="B175" s="279"/>
      <c r="G175" s="71"/>
      <c r="H175" s="70"/>
      <c r="I175" s="71"/>
      <c r="K175" s="71"/>
      <c r="L175" s="71"/>
      <c r="W175" s="5"/>
      <c r="AE175" s="69"/>
      <c r="AI175" s="71"/>
    </row>
    <row r="176" spans="2:35" x14ac:dyDescent="0.25">
      <c r="B176" s="279"/>
      <c r="G176" s="71"/>
      <c r="H176" s="70"/>
      <c r="I176" s="71"/>
      <c r="K176" s="71"/>
      <c r="L176" s="71"/>
      <c r="W176" s="5"/>
      <c r="AE176" s="69"/>
      <c r="AI176" s="71"/>
    </row>
    <row r="177" spans="2:35" x14ac:dyDescent="0.25">
      <c r="B177" s="279"/>
      <c r="G177" s="71"/>
      <c r="H177" s="70"/>
      <c r="I177" s="71"/>
      <c r="K177" s="71"/>
      <c r="L177" s="71"/>
      <c r="W177" s="5"/>
      <c r="AE177" s="69"/>
      <c r="AI177" s="71"/>
    </row>
    <row r="178" spans="2:35" x14ac:dyDescent="0.25">
      <c r="B178" s="279"/>
      <c r="G178" s="71"/>
      <c r="H178" s="70"/>
      <c r="I178" s="71"/>
      <c r="K178" s="71"/>
      <c r="L178" s="71"/>
      <c r="W178" s="5"/>
      <c r="AE178" s="69"/>
      <c r="AI178" s="71"/>
    </row>
    <row r="179" spans="2:35" x14ac:dyDescent="0.25">
      <c r="B179" s="279"/>
      <c r="G179" s="71"/>
      <c r="H179" s="70"/>
      <c r="I179" s="71"/>
      <c r="K179" s="71"/>
      <c r="L179" s="71"/>
      <c r="W179" s="5"/>
      <c r="AE179" s="69"/>
      <c r="AI179" s="71"/>
    </row>
    <row r="180" spans="2:35" x14ac:dyDescent="0.25">
      <c r="B180" s="279"/>
      <c r="G180" s="71"/>
      <c r="H180" s="70"/>
      <c r="I180" s="71"/>
      <c r="K180" s="71"/>
      <c r="L180" s="71"/>
      <c r="W180" s="5"/>
      <c r="AE180" s="69"/>
      <c r="AI180" s="71"/>
    </row>
    <row r="181" spans="2:35" x14ac:dyDescent="0.25">
      <c r="B181" s="279"/>
      <c r="G181" s="71"/>
      <c r="H181" s="70"/>
      <c r="I181" s="71"/>
      <c r="K181" s="71"/>
      <c r="L181" s="71"/>
      <c r="W181" s="5"/>
      <c r="AE181" s="69"/>
      <c r="AI181" s="71"/>
    </row>
    <row r="182" spans="2:35" x14ac:dyDescent="0.25">
      <c r="B182" s="279"/>
      <c r="G182" s="71"/>
      <c r="H182" s="70"/>
      <c r="I182" s="71"/>
      <c r="K182" s="71"/>
      <c r="L182" s="71"/>
      <c r="W182" s="5"/>
      <c r="AE182" s="69"/>
      <c r="AI182" s="71"/>
    </row>
    <row r="183" spans="2:35" x14ac:dyDescent="0.25">
      <c r="B183" s="279"/>
      <c r="G183" s="71"/>
      <c r="H183" s="70"/>
      <c r="I183" s="71"/>
      <c r="K183" s="71"/>
      <c r="L183" s="71"/>
      <c r="W183" s="5"/>
      <c r="AE183" s="69"/>
      <c r="AI183" s="71"/>
    </row>
    <row r="184" spans="2:35" x14ac:dyDescent="0.25">
      <c r="B184" s="279"/>
      <c r="G184" s="71"/>
      <c r="H184" s="70"/>
      <c r="I184" s="71"/>
      <c r="K184" s="71"/>
      <c r="L184" s="71"/>
      <c r="W184" s="5"/>
      <c r="AE184" s="69"/>
      <c r="AI184" s="71"/>
    </row>
    <row r="185" spans="2:35" x14ac:dyDescent="0.25">
      <c r="B185" s="279"/>
      <c r="G185" s="71"/>
      <c r="H185" s="70"/>
      <c r="I185" s="71"/>
      <c r="K185" s="71"/>
      <c r="L185" s="71"/>
      <c r="W185" s="5"/>
      <c r="AE185" s="69"/>
      <c r="AI185" s="71"/>
    </row>
    <row r="186" spans="2:35" x14ac:dyDescent="0.25">
      <c r="B186" s="279"/>
      <c r="G186" s="71"/>
      <c r="H186" s="70"/>
      <c r="I186" s="71"/>
      <c r="K186" s="71"/>
      <c r="L186" s="71"/>
      <c r="W186" s="5"/>
      <c r="AE186" s="69"/>
      <c r="AI186" s="71"/>
    </row>
    <row r="187" spans="2:35" x14ac:dyDescent="0.25">
      <c r="B187" s="279"/>
      <c r="G187" s="71"/>
      <c r="H187" s="70"/>
      <c r="I187" s="71"/>
      <c r="K187" s="71"/>
      <c r="L187" s="71"/>
      <c r="W187" s="5"/>
      <c r="AE187" s="69"/>
      <c r="AI187" s="71"/>
    </row>
    <row r="188" spans="2:35" x14ac:dyDescent="0.25">
      <c r="B188" s="279"/>
      <c r="G188" s="71"/>
      <c r="H188" s="70"/>
      <c r="I188" s="71"/>
      <c r="K188" s="71"/>
      <c r="L188" s="71"/>
      <c r="W188" s="5"/>
      <c r="AE188" s="69"/>
      <c r="AI188" s="71"/>
    </row>
    <row r="189" spans="2:35" x14ac:dyDescent="0.25">
      <c r="B189" s="279"/>
      <c r="G189" s="71"/>
      <c r="H189" s="70"/>
      <c r="I189" s="71"/>
      <c r="K189" s="71"/>
      <c r="L189" s="71"/>
      <c r="W189" s="5"/>
      <c r="AE189" s="69"/>
      <c r="AI189" s="71"/>
    </row>
    <row r="190" spans="2:35" x14ac:dyDescent="0.25">
      <c r="B190" s="279"/>
      <c r="G190" s="71"/>
      <c r="H190" s="70"/>
      <c r="I190" s="71"/>
      <c r="K190" s="71"/>
      <c r="L190" s="71"/>
      <c r="W190" s="5"/>
      <c r="AE190" s="69"/>
      <c r="AI190" s="71"/>
    </row>
    <row r="191" spans="2:35" x14ac:dyDescent="0.25">
      <c r="B191" s="279"/>
      <c r="G191" s="71"/>
      <c r="H191" s="70"/>
      <c r="I191" s="71"/>
      <c r="K191" s="71"/>
      <c r="L191" s="71"/>
      <c r="W191" s="5"/>
      <c r="AE191" s="69"/>
      <c r="AI191" s="71"/>
    </row>
    <row r="192" spans="2:35" x14ac:dyDescent="0.25">
      <c r="B192" s="279"/>
      <c r="G192" s="71"/>
      <c r="H192" s="70"/>
      <c r="I192" s="71"/>
      <c r="K192" s="71"/>
      <c r="L192" s="71"/>
      <c r="W192" s="5"/>
      <c r="AE192" s="69"/>
      <c r="AI192" s="71"/>
    </row>
    <row r="193" spans="2:35" x14ac:dyDescent="0.25">
      <c r="B193" s="279"/>
      <c r="G193" s="71"/>
      <c r="H193" s="70"/>
      <c r="I193" s="71"/>
      <c r="K193" s="71"/>
      <c r="L193" s="71"/>
      <c r="W193" s="5"/>
      <c r="AE193" s="69"/>
      <c r="AI193" s="71"/>
    </row>
    <row r="194" spans="2:35" x14ac:dyDescent="0.25">
      <c r="B194" s="279"/>
      <c r="G194" s="71"/>
      <c r="H194" s="70"/>
      <c r="I194" s="71"/>
      <c r="K194" s="71"/>
      <c r="L194" s="71"/>
      <c r="W194" s="5"/>
      <c r="AE194" s="69"/>
      <c r="AI194" s="71"/>
    </row>
    <row r="195" spans="2:35" x14ac:dyDescent="0.25">
      <c r="B195" s="279"/>
      <c r="G195" s="71"/>
      <c r="H195" s="70"/>
      <c r="I195" s="71"/>
      <c r="K195" s="71"/>
      <c r="L195" s="71"/>
      <c r="W195" s="5"/>
      <c r="AE195" s="69"/>
      <c r="AI195" s="71"/>
    </row>
    <row r="196" spans="2:35" x14ac:dyDescent="0.25">
      <c r="B196" s="279"/>
      <c r="G196" s="71"/>
      <c r="H196" s="70"/>
      <c r="I196" s="71"/>
      <c r="K196" s="71"/>
      <c r="L196" s="71"/>
      <c r="W196" s="5"/>
      <c r="AE196" s="69"/>
      <c r="AI196" s="71"/>
    </row>
    <row r="197" spans="2:35" x14ac:dyDescent="0.25">
      <c r="B197" s="279"/>
      <c r="G197" s="71"/>
      <c r="H197" s="70"/>
      <c r="I197" s="71"/>
      <c r="K197" s="71"/>
      <c r="L197" s="71"/>
      <c r="W197" s="5"/>
      <c r="AE197" s="69"/>
      <c r="AI197" s="71"/>
    </row>
    <row r="198" spans="2:35" x14ac:dyDescent="0.25">
      <c r="B198" s="279"/>
      <c r="G198" s="71"/>
      <c r="H198" s="70"/>
      <c r="I198" s="71"/>
      <c r="K198" s="71"/>
      <c r="L198" s="71"/>
      <c r="W198" s="5"/>
      <c r="AE198" s="69"/>
      <c r="AI198" s="71"/>
    </row>
    <row r="199" spans="2:35" x14ac:dyDescent="0.25">
      <c r="B199" s="279"/>
      <c r="G199" s="71"/>
      <c r="H199" s="70"/>
      <c r="I199" s="71"/>
      <c r="K199" s="71"/>
      <c r="L199" s="71"/>
      <c r="W199" s="5"/>
      <c r="AE199" s="69"/>
      <c r="AI199" s="71"/>
    </row>
    <row r="200" spans="2:35" x14ac:dyDescent="0.25">
      <c r="B200" s="279"/>
      <c r="G200" s="71"/>
      <c r="H200" s="70"/>
      <c r="I200" s="71"/>
      <c r="K200" s="71"/>
      <c r="L200" s="71"/>
      <c r="W200" s="5"/>
      <c r="AE200" s="69"/>
      <c r="AI200" s="71"/>
    </row>
    <row r="201" spans="2:35" x14ac:dyDescent="0.25">
      <c r="B201" s="279"/>
      <c r="G201" s="71"/>
      <c r="H201" s="70"/>
      <c r="I201" s="71"/>
      <c r="K201" s="71"/>
      <c r="L201" s="71"/>
      <c r="W201" s="5"/>
      <c r="AE201" s="69"/>
      <c r="AI201" s="71"/>
    </row>
    <row r="202" spans="2:35" x14ac:dyDescent="0.25">
      <c r="B202" s="279"/>
      <c r="G202" s="71"/>
      <c r="H202" s="70"/>
      <c r="I202" s="71"/>
      <c r="K202" s="71"/>
      <c r="L202" s="71"/>
      <c r="W202" s="5"/>
      <c r="AE202" s="69"/>
      <c r="AI202" s="71"/>
    </row>
    <row r="203" spans="2:35" x14ac:dyDescent="0.25">
      <c r="B203" s="279"/>
      <c r="G203" s="71"/>
      <c r="H203" s="70"/>
      <c r="I203" s="71"/>
      <c r="K203" s="71"/>
      <c r="L203" s="71"/>
      <c r="W203" s="5"/>
      <c r="AE203" s="69"/>
      <c r="AI203" s="71"/>
    </row>
    <row r="204" spans="2:35" x14ac:dyDescent="0.25">
      <c r="B204" s="279"/>
      <c r="G204" s="71"/>
      <c r="H204" s="70"/>
      <c r="I204" s="71"/>
      <c r="K204" s="71"/>
      <c r="L204" s="71"/>
      <c r="W204" s="5"/>
      <c r="AE204" s="69"/>
      <c r="AI204" s="71"/>
    </row>
    <row r="205" spans="2:35" x14ac:dyDescent="0.25">
      <c r="B205" s="279"/>
      <c r="G205" s="71"/>
      <c r="H205" s="70"/>
      <c r="I205" s="71"/>
      <c r="K205" s="71"/>
      <c r="L205" s="71"/>
      <c r="W205" s="5"/>
      <c r="AE205" s="69"/>
      <c r="AI205" s="71"/>
    </row>
    <row r="206" spans="2:35" x14ac:dyDescent="0.25">
      <c r="B206" s="279"/>
      <c r="G206" s="71"/>
      <c r="H206" s="70"/>
      <c r="I206" s="71"/>
      <c r="K206" s="71"/>
      <c r="L206" s="71"/>
      <c r="W206" s="5"/>
      <c r="AE206" s="69"/>
      <c r="AI206" s="71"/>
    </row>
    <row r="207" spans="2:35" x14ac:dyDescent="0.25">
      <c r="B207" s="279"/>
      <c r="G207" s="71"/>
      <c r="H207" s="70"/>
      <c r="I207" s="71"/>
      <c r="K207" s="71"/>
      <c r="L207" s="71"/>
      <c r="W207" s="5"/>
      <c r="AE207" s="69"/>
      <c r="AI207" s="71"/>
    </row>
    <row r="208" spans="2:35" x14ac:dyDescent="0.25">
      <c r="B208" s="279"/>
      <c r="G208" s="71"/>
      <c r="H208" s="70"/>
      <c r="I208" s="71"/>
      <c r="K208" s="71"/>
      <c r="L208" s="71"/>
      <c r="W208" s="5"/>
      <c r="AE208" s="69"/>
      <c r="AI208" s="71"/>
    </row>
    <row r="209" spans="2:35" x14ac:dyDescent="0.25">
      <c r="B209" s="279"/>
      <c r="G209" s="71"/>
      <c r="H209" s="70"/>
      <c r="I209" s="71"/>
      <c r="K209" s="71"/>
      <c r="L209" s="71"/>
      <c r="W209" s="5"/>
      <c r="AE209" s="69"/>
      <c r="AI209" s="71"/>
    </row>
    <row r="210" spans="2:35" x14ac:dyDescent="0.25">
      <c r="B210" s="279"/>
      <c r="G210" s="71"/>
      <c r="H210" s="70"/>
      <c r="I210" s="71"/>
      <c r="K210" s="71"/>
      <c r="L210" s="71"/>
      <c r="W210" s="5"/>
      <c r="AE210" s="69"/>
      <c r="AI210" s="71"/>
    </row>
    <row r="211" spans="2:35" x14ac:dyDescent="0.25">
      <c r="B211" s="279"/>
      <c r="G211" s="71"/>
      <c r="H211" s="70"/>
      <c r="I211" s="71"/>
      <c r="K211" s="71"/>
      <c r="L211" s="71"/>
      <c r="W211" s="5"/>
      <c r="AE211" s="69"/>
      <c r="AI211" s="71"/>
    </row>
    <row r="212" spans="2:35" x14ac:dyDescent="0.25">
      <c r="B212" s="279"/>
      <c r="G212" s="71"/>
      <c r="H212" s="70"/>
      <c r="I212" s="71"/>
      <c r="K212" s="71"/>
      <c r="L212" s="71"/>
      <c r="W212" s="5"/>
      <c r="AE212" s="69"/>
      <c r="AI212" s="71"/>
    </row>
    <row r="213" spans="2:35" x14ac:dyDescent="0.25">
      <c r="B213" s="279"/>
      <c r="G213" s="71"/>
      <c r="H213" s="70"/>
      <c r="I213" s="71"/>
      <c r="K213" s="71"/>
      <c r="L213" s="71"/>
      <c r="W213" s="5"/>
      <c r="AE213" s="69"/>
      <c r="AI213" s="71"/>
    </row>
    <row r="214" spans="2:35" x14ac:dyDescent="0.25">
      <c r="B214" s="279"/>
      <c r="G214" s="71"/>
      <c r="H214" s="70"/>
      <c r="I214" s="71"/>
      <c r="K214" s="71"/>
      <c r="L214" s="71"/>
      <c r="W214" s="5"/>
      <c r="AE214" s="69"/>
      <c r="AI214" s="71"/>
    </row>
    <row r="215" spans="2:35" x14ac:dyDescent="0.25">
      <c r="B215" s="279"/>
      <c r="G215" s="71"/>
      <c r="H215" s="70"/>
      <c r="I215" s="71"/>
      <c r="K215" s="71"/>
      <c r="L215" s="71"/>
      <c r="W215" s="5"/>
      <c r="AE215" s="69"/>
      <c r="AI215" s="71"/>
    </row>
    <row r="216" spans="2:35" x14ac:dyDescent="0.25">
      <c r="B216" s="279"/>
      <c r="G216" s="71"/>
      <c r="H216" s="70"/>
      <c r="I216" s="71"/>
      <c r="K216" s="71"/>
      <c r="L216" s="71"/>
      <c r="W216" s="5"/>
      <c r="AE216" s="69"/>
      <c r="AI216" s="71"/>
    </row>
    <row r="217" spans="2:35" x14ac:dyDescent="0.25">
      <c r="B217" s="279"/>
      <c r="G217" s="71"/>
      <c r="H217" s="70"/>
      <c r="I217" s="71"/>
      <c r="K217" s="71"/>
      <c r="L217" s="71"/>
      <c r="W217" s="5"/>
      <c r="AE217" s="69"/>
      <c r="AI217" s="71"/>
    </row>
    <row r="218" spans="2:35" x14ac:dyDescent="0.25">
      <c r="B218" s="279"/>
      <c r="G218" s="71"/>
      <c r="H218" s="70"/>
      <c r="I218" s="71"/>
      <c r="K218" s="71"/>
      <c r="L218" s="71"/>
      <c r="W218" s="5"/>
      <c r="AE218" s="69"/>
      <c r="AI218" s="71"/>
    </row>
    <row r="219" spans="2:35" x14ac:dyDescent="0.25">
      <c r="B219" s="279"/>
      <c r="G219" s="71"/>
      <c r="H219" s="70"/>
      <c r="I219" s="71"/>
      <c r="K219" s="71"/>
      <c r="L219" s="71"/>
      <c r="W219" s="5"/>
      <c r="AE219" s="69"/>
      <c r="AI219" s="71"/>
    </row>
    <row r="220" spans="2:35" x14ac:dyDescent="0.25">
      <c r="B220" s="279"/>
      <c r="G220" s="71"/>
      <c r="H220" s="70"/>
      <c r="I220" s="71"/>
      <c r="K220" s="71"/>
      <c r="L220" s="71"/>
      <c r="W220" s="5"/>
      <c r="AE220" s="69"/>
      <c r="AI220" s="71"/>
    </row>
    <row r="221" spans="2:35" x14ac:dyDescent="0.25">
      <c r="B221" s="279"/>
      <c r="G221" s="71"/>
      <c r="H221" s="70"/>
      <c r="I221" s="71"/>
      <c r="K221" s="71"/>
      <c r="L221" s="71"/>
      <c r="W221" s="5"/>
      <c r="AE221" s="69"/>
      <c r="AI221" s="71"/>
    </row>
    <row r="222" spans="2:35" x14ac:dyDescent="0.25">
      <c r="B222" s="279"/>
      <c r="G222" s="71"/>
      <c r="H222" s="70"/>
      <c r="I222" s="71"/>
      <c r="K222" s="71"/>
      <c r="L222" s="71"/>
      <c r="W222" s="5"/>
      <c r="AE222" s="69"/>
      <c r="AI222" s="71"/>
    </row>
    <row r="223" spans="2:35" x14ac:dyDescent="0.25">
      <c r="B223" s="279"/>
      <c r="G223" s="71"/>
      <c r="H223" s="70"/>
      <c r="I223" s="71"/>
      <c r="K223" s="71"/>
      <c r="L223" s="71"/>
      <c r="W223" s="5"/>
      <c r="AE223" s="69"/>
      <c r="AI223" s="71"/>
    </row>
    <row r="224" spans="2:35" x14ac:dyDescent="0.25">
      <c r="B224" s="279"/>
      <c r="G224" s="71"/>
      <c r="H224" s="70"/>
      <c r="I224" s="71"/>
      <c r="K224" s="71"/>
      <c r="L224" s="71"/>
      <c r="W224" s="5"/>
      <c r="AE224" s="69"/>
      <c r="AI224" s="71"/>
    </row>
    <row r="225" spans="2:35" x14ac:dyDescent="0.25">
      <c r="B225" s="279"/>
      <c r="G225" s="71"/>
      <c r="H225" s="70"/>
      <c r="I225" s="71"/>
      <c r="K225" s="71"/>
      <c r="L225" s="71"/>
      <c r="W225" s="5"/>
      <c r="AE225" s="69"/>
      <c r="AI225" s="71"/>
    </row>
    <row r="226" spans="2:35" x14ac:dyDescent="0.25">
      <c r="B226" s="279"/>
      <c r="G226" s="71"/>
      <c r="H226" s="70"/>
      <c r="I226" s="71"/>
      <c r="K226" s="71"/>
      <c r="L226" s="71"/>
      <c r="W226" s="5"/>
      <c r="AE226" s="69"/>
      <c r="AI226" s="71"/>
    </row>
    <row r="227" spans="2:35" x14ac:dyDescent="0.25">
      <c r="B227" s="279"/>
      <c r="G227" s="71"/>
      <c r="H227" s="70"/>
      <c r="I227" s="71"/>
      <c r="K227" s="71"/>
      <c r="L227" s="71"/>
      <c r="W227" s="5"/>
      <c r="AE227" s="69"/>
      <c r="AI227" s="71"/>
    </row>
    <row r="228" spans="2:35" x14ac:dyDescent="0.25">
      <c r="B228" s="279"/>
      <c r="G228" s="71"/>
      <c r="H228" s="70"/>
      <c r="I228" s="71"/>
      <c r="K228" s="71"/>
      <c r="L228" s="71"/>
      <c r="W228" s="5"/>
      <c r="AE228" s="69"/>
      <c r="AI228" s="71"/>
    </row>
    <row r="229" spans="2:35" x14ac:dyDescent="0.25">
      <c r="B229" s="279"/>
      <c r="G229" s="71"/>
      <c r="H229" s="70"/>
      <c r="I229" s="71"/>
      <c r="K229" s="71"/>
      <c r="L229" s="71"/>
      <c r="W229" s="5"/>
      <c r="AE229" s="69"/>
      <c r="AI229" s="71"/>
    </row>
    <row r="230" spans="2:35" x14ac:dyDescent="0.25">
      <c r="B230" s="279"/>
      <c r="G230" s="71"/>
      <c r="H230" s="70"/>
      <c r="I230" s="71"/>
      <c r="K230" s="71"/>
      <c r="L230" s="71"/>
      <c r="W230" s="5"/>
      <c r="AE230" s="69"/>
      <c r="AI230" s="71"/>
    </row>
    <row r="231" spans="2:35" x14ac:dyDescent="0.25">
      <c r="B231" s="279"/>
      <c r="G231" s="71"/>
      <c r="H231" s="70"/>
      <c r="I231" s="71"/>
      <c r="K231" s="71"/>
      <c r="L231" s="71"/>
      <c r="W231" s="5"/>
      <c r="AE231" s="69"/>
      <c r="AI231" s="71"/>
    </row>
    <row r="232" spans="2:35" x14ac:dyDescent="0.25">
      <c r="B232" s="279"/>
      <c r="G232" s="71"/>
      <c r="H232" s="70"/>
      <c r="I232" s="71"/>
      <c r="K232" s="71"/>
      <c r="L232" s="71"/>
      <c r="W232" s="5"/>
      <c r="AE232" s="69"/>
      <c r="AI232" s="71"/>
    </row>
    <row r="233" spans="2:35" x14ac:dyDescent="0.25">
      <c r="B233" s="279"/>
      <c r="G233" s="71"/>
      <c r="H233" s="70"/>
      <c r="I233" s="71"/>
      <c r="K233" s="71"/>
      <c r="L233" s="71"/>
      <c r="W233" s="5"/>
      <c r="AE233" s="69"/>
      <c r="AI233" s="71"/>
    </row>
    <row r="234" spans="2:35" x14ac:dyDescent="0.25">
      <c r="B234" s="279"/>
      <c r="G234" s="71"/>
      <c r="H234" s="70"/>
      <c r="I234" s="71"/>
      <c r="K234" s="71"/>
      <c r="L234" s="71"/>
      <c r="W234" s="5"/>
      <c r="AE234" s="69"/>
      <c r="AI234" s="71"/>
    </row>
    <row r="235" spans="2:35" x14ac:dyDescent="0.25">
      <c r="B235" s="279"/>
      <c r="G235" s="71"/>
      <c r="H235" s="70"/>
      <c r="I235" s="71"/>
      <c r="K235" s="71"/>
      <c r="L235" s="71"/>
      <c r="W235" s="5"/>
      <c r="AE235" s="69"/>
      <c r="AI235" s="71"/>
    </row>
    <row r="236" spans="2:35" x14ac:dyDescent="0.25">
      <c r="B236" s="279"/>
      <c r="G236" s="71"/>
      <c r="H236" s="70"/>
      <c r="I236" s="71"/>
      <c r="K236" s="71"/>
      <c r="L236" s="71"/>
      <c r="W236" s="5"/>
      <c r="AE236" s="69"/>
      <c r="AI236" s="71"/>
    </row>
    <row r="237" spans="2:35" x14ac:dyDescent="0.25">
      <c r="B237" s="279"/>
      <c r="G237" s="71"/>
      <c r="H237" s="70"/>
      <c r="I237" s="71"/>
      <c r="K237" s="71"/>
      <c r="L237" s="71"/>
      <c r="W237" s="5"/>
      <c r="AE237" s="69"/>
      <c r="AI237" s="71"/>
    </row>
    <row r="238" spans="2:35" x14ac:dyDescent="0.25">
      <c r="B238" s="279"/>
      <c r="G238" s="71"/>
      <c r="H238" s="70"/>
      <c r="I238" s="71"/>
      <c r="K238" s="71"/>
      <c r="L238" s="71"/>
      <c r="W238" s="5"/>
      <c r="AE238" s="69"/>
      <c r="AI238" s="71"/>
    </row>
    <row r="239" spans="2:35" x14ac:dyDescent="0.25">
      <c r="B239" s="279"/>
      <c r="G239" s="71"/>
      <c r="H239" s="70"/>
      <c r="I239" s="71"/>
      <c r="K239" s="71"/>
      <c r="L239" s="71"/>
      <c r="W239" s="5"/>
      <c r="AE239" s="69"/>
      <c r="AI239" s="71"/>
    </row>
    <row r="240" spans="2:35" x14ac:dyDescent="0.25">
      <c r="B240" s="279"/>
      <c r="G240" s="71"/>
      <c r="H240" s="70"/>
      <c r="I240" s="71"/>
      <c r="K240" s="71"/>
      <c r="L240" s="71"/>
      <c r="W240" s="5"/>
      <c r="AE240" s="69"/>
      <c r="AI240" s="71"/>
    </row>
    <row r="241" spans="2:35" x14ac:dyDescent="0.25">
      <c r="B241" s="279"/>
      <c r="G241" s="71"/>
      <c r="H241" s="70"/>
      <c r="I241" s="71"/>
      <c r="K241" s="71"/>
      <c r="L241" s="71"/>
      <c r="W241" s="5"/>
      <c r="AE241" s="69"/>
      <c r="AI241" s="71"/>
    </row>
    <row r="242" spans="2:35" x14ac:dyDescent="0.25">
      <c r="B242" s="279"/>
      <c r="G242" s="71"/>
      <c r="H242" s="70"/>
      <c r="I242" s="71"/>
      <c r="K242" s="71"/>
      <c r="L242" s="71"/>
      <c r="W242" s="5"/>
      <c r="AE242" s="69"/>
      <c r="AI242" s="71"/>
    </row>
    <row r="243" spans="2:35" x14ac:dyDescent="0.25">
      <c r="B243" s="279"/>
      <c r="G243" s="71"/>
      <c r="H243" s="70"/>
      <c r="I243" s="71"/>
      <c r="K243" s="71"/>
      <c r="L243" s="71"/>
      <c r="W243" s="5"/>
      <c r="AE243" s="69"/>
      <c r="AI243" s="71"/>
    </row>
    <row r="244" spans="2:35" x14ac:dyDescent="0.25">
      <c r="B244" s="279"/>
      <c r="G244" s="71"/>
      <c r="H244" s="70"/>
      <c r="I244" s="71"/>
      <c r="K244" s="71"/>
      <c r="L244" s="71"/>
      <c r="W244" s="5"/>
      <c r="AE244" s="69"/>
      <c r="AI244" s="71"/>
    </row>
    <row r="245" spans="2:35" x14ac:dyDescent="0.25">
      <c r="B245" s="279"/>
      <c r="G245" s="71"/>
      <c r="H245" s="70"/>
      <c r="I245" s="71"/>
      <c r="K245" s="71"/>
      <c r="L245" s="71"/>
      <c r="W245" s="5"/>
      <c r="AE245" s="69"/>
      <c r="AI245" s="71"/>
    </row>
    <row r="246" spans="2:35" x14ac:dyDescent="0.25">
      <c r="B246" s="279"/>
      <c r="G246" s="71"/>
      <c r="H246" s="70"/>
      <c r="I246" s="71"/>
      <c r="K246" s="71"/>
      <c r="L246" s="71"/>
      <c r="W246" s="5"/>
      <c r="AE246" s="69"/>
      <c r="AI246" s="71"/>
    </row>
    <row r="247" spans="2:35" x14ac:dyDescent="0.25">
      <c r="B247" s="279"/>
      <c r="G247" s="71"/>
      <c r="H247" s="70"/>
      <c r="I247" s="71"/>
      <c r="K247" s="71"/>
      <c r="L247" s="71"/>
      <c r="W247" s="5"/>
      <c r="AE247" s="69"/>
      <c r="AI247" s="71"/>
    </row>
    <row r="248" spans="2:35" x14ac:dyDescent="0.25">
      <c r="B248" s="279"/>
      <c r="G248" s="71"/>
      <c r="H248" s="70"/>
      <c r="I248" s="71"/>
      <c r="K248" s="71"/>
      <c r="L248" s="71"/>
      <c r="W248" s="5"/>
      <c r="AE248" s="69"/>
      <c r="AI248" s="71"/>
    </row>
    <row r="249" spans="2:35" x14ac:dyDescent="0.25">
      <c r="B249" s="279"/>
      <c r="G249" s="71"/>
      <c r="H249" s="70"/>
      <c r="I249" s="71"/>
      <c r="K249" s="71"/>
      <c r="L249" s="71"/>
      <c r="W249" s="5"/>
      <c r="AE249" s="69"/>
      <c r="AI249" s="71"/>
    </row>
    <row r="250" spans="2:35" x14ac:dyDescent="0.25">
      <c r="B250" s="279"/>
      <c r="G250" s="71"/>
      <c r="H250" s="70"/>
      <c r="I250" s="71"/>
      <c r="K250" s="71"/>
      <c r="L250" s="71"/>
      <c r="W250" s="5"/>
      <c r="AE250" s="69"/>
      <c r="AI250" s="71"/>
    </row>
    <row r="251" spans="2:35" x14ac:dyDescent="0.25">
      <c r="B251" s="279"/>
      <c r="G251" s="71"/>
      <c r="H251" s="70"/>
      <c r="I251" s="71"/>
      <c r="K251" s="71"/>
      <c r="L251" s="71"/>
      <c r="W251" s="5"/>
      <c r="AE251" s="69"/>
      <c r="AI251" s="71"/>
    </row>
    <row r="252" spans="2:35" x14ac:dyDescent="0.25">
      <c r="B252" s="279"/>
      <c r="G252" s="71"/>
      <c r="H252" s="70"/>
      <c r="I252" s="71"/>
      <c r="K252" s="71"/>
      <c r="L252" s="71"/>
      <c r="W252" s="5"/>
      <c r="AE252" s="69"/>
      <c r="AI252" s="71"/>
    </row>
    <row r="253" spans="2:35" x14ac:dyDescent="0.25">
      <c r="B253" s="279"/>
      <c r="G253" s="71"/>
      <c r="H253" s="70"/>
      <c r="I253" s="71"/>
      <c r="K253" s="71"/>
      <c r="L253" s="71"/>
      <c r="W253" s="5"/>
      <c r="AE253" s="69"/>
      <c r="AI253" s="71"/>
    </row>
    <row r="254" spans="2:35" x14ac:dyDescent="0.25">
      <c r="B254" s="279"/>
      <c r="G254" s="71"/>
      <c r="H254" s="70"/>
      <c r="I254" s="71"/>
      <c r="K254" s="71"/>
      <c r="L254" s="71"/>
      <c r="W254" s="5"/>
      <c r="AE254" s="69"/>
      <c r="AI254" s="71"/>
    </row>
    <row r="255" spans="2:35" x14ac:dyDescent="0.25">
      <c r="B255" s="279"/>
      <c r="G255" s="71"/>
      <c r="H255" s="70"/>
      <c r="I255" s="71"/>
      <c r="K255" s="71"/>
      <c r="L255" s="71"/>
      <c r="W255" s="5"/>
      <c r="AE255" s="69"/>
      <c r="AI255" s="71"/>
    </row>
    <row r="256" spans="2:35" x14ac:dyDescent="0.25">
      <c r="B256" s="279"/>
      <c r="G256" s="71"/>
      <c r="H256" s="70"/>
      <c r="I256" s="71"/>
      <c r="K256" s="71"/>
      <c r="L256" s="71"/>
      <c r="W256" s="5"/>
      <c r="AE256" s="69"/>
      <c r="AI256" s="71"/>
    </row>
    <row r="257" spans="2:35" x14ac:dyDescent="0.25">
      <c r="B257" s="279"/>
      <c r="G257" s="71"/>
      <c r="H257" s="70"/>
      <c r="I257" s="71"/>
      <c r="K257" s="71"/>
      <c r="L257" s="71"/>
      <c r="W257" s="5"/>
      <c r="AE257" s="69"/>
      <c r="AI257" s="71"/>
    </row>
    <row r="258" spans="2:35" x14ac:dyDescent="0.25">
      <c r="B258" s="279"/>
      <c r="G258" s="71"/>
      <c r="H258" s="70"/>
      <c r="I258" s="71"/>
      <c r="K258" s="71"/>
      <c r="L258" s="71"/>
      <c r="W258" s="5"/>
      <c r="AE258" s="69"/>
      <c r="AI258" s="71"/>
    </row>
    <row r="259" spans="2:35" x14ac:dyDescent="0.25">
      <c r="B259" s="279"/>
      <c r="G259" s="71"/>
      <c r="H259" s="70"/>
      <c r="I259" s="71"/>
      <c r="K259" s="71"/>
      <c r="L259" s="71"/>
      <c r="W259" s="5"/>
      <c r="AE259" s="69"/>
      <c r="AI259" s="71"/>
    </row>
    <row r="260" spans="2:35" x14ac:dyDescent="0.25">
      <c r="B260" s="279"/>
      <c r="G260" s="71"/>
      <c r="H260" s="70"/>
      <c r="I260" s="71"/>
      <c r="K260" s="71"/>
      <c r="L260" s="71"/>
      <c r="W260" s="5"/>
      <c r="AE260" s="69"/>
      <c r="AI260" s="71"/>
    </row>
    <row r="261" spans="2:35" x14ac:dyDescent="0.25">
      <c r="B261" s="279"/>
      <c r="G261" s="71"/>
      <c r="H261" s="70"/>
      <c r="I261" s="71"/>
      <c r="K261" s="71"/>
      <c r="L261" s="71"/>
      <c r="W261" s="5"/>
      <c r="AE261" s="69"/>
      <c r="AI261" s="71"/>
    </row>
    <row r="262" spans="2:35" x14ac:dyDescent="0.25">
      <c r="B262" s="279"/>
      <c r="G262" s="71"/>
      <c r="H262" s="70"/>
      <c r="I262" s="71"/>
      <c r="K262" s="71"/>
      <c r="L262" s="71"/>
      <c r="W262" s="5"/>
      <c r="AE262" s="69"/>
      <c r="AI262" s="71"/>
    </row>
    <row r="263" spans="2:35" x14ac:dyDescent="0.25">
      <c r="B263" s="279"/>
      <c r="G263" s="71"/>
      <c r="H263" s="70"/>
      <c r="I263" s="71"/>
      <c r="K263" s="71"/>
      <c r="L263" s="71"/>
      <c r="W263" s="5"/>
      <c r="AE263" s="69"/>
      <c r="AI263" s="71"/>
    </row>
    <row r="264" spans="2:35" x14ac:dyDescent="0.25">
      <c r="B264" s="279"/>
      <c r="G264" s="71"/>
      <c r="H264" s="70"/>
      <c r="I264" s="71"/>
      <c r="K264" s="71"/>
      <c r="L264" s="71"/>
      <c r="W264" s="5"/>
      <c r="AE264" s="69"/>
      <c r="AI264" s="71"/>
    </row>
    <row r="265" spans="2:35" x14ac:dyDescent="0.25">
      <c r="B265" s="279"/>
      <c r="G265" s="71"/>
      <c r="H265" s="70"/>
      <c r="I265" s="71"/>
      <c r="K265" s="71"/>
      <c r="L265" s="71"/>
      <c r="W265" s="5"/>
      <c r="AE265" s="69"/>
      <c r="AI265" s="71"/>
    </row>
    <row r="266" spans="2:35" x14ac:dyDescent="0.25">
      <c r="B266" s="279"/>
      <c r="G266" s="71"/>
      <c r="H266" s="70"/>
      <c r="I266" s="71"/>
      <c r="K266" s="71"/>
      <c r="L266" s="71"/>
      <c r="W266" s="5"/>
      <c r="AE266" s="69"/>
      <c r="AI266" s="71"/>
    </row>
    <row r="267" spans="2:35" x14ac:dyDescent="0.25">
      <c r="B267" s="279"/>
      <c r="G267" s="71"/>
      <c r="H267" s="70"/>
      <c r="I267" s="71"/>
      <c r="K267" s="71"/>
      <c r="L267" s="71"/>
      <c r="W267" s="5"/>
      <c r="AE267" s="69"/>
      <c r="AI267" s="71"/>
    </row>
    <row r="268" spans="2:35" x14ac:dyDescent="0.25">
      <c r="B268" s="279"/>
      <c r="G268" s="71"/>
      <c r="H268" s="70"/>
      <c r="I268" s="71"/>
      <c r="K268" s="71"/>
      <c r="L268" s="71"/>
      <c r="W268" s="5"/>
      <c r="AE268" s="69"/>
      <c r="AI268" s="71"/>
    </row>
    <row r="269" spans="2:35" x14ac:dyDescent="0.25">
      <c r="B269" s="279"/>
      <c r="G269" s="71"/>
      <c r="H269" s="70"/>
      <c r="I269" s="71"/>
      <c r="K269" s="71"/>
      <c r="L269" s="71"/>
      <c r="W269" s="5"/>
      <c r="AE269" s="69"/>
      <c r="AI269" s="71"/>
    </row>
    <row r="270" spans="2:35" x14ac:dyDescent="0.25">
      <c r="B270" s="279"/>
      <c r="G270" s="71"/>
      <c r="H270" s="70"/>
      <c r="I270" s="71"/>
      <c r="K270" s="71"/>
      <c r="L270" s="71"/>
      <c r="W270" s="5"/>
      <c r="AE270" s="69"/>
      <c r="AI270" s="71"/>
    </row>
    <row r="271" spans="2:35" x14ac:dyDescent="0.25">
      <c r="B271" s="279"/>
      <c r="G271" s="71"/>
      <c r="H271" s="70"/>
      <c r="I271" s="71"/>
      <c r="K271" s="71"/>
      <c r="L271" s="71"/>
      <c r="W271" s="5"/>
      <c r="AE271" s="69"/>
      <c r="AI271" s="71"/>
    </row>
    <row r="272" spans="2:35" x14ac:dyDescent="0.25">
      <c r="B272" s="279"/>
      <c r="G272" s="71"/>
      <c r="H272" s="70"/>
      <c r="I272" s="71"/>
      <c r="K272" s="71"/>
      <c r="L272" s="71"/>
      <c r="W272" s="5"/>
      <c r="AE272" s="69"/>
      <c r="AI272" s="71"/>
    </row>
    <row r="273" spans="2:35" x14ac:dyDescent="0.25">
      <c r="B273" s="279"/>
      <c r="G273" s="71"/>
      <c r="H273" s="70"/>
      <c r="I273" s="71"/>
      <c r="K273" s="71"/>
      <c r="L273" s="71"/>
      <c r="W273" s="5"/>
      <c r="AE273" s="69"/>
      <c r="AI273" s="71"/>
    </row>
    <row r="274" spans="2:35" x14ac:dyDescent="0.25">
      <c r="B274" s="279"/>
      <c r="G274" s="71"/>
      <c r="H274" s="70"/>
      <c r="I274" s="71"/>
      <c r="K274" s="71"/>
      <c r="L274" s="71"/>
      <c r="W274" s="5"/>
      <c r="AE274" s="69"/>
      <c r="AI274" s="71"/>
    </row>
    <row r="275" spans="2:35" x14ac:dyDescent="0.25">
      <c r="B275" s="279"/>
      <c r="G275" s="71"/>
      <c r="H275" s="70"/>
      <c r="I275" s="71"/>
      <c r="K275" s="71"/>
      <c r="L275" s="71"/>
      <c r="W275" s="5"/>
      <c r="AE275" s="69"/>
      <c r="AI275" s="71"/>
    </row>
    <row r="276" spans="2:35" x14ac:dyDescent="0.25">
      <c r="B276" s="279"/>
      <c r="G276" s="71"/>
      <c r="H276" s="70"/>
      <c r="I276" s="71"/>
      <c r="K276" s="71"/>
      <c r="L276" s="71"/>
      <c r="W276" s="5"/>
      <c r="AE276" s="69"/>
      <c r="AI276" s="71"/>
    </row>
    <row r="277" spans="2:35" x14ac:dyDescent="0.25">
      <c r="B277" s="279"/>
      <c r="G277" s="71"/>
      <c r="H277" s="70"/>
      <c r="I277" s="71"/>
      <c r="K277" s="71"/>
      <c r="L277" s="71"/>
      <c r="W277" s="5"/>
      <c r="AE277" s="69"/>
      <c r="AI277" s="71"/>
    </row>
    <row r="278" spans="2:35" x14ac:dyDescent="0.25">
      <c r="B278" s="279"/>
      <c r="G278" s="71"/>
      <c r="H278" s="70"/>
      <c r="I278" s="71"/>
      <c r="K278" s="71"/>
      <c r="L278" s="71"/>
      <c r="W278" s="5"/>
      <c r="AE278" s="69"/>
      <c r="AI278" s="71"/>
    </row>
    <row r="279" spans="2:35" x14ac:dyDescent="0.25">
      <c r="B279" s="279"/>
      <c r="G279" s="71"/>
      <c r="H279" s="70"/>
      <c r="I279" s="71"/>
      <c r="K279" s="71"/>
      <c r="L279" s="71"/>
      <c r="W279" s="5"/>
      <c r="AE279" s="69"/>
      <c r="AI279" s="71"/>
    </row>
    <row r="280" spans="2:35" x14ac:dyDescent="0.25">
      <c r="B280" s="279"/>
      <c r="G280" s="71"/>
      <c r="H280" s="70"/>
      <c r="I280" s="71"/>
      <c r="K280" s="71"/>
      <c r="L280" s="71"/>
      <c r="W280" s="5"/>
      <c r="AE280" s="69"/>
      <c r="AI280" s="71"/>
    </row>
    <row r="281" spans="2:35" x14ac:dyDescent="0.25">
      <c r="B281" s="279"/>
      <c r="G281" s="71"/>
      <c r="H281" s="70"/>
      <c r="I281" s="71"/>
      <c r="K281" s="71"/>
      <c r="L281" s="71"/>
      <c r="W281" s="5"/>
      <c r="AE281" s="69"/>
      <c r="AI281" s="71"/>
    </row>
    <row r="282" spans="2:35" x14ac:dyDescent="0.25">
      <c r="B282" s="279"/>
      <c r="G282" s="71"/>
      <c r="H282" s="70"/>
      <c r="I282" s="71"/>
      <c r="K282" s="71"/>
      <c r="L282" s="71"/>
      <c r="W282" s="5"/>
      <c r="AE282" s="69"/>
      <c r="AI282" s="71"/>
    </row>
    <row r="283" spans="2:35" x14ac:dyDescent="0.25">
      <c r="B283" s="279"/>
      <c r="G283" s="71"/>
      <c r="H283" s="70"/>
      <c r="I283" s="71"/>
      <c r="K283" s="71"/>
      <c r="L283" s="71"/>
      <c r="W283" s="5"/>
      <c r="AE283" s="69"/>
      <c r="AI283" s="71"/>
    </row>
    <row r="284" spans="2:35" x14ac:dyDescent="0.25">
      <c r="B284" s="279"/>
      <c r="G284" s="71"/>
      <c r="H284" s="70"/>
      <c r="I284" s="71"/>
      <c r="K284" s="71"/>
      <c r="L284" s="71"/>
      <c r="W284" s="5"/>
      <c r="AE284" s="69"/>
      <c r="AI284" s="71"/>
    </row>
    <row r="285" spans="2:35" x14ac:dyDescent="0.25">
      <c r="B285" s="279"/>
      <c r="G285" s="71"/>
      <c r="H285" s="70"/>
      <c r="I285" s="71"/>
      <c r="K285" s="71"/>
      <c r="L285" s="71"/>
      <c r="W285" s="5"/>
      <c r="AE285" s="69"/>
      <c r="AI285" s="71"/>
    </row>
    <row r="286" spans="2:35" x14ac:dyDescent="0.25">
      <c r="B286" s="279"/>
      <c r="G286" s="71"/>
      <c r="H286" s="70"/>
      <c r="I286" s="71"/>
      <c r="K286" s="71"/>
      <c r="L286" s="71"/>
      <c r="W286" s="5"/>
      <c r="AE286" s="69"/>
      <c r="AI286" s="71"/>
    </row>
    <row r="287" spans="2:35" x14ac:dyDescent="0.25">
      <c r="B287" s="279"/>
      <c r="G287" s="71"/>
      <c r="H287" s="70"/>
      <c r="I287" s="71"/>
      <c r="K287" s="71"/>
      <c r="L287" s="71"/>
      <c r="W287" s="5"/>
      <c r="AE287" s="69"/>
      <c r="AI287" s="71"/>
    </row>
    <row r="288" spans="2:35" x14ac:dyDescent="0.25">
      <c r="B288" s="279"/>
      <c r="G288" s="71"/>
      <c r="H288" s="70"/>
      <c r="I288" s="71"/>
      <c r="K288" s="71"/>
      <c r="L288" s="71"/>
      <c r="W288" s="5"/>
      <c r="AE288" s="69"/>
      <c r="AI288" s="71"/>
    </row>
    <row r="289" spans="2:35" x14ac:dyDescent="0.25">
      <c r="B289" s="279"/>
      <c r="G289" s="71"/>
      <c r="H289" s="70"/>
      <c r="I289" s="71"/>
      <c r="K289" s="71"/>
      <c r="L289" s="71"/>
      <c r="W289" s="5"/>
      <c r="AE289" s="69"/>
      <c r="AI289" s="71"/>
    </row>
    <row r="290" spans="2:35" x14ac:dyDescent="0.25">
      <c r="B290" s="279"/>
      <c r="G290" s="71"/>
      <c r="H290" s="70"/>
      <c r="I290" s="71"/>
      <c r="K290" s="71"/>
      <c r="L290" s="71"/>
      <c r="W290" s="5"/>
      <c r="AE290" s="69"/>
      <c r="AI290" s="71"/>
    </row>
    <row r="291" spans="2:35" x14ac:dyDescent="0.25">
      <c r="B291" s="279"/>
      <c r="G291" s="71"/>
      <c r="H291" s="70"/>
      <c r="I291" s="71"/>
      <c r="K291" s="71"/>
      <c r="L291" s="71"/>
      <c r="W291" s="5"/>
      <c r="AE291" s="69"/>
      <c r="AI291" s="71"/>
    </row>
    <row r="292" spans="2:35" x14ac:dyDescent="0.25">
      <c r="B292" s="279"/>
      <c r="G292" s="71"/>
      <c r="H292" s="70"/>
      <c r="I292" s="71"/>
      <c r="K292" s="71"/>
      <c r="L292" s="71"/>
      <c r="W292" s="5"/>
      <c r="AE292" s="69"/>
      <c r="AI292" s="71"/>
    </row>
    <row r="293" spans="2:35" x14ac:dyDescent="0.25">
      <c r="B293" s="279"/>
      <c r="G293" s="71"/>
      <c r="H293" s="70"/>
      <c r="I293" s="71"/>
      <c r="K293" s="71"/>
      <c r="L293" s="71"/>
      <c r="W293" s="5"/>
      <c r="AE293" s="69"/>
      <c r="AI293" s="71"/>
    </row>
    <row r="294" spans="2:35" x14ac:dyDescent="0.25">
      <c r="B294" s="279"/>
      <c r="G294" s="71"/>
      <c r="H294" s="70"/>
      <c r="I294" s="71"/>
      <c r="K294" s="71"/>
      <c r="L294" s="71"/>
      <c r="W294" s="5"/>
      <c r="AE294" s="69"/>
      <c r="AI294" s="71"/>
    </row>
    <row r="295" spans="2:35" x14ac:dyDescent="0.25">
      <c r="B295" s="279"/>
      <c r="G295" s="71"/>
      <c r="H295" s="70"/>
      <c r="I295" s="71"/>
      <c r="K295" s="71"/>
      <c r="L295" s="71"/>
      <c r="W295" s="5"/>
      <c r="AE295" s="69"/>
      <c r="AI295" s="71"/>
    </row>
    <row r="296" spans="2:35" x14ac:dyDescent="0.25">
      <c r="B296" s="279"/>
      <c r="G296" s="71"/>
      <c r="H296" s="70"/>
      <c r="I296" s="71"/>
      <c r="K296" s="71"/>
      <c r="L296" s="71"/>
      <c r="W296" s="5"/>
      <c r="AE296" s="69"/>
      <c r="AI296" s="71"/>
    </row>
    <row r="297" spans="2:35" x14ac:dyDescent="0.25">
      <c r="B297" s="279"/>
      <c r="G297" s="71"/>
      <c r="H297" s="70"/>
      <c r="I297" s="71"/>
      <c r="K297" s="71"/>
      <c r="L297" s="71"/>
      <c r="W297" s="5"/>
      <c r="AE297" s="69"/>
      <c r="AI297" s="71"/>
    </row>
    <row r="298" spans="2:35" x14ac:dyDescent="0.25">
      <c r="B298" s="279"/>
      <c r="G298" s="71"/>
      <c r="H298" s="70"/>
      <c r="I298" s="71"/>
      <c r="K298" s="71"/>
      <c r="L298" s="71"/>
      <c r="W298" s="5"/>
      <c r="AE298" s="69"/>
      <c r="AI298" s="71"/>
    </row>
    <row r="299" spans="2:35" x14ac:dyDescent="0.25">
      <c r="B299" s="279"/>
      <c r="G299" s="71"/>
      <c r="H299" s="70"/>
      <c r="I299" s="71"/>
      <c r="K299" s="71"/>
      <c r="L299" s="71"/>
      <c r="W299" s="5"/>
      <c r="AE299" s="69"/>
      <c r="AI299" s="71"/>
    </row>
    <row r="300" spans="2:35" x14ac:dyDescent="0.25">
      <c r="B300" s="279"/>
      <c r="G300" s="71"/>
      <c r="H300" s="70"/>
      <c r="I300" s="71"/>
      <c r="K300" s="71"/>
      <c r="L300" s="71"/>
      <c r="W300" s="5"/>
      <c r="AE300" s="69"/>
      <c r="AI300" s="71"/>
    </row>
    <row r="301" spans="2:35" x14ac:dyDescent="0.25">
      <c r="B301" s="279"/>
      <c r="G301" s="71"/>
      <c r="H301" s="70"/>
      <c r="I301" s="71"/>
      <c r="K301" s="71"/>
      <c r="L301" s="71"/>
      <c r="W301" s="5"/>
      <c r="AE301" s="69"/>
      <c r="AI301" s="71"/>
    </row>
    <row r="302" spans="2:35" x14ac:dyDescent="0.25">
      <c r="B302" s="279"/>
      <c r="G302" s="71"/>
      <c r="H302" s="70"/>
      <c r="I302" s="71"/>
      <c r="K302" s="71"/>
      <c r="L302" s="71"/>
      <c r="W302" s="5"/>
      <c r="AE302" s="69"/>
      <c r="AI302" s="71"/>
    </row>
    <row r="303" spans="2:35" x14ac:dyDescent="0.25">
      <c r="B303" s="279"/>
      <c r="G303" s="71"/>
      <c r="H303" s="70"/>
      <c r="I303" s="71"/>
      <c r="K303" s="71"/>
      <c r="L303" s="71"/>
      <c r="W303" s="5"/>
      <c r="AE303" s="69"/>
      <c r="AI303" s="71"/>
    </row>
    <row r="304" spans="2:35" x14ac:dyDescent="0.25">
      <c r="B304" s="279"/>
      <c r="G304" s="71"/>
      <c r="H304" s="70"/>
      <c r="I304" s="71"/>
      <c r="K304" s="71"/>
      <c r="L304" s="71"/>
      <c r="W304" s="5"/>
      <c r="AE304" s="69"/>
      <c r="AI304" s="71"/>
    </row>
    <row r="305" spans="2:35" x14ac:dyDescent="0.25">
      <c r="B305" s="279"/>
      <c r="G305" s="71"/>
      <c r="H305" s="70"/>
      <c r="I305" s="71"/>
      <c r="K305" s="71"/>
      <c r="L305" s="71"/>
      <c r="W305" s="5"/>
      <c r="AE305" s="69"/>
      <c r="AI305" s="71"/>
    </row>
    <row r="306" spans="2:35" x14ac:dyDescent="0.25">
      <c r="B306" s="279"/>
      <c r="G306" s="71"/>
      <c r="H306" s="70"/>
      <c r="I306" s="71"/>
      <c r="K306" s="71"/>
      <c r="L306" s="71"/>
      <c r="W306" s="5"/>
      <c r="AE306" s="69"/>
      <c r="AI306" s="71"/>
    </row>
    <row r="307" spans="2:35" x14ac:dyDescent="0.25">
      <c r="B307" s="279"/>
      <c r="G307" s="71"/>
      <c r="H307" s="70"/>
      <c r="I307" s="71"/>
      <c r="K307" s="71"/>
      <c r="L307" s="71"/>
      <c r="W307" s="5"/>
      <c r="AE307" s="69"/>
      <c r="AI307" s="71"/>
    </row>
    <row r="308" spans="2:35" x14ac:dyDescent="0.25">
      <c r="B308" s="279"/>
      <c r="G308" s="71"/>
      <c r="H308" s="70"/>
      <c r="I308" s="71"/>
      <c r="K308" s="71"/>
      <c r="L308" s="71"/>
      <c r="W308" s="5"/>
      <c r="AE308" s="69"/>
      <c r="AI308" s="71"/>
    </row>
    <row r="309" spans="2:35" x14ac:dyDescent="0.25">
      <c r="B309" s="279"/>
      <c r="G309" s="71"/>
      <c r="H309" s="70"/>
      <c r="I309" s="71"/>
      <c r="K309" s="71"/>
      <c r="L309" s="71"/>
      <c r="W309" s="5"/>
      <c r="AE309" s="69"/>
      <c r="AI309" s="71"/>
    </row>
    <row r="310" spans="2:35" x14ac:dyDescent="0.25">
      <c r="B310" s="279"/>
      <c r="G310" s="71"/>
      <c r="H310" s="70"/>
      <c r="I310" s="71"/>
      <c r="K310" s="71"/>
      <c r="L310" s="71"/>
      <c r="W310" s="5"/>
      <c r="AE310" s="69"/>
      <c r="AI310" s="71"/>
    </row>
    <row r="311" spans="2:35" x14ac:dyDescent="0.25">
      <c r="B311" s="279"/>
      <c r="G311" s="71"/>
      <c r="H311" s="70"/>
      <c r="I311" s="71"/>
      <c r="K311" s="71"/>
      <c r="L311" s="71"/>
      <c r="W311" s="5"/>
      <c r="AE311" s="69"/>
      <c r="AI311" s="71"/>
    </row>
    <row r="312" spans="2:35" x14ac:dyDescent="0.25">
      <c r="B312" s="279"/>
      <c r="G312" s="71"/>
      <c r="H312" s="70"/>
      <c r="I312" s="71"/>
      <c r="K312" s="71"/>
      <c r="L312" s="71"/>
      <c r="W312" s="5"/>
      <c r="AE312" s="69"/>
      <c r="AI312" s="71"/>
    </row>
    <row r="313" spans="2:35" x14ac:dyDescent="0.25">
      <c r="B313" s="279"/>
      <c r="G313" s="71"/>
      <c r="H313" s="70"/>
      <c r="I313" s="71"/>
      <c r="K313" s="71"/>
      <c r="L313" s="71"/>
      <c r="W313" s="5"/>
      <c r="AE313" s="69"/>
      <c r="AI313" s="71"/>
    </row>
    <row r="314" spans="2:35" x14ac:dyDescent="0.25">
      <c r="B314" s="279"/>
      <c r="G314" s="71"/>
      <c r="H314" s="70"/>
      <c r="I314" s="71"/>
      <c r="K314" s="71"/>
      <c r="L314" s="71"/>
      <c r="W314" s="5"/>
      <c r="AE314" s="69"/>
      <c r="AI314" s="71"/>
    </row>
    <row r="315" spans="2:35" x14ac:dyDescent="0.25">
      <c r="B315" s="279"/>
      <c r="G315" s="71"/>
      <c r="H315" s="70"/>
      <c r="I315" s="71"/>
      <c r="K315" s="71"/>
      <c r="L315" s="71"/>
      <c r="W315" s="5"/>
      <c r="AE315" s="69"/>
      <c r="AI315" s="71"/>
    </row>
    <row r="316" spans="2:35" x14ac:dyDescent="0.25">
      <c r="B316" s="279"/>
      <c r="G316" s="71"/>
      <c r="H316" s="70"/>
      <c r="I316" s="71"/>
      <c r="K316" s="71"/>
      <c r="L316" s="71"/>
      <c r="W316" s="5"/>
      <c r="AE316" s="69"/>
      <c r="AI316" s="71"/>
    </row>
    <row r="317" spans="2:35" x14ac:dyDescent="0.25">
      <c r="B317" s="279"/>
      <c r="G317" s="71"/>
      <c r="H317" s="70"/>
      <c r="I317" s="71"/>
      <c r="K317" s="71"/>
      <c r="L317" s="71"/>
      <c r="W317" s="5"/>
      <c r="AE317" s="69"/>
      <c r="AI317" s="71"/>
    </row>
    <row r="318" spans="2:35" x14ac:dyDescent="0.25">
      <c r="B318" s="279"/>
      <c r="G318" s="71"/>
      <c r="H318" s="70"/>
      <c r="I318" s="71"/>
      <c r="K318" s="71"/>
      <c r="L318" s="71"/>
      <c r="W318" s="5"/>
      <c r="AE318" s="69"/>
      <c r="AI318" s="71"/>
    </row>
    <row r="319" spans="2:35" x14ac:dyDescent="0.25">
      <c r="B319" s="279"/>
      <c r="G319" s="71"/>
      <c r="H319" s="70"/>
      <c r="I319" s="71"/>
      <c r="K319" s="71"/>
      <c r="L319" s="71"/>
      <c r="W319" s="5"/>
      <c r="AE319" s="69"/>
      <c r="AI319" s="71"/>
    </row>
    <row r="320" spans="2:35" x14ac:dyDescent="0.25">
      <c r="B320" s="279"/>
      <c r="G320" s="71"/>
      <c r="H320" s="70"/>
      <c r="I320" s="71"/>
      <c r="K320" s="71"/>
      <c r="L320" s="71"/>
      <c r="W320" s="5"/>
      <c r="AE320" s="69"/>
      <c r="AI320" s="71"/>
    </row>
    <row r="321" spans="2:35" x14ac:dyDescent="0.25">
      <c r="B321" s="279"/>
      <c r="G321" s="71"/>
      <c r="H321" s="70"/>
      <c r="I321" s="71"/>
      <c r="K321" s="71"/>
      <c r="L321" s="71"/>
      <c r="W321" s="5"/>
      <c r="AE321" s="69"/>
      <c r="AI321" s="71"/>
    </row>
    <row r="322" spans="2:35" x14ac:dyDescent="0.25">
      <c r="B322" s="279"/>
      <c r="G322" s="71"/>
      <c r="H322" s="70"/>
      <c r="I322" s="71"/>
      <c r="K322" s="71"/>
      <c r="L322" s="71"/>
      <c r="W322" s="5"/>
      <c r="AE322" s="69"/>
      <c r="AI322" s="71"/>
    </row>
    <row r="323" spans="2:35" x14ac:dyDescent="0.25">
      <c r="B323" s="279"/>
      <c r="G323" s="71"/>
      <c r="H323" s="70"/>
      <c r="I323" s="71"/>
      <c r="K323" s="71"/>
      <c r="L323" s="71"/>
      <c r="W323" s="5"/>
      <c r="AE323" s="69"/>
      <c r="AI323" s="71"/>
    </row>
    <row r="324" spans="2:35" x14ac:dyDescent="0.25">
      <c r="B324" s="279"/>
      <c r="G324" s="71"/>
      <c r="H324" s="70"/>
      <c r="I324" s="71"/>
      <c r="K324" s="71"/>
      <c r="L324" s="71"/>
      <c r="W324" s="5"/>
      <c r="AE324" s="69"/>
      <c r="AI324" s="71"/>
    </row>
    <row r="325" spans="2:35" x14ac:dyDescent="0.25">
      <c r="B325" s="279"/>
      <c r="G325" s="71"/>
      <c r="H325" s="70"/>
      <c r="I325" s="71"/>
      <c r="K325" s="71"/>
      <c r="L325" s="71"/>
      <c r="W325" s="5"/>
      <c r="AE325" s="69"/>
      <c r="AI325" s="71"/>
    </row>
    <row r="326" spans="2:35" x14ac:dyDescent="0.25">
      <c r="B326" s="279"/>
      <c r="G326" s="71"/>
      <c r="H326" s="70"/>
      <c r="I326" s="71"/>
      <c r="K326" s="71"/>
      <c r="L326" s="71"/>
      <c r="W326" s="5"/>
      <c r="AE326" s="69"/>
      <c r="AI326" s="71"/>
    </row>
    <row r="327" spans="2:35" x14ac:dyDescent="0.25">
      <c r="B327" s="279"/>
      <c r="G327" s="71"/>
      <c r="H327" s="70"/>
      <c r="I327" s="71"/>
      <c r="K327" s="71"/>
      <c r="L327" s="71"/>
      <c r="W327" s="5"/>
      <c r="AE327" s="69"/>
      <c r="AI327" s="71"/>
    </row>
    <row r="328" spans="2:35" x14ac:dyDescent="0.25">
      <c r="B328" s="279"/>
      <c r="G328" s="71"/>
      <c r="H328" s="70"/>
      <c r="I328" s="71"/>
      <c r="K328" s="71"/>
      <c r="L328" s="71"/>
      <c r="W328" s="5"/>
      <c r="AE328" s="69"/>
      <c r="AI328" s="71"/>
    </row>
    <row r="329" spans="2:35" x14ac:dyDescent="0.25">
      <c r="B329" s="279"/>
      <c r="G329" s="71"/>
      <c r="H329" s="70"/>
      <c r="I329" s="71"/>
      <c r="K329" s="71"/>
      <c r="L329" s="71"/>
      <c r="W329" s="5"/>
      <c r="AE329" s="69"/>
      <c r="AI329" s="71"/>
    </row>
    <row r="330" spans="2:35" x14ac:dyDescent="0.25">
      <c r="B330" s="279"/>
      <c r="G330" s="71"/>
      <c r="H330" s="70"/>
      <c r="I330" s="71"/>
      <c r="K330" s="71"/>
      <c r="L330" s="71"/>
      <c r="W330" s="5"/>
      <c r="AE330" s="69"/>
      <c r="AI330" s="71"/>
    </row>
    <row r="331" spans="2:35" x14ac:dyDescent="0.25">
      <c r="B331" s="279"/>
      <c r="G331" s="71"/>
      <c r="H331" s="70"/>
      <c r="I331" s="71"/>
      <c r="K331" s="71"/>
      <c r="L331" s="71"/>
      <c r="W331" s="5"/>
      <c r="AE331" s="69"/>
      <c r="AI331" s="71"/>
    </row>
    <row r="332" spans="2:35" x14ac:dyDescent="0.25">
      <c r="B332" s="279"/>
      <c r="G332" s="71"/>
      <c r="H332" s="70"/>
      <c r="I332" s="71"/>
      <c r="K332" s="71"/>
      <c r="L332" s="71"/>
      <c r="W332" s="5"/>
      <c r="AE332" s="69"/>
      <c r="AI332" s="71"/>
    </row>
    <row r="333" spans="2:35" x14ac:dyDescent="0.25">
      <c r="B333" s="279"/>
      <c r="G333" s="71"/>
      <c r="H333" s="70"/>
      <c r="I333" s="71"/>
      <c r="K333" s="71"/>
      <c r="L333" s="71"/>
      <c r="W333" s="5"/>
      <c r="AE333" s="69"/>
      <c r="AI333" s="71"/>
    </row>
    <row r="334" spans="2:35" x14ac:dyDescent="0.25">
      <c r="B334" s="279"/>
      <c r="G334" s="71"/>
      <c r="H334" s="70"/>
      <c r="I334" s="71"/>
      <c r="K334" s="71"/>
      <c r="L334" s="71"/>
      <c r="W334" s="5"/>
      <c r="AE334" s="69"/>
      <c r="AI334" s="71"/>
    </row>
    <row r="335" spans="2:35" x14ac:dyDescent="0.25">
      <c r="B335" s="279"/>
      <c r="G335" s="71"/>
      <c r="H335" s="70"/>
      <c r="I335" s="71"/>
      <c r="K335" s="71"/>
      <c r="L335" s="71"/>
      <c r="W335" s="5"/>
      <c r="AE335" s="69"/>
      <c r="AI335" s="71"/>
    </row>
    <row r="336" spans="2:35" x14ac:dyDescent="0.25">
      <c r="B336" s="279"/>
      <c r="G336" s="71"/>
      <c r="H336" s="70"/>
      <c r="I336" s="71"/>
      <c r="K336" s="71"/>
      <c r="L336" s="71"/>
      <c r="W336" s="5"/>
      <c r="AE336" s="69"/>
      <c r="AI336" s="71"/>
    </row>
    <row r="337" spans="2:35" x14ac:dyDescent="0.25">
      <c r="B337" s="279"/>
      <c r="G337" s="71"/>
      <c r="H337" s="70"/>
      <c r="I337" s="71"/>
      <c r="K337" s="71"/>
      <c r="L337" s="71"/>
      <c r="W337" s="5"/>
      <c r="AE337" s="69"/>
      <c r="AI337" s="71"/>
    </row>
    <row r="338" spans="2:35" x14ac:dyDescent="0.25">
      <c r="B338" s="279"/>
      <c r="G338" s="71"/>
      <c r="H338" s="70"/>
      <c r="I338" s="71"/>
      <c r="K338" s="71"/>
      <c r="L338" s="71"/>
      <c r="W338" s="5"/>
      <c r="AE338" s="69"/>
      <c r="AI338" s="71"/>
    </row>
    <row r="339" spans="2:35" x14ac:dyDescent="0.25">
      <c r="B339" s="279"/>
      <c r="G339" s="71"/>
      <c r="H339" s="70"/>
      <c r="I339" s="71"/>
      <c r="K339" s="71"/>
      <c r="L339" s="71"/>
      <c r="W339" s="5"/>
      <c r="AE339" s="69"/>
      <c r="AI339" s="71"/>
    </row>
    <row r="340" spans="2:35" x14ac:dyDescent="0.25">
      <c r="B340" s="279"/>
      <c r="G340" s="71"/>
      <c r="H340" s="70"/>
      <c r="I340" s="71"/>
      <c r="K340" s="71"/>
      <c r="L340" s="71"/>
      <c r="W340" s="5"/>
      <c r="AE340" s="69"/>
      <c r="AI340" s="71"/>
    </row>
    <row r="341" spans="2:35" x14ac:dyDescent="0.25">
      <c r="B341" s="279"/>
      <c r="G341" s="71"/>
      <c r="H341" s="70"/>
      <c r="I341" s="71"/>
      <c r="K341" s="71"/>
      <c r="L341" s="71"/>
      <c r="W341" s="5"/>
      <c r="AE341" s="69"/>
      <c r="AI341" s="71"/>
    </row>
    <row r="342" spans="2:35" x14ac:dyDescent="0.25">
      <c r="B342" s="279"/>
      <c r="G342" s="71"/>
      <c r="H342" s="70"/>
      <c r="I342" s="71"/>
      <c r="K342" s="71"/>
      <c r="L342" s="71"/>
      <c r="W342" s="5"/>
      <c r="AE342" s="69"/>
      <c r="AI342" s="71"/>
    </row>
    <row r="343" spans="2:35" x14ac:dyDescent="0.25">
      <c r="B343" s="279"/>
      <c r="G343" s="71"/>
      <c r="H343" s="70"/>
      <c r="I343" s="71"/>
      <c r="K343" s="71"/>
      <c r="L343" s="71"/>
      <c r="W343" s="5"/>
      <c r="AE343" s="69"/>
      <c r="AI343" s="71"/>
    </row>
    <row r="344" spans="2:35" x14ac:dyDescent="0.25">
      <c r="B344" s="279"/>
      <c r="G344" s="71"/>
      <c r="H344" s="70"/>
      <c r="I344" s="71"/>
      <c r="K344" s="71"/>
      <c r="L344" s="71"/>
      <c r="W344" s="5"/>
      <c r="AE344" s="69"/>
      <c r="AI344" s="71"/>
    </row>
    <row r="345" spans="2:35" x14ac:dyDescent="0.25">
      <c r="B345" s="279"/>
      <c r="G345" s="71"/>
      <c r="H345" s="70"/>
      <c r="I345" s="71"/>
      <c r="K345" s="71"/>
      <c r="L345" s="71"/>
      <c r="W345" s="5"/>
      <c r="AE345" s="69"/>
      <c r="AI345" s="71"/>
    </row>
    <row r="346" spans="2:35" x14ac:dyDescent="0.25">
      <c r="B346" s="279"/>
      <c r="G346" s="71"/>
      <c r="H346" s="70"/>
      <c r="I346" s="71"/>
      <c r="K346" s="71"/>
      <c r="L346" s="71"/>
      <c r="W346" s="5"/>
      <c r="AE346" s="69"/>
      <c r="AI346" s="71"/>
    </row>
    <row r="347" spans="2:35" x14ac:dyDescent="0.25">
      <c r="B347" s="279"/>
      <c r="G347" s="71"/>
      <c r="H347" s="70"/>
      <c r="I347" s="71"/>
      <c r="K347" s="71"/>
      <c r="L347" s="71"/>
      <c r="W347" s="5"/>
      <c r="AE347" s="69"/>
      <c r="AI347" s="71"/>
    </row>
    <row r="348" spans="2:35" x14ac:dyDescent="0.25">
      <c r="B348" s="279"/>
      <c r="G348" s="71"/>
      <c r="H348" s="70"/>
      <c r="I348" s="71"/>
      <c r="K348" s="71"/>
      <c r="L348" s="71"/>
      <c r="W348" s="5"/>
      <c r="AE348" s="69"/>
      <c r="AI348" s="71"/>
    </row>
    <row r="349" spans="2:35" x14ac:dyDescent="0.25">
      <c r="B349" s="279"/>
      <c r="G349" s="71"/>
      <c r="H349" s="70"/>
      <c r="I349" s="71"/>
      <c r="K349" s="71"/>
      <c r="L349" s="71"/>
      <c r="W349" s="5"/>
      <c r="AE349" s="69"/>
      <c r="AI349" s="71"/>
    </row>
    <row r="350" spans="2:35" x14ac:dyDescent="0.25">
      <c r="B350" s="279"/>
      <c r="G350" s="71"/>
      <c r="H350" s="70"/>
      <c r="I350" s="71"/>
      <c r="K350" s="71"/>
      <c r="L350" s="71"/>
      <c r="W350" s="5"/>
      <c r="AE350" s="69"/>
      <c r="AI350" s="71"/>
    </row>
    <row r="351" spans="2:35" x14ac:dyDescent="0.25">
      <c r="B351" s="279"/>
      <c r="G351" s="71"/>
      <c r="H351" s="70"/>
      <c r="I351" s="71"/>
      <c r="K351" s="71"/>
      <c r="L351" s="71"/>
      <c r="W351" s="5"/>
      <c r="AE351" s="69"/>
      <c r="AI351" s="71"/>
    </row>
    <row r="352" spans="2:35" x14ac:dyDescent="0.25">
      <c r="B352" s="279"/>
      <c r="G352" s="71"/>
      <c r="H352" s="70"/>
      <c r="I352" s="71"/>
      <c r="K352" s="71"/>
      <c r="L352" s="71"/>
      <c r="W352" s="5"/>
      <c r="AE352" s="69"/>
      <c r="AI352" s="71"/>
    </row>
    <row r="353" spans="2:35" x14ac:dyDescent="0.25">
      <c r="B353" s="279"/>
      <c r="G353" s="71"/>
      <c r="H353" s="70"/>
      <c r="I353" s="71"/>
      <c r="K353" s="71"/>
      <c r="L353" s="71"/>
      <c r="W353" s="5"/>
      <c r="AE353" s="69"/>
      <c r="AI353" s="71"/>
    </row>
    <row r="354" spans="2:35" x14ac:dyDescent="0.25">
      <c r="B354" s="279"/>
      <c r="G354" s="71"/>
      <c r="H354" s="70"/>
      <c r="I354" s="71"/>
      <c r="K354" s="71"/>
      <c r="L354" s="71"/>
      <c r="W354" s="5"/>
      <c r="AE354" s="69"/>
      <c r="AI354" s="71"/>
    </row>
    <row r="355" spans="2:35" x14ac:dyDescent="0.25">
      <c r="B355" s="279"/>
      <c r="G355" s="71"/>
      <c r="H355" s="70"/>
      <c r="I355" s="71"/>
      <c r="K355" s="71"/>
      <c r="L355" s="71"/>
      <c r="W355" s="5"/>
      <c r="AE355" s="69"/>
      <c r="AI355" s="71"/>
    </row>
    <row r="356" spans="2:35" x14ac:dyDescent="0.25">
      <c r="B356" s="279"/>
      <c r="G356" s="71"/>
      <c r="H356" s="70"/>
      <c r="I356" s="71"/>
      <c r="K356" s="71"/>
      <c r="L356" s="71"/>
      <c r="W356" s="5"/>
      <c r="AE356" s="69"/>
      <c r="AI356" s="71"/>
    </row>
    <row r="357" spans="2:35" x14ac:dyDescent="0.25">
      <c r="B357" s="279"/>
      <c r="G357" s="71"/>
      <c r="H357" s="70"/>
      <c r="I357" s="71"/>
      <c r="K357" s="71"/>
      <c r="L357" s="71"/>
      <c r="W357" s="5"/>
      <c r="AE357" s="69"/>
      <c r="AI357" s="71"/>
    </row>
    <row r="358" spans="2:35" x14ac:dyDescent="0.25">
      <c r="B358" s="279"/>
      <c r="G358" s="71"/>
      <c r="H358" s="70"/>
      <c r="I358" s="71"/>
      <c r="K358" s="71"/>
      <c r="L358" s="71"/>
      <c r="W358" s="5"/>
      <c r="AE358" s="69"/>
      <c r="AI358" s="71"/>
    </row>
    <row r="359" spans="2:35" x14ac:dyDescent="0.25">
      <c r="B359" s="279"/>
      <c r="G359" s="71"/>
      <c r="H359" s="70"/>
      <c r="I359" s="71"/>
      <c r="K359" s="71"/>
      <c r="L359" s="71"/>
      <c r="W359" s="5"/>
      <c r="AE359" s="69"/>
      <c r="AI359" s="71"/>
    </row>
    <row r="360" spans="2:35" x14ac:dyDescent="0.25">
      <c r="B360" s="279"/>
      <c r="G360" s="71"/>
      <c r="H360" s="70"/>
      <c r="I360" s="71"/>
      <c r="K360" s="71"/>
      <c r="L360" s="71"/>
      <c r="W360" s="5"/>
      <c r="AE360" s="69"/>
      <c r="AI360" s="71"/>
    </row>
    <row r="361" spans="2:35" x14ac:dyDescent="0.25">
      <c r="B361" s="279"/>
      <c r="G361" s="71"/>
      <c r="H361" s="70"/>
      <c r="I361" s="71"/>
      <c r="K361" s="71"/>
      <c r="L361" s="71"/>
      <c r="W361" s="5"/>
      <c r="AE361" s="69"/>
      <c r="AI361" s="71"/>
    </row>
    <row r="362" spans="2:35" x14ac:dyDescent="0.25">
      <c r="B362" s="279"/>
      <c r="G362" s="71"/>
      <c r="H362" s="70"/>
      <c r="I362" s="71"/>
      <c r="K362" s="71"/>
      <c r="L362" s="71"/>
      <c r="W362" s="5"/>
      <c r="AE362" s="69"/>
      <c r="AI362" s="71"/>
    </row>
    <row r="363" spans="2:35" x14ac:dyDescent="0.25">
      <c r="B363" s="279"/>
      <c r="G363" s="71"/>
      <c r="H363" s="70"/>
      <c r="I363" s="71"/>
      <c r="K363" s="71"/>
      <c r="L363" s="71"/>
      <c r="W363" s="5"/>
      <c r="AE363" s="69"/>
      <c r="AI363" s="71"/>
    </row>
    <row r="364" spans="2:35" x14ac:dyDescent="0.25">
      <c r="B364" s="279"/>
      <c r="G364" s="71"/>
      <c r="H364" s="70"/>
      <c r="I364" s="71"/>
      <c r="K364" s="71"/>
      <c r="L364" s="71"/>
      <c r="W364" s="5"/>
      <c r="AE364" s="69"/>
      <c r="AI364" s="71"/>
    </row>
    <row r="365" spans="2:35" x14ac:dyDescent="0.25">
      <c r="B365" s="279"/>
      <c r="G365" s="71"/>
      <c r="H365" s="70"/>
      <c r="I365" s="71"/>
      <c r="K365" s="71"/>
      <c r="L365" s="71"/>
      <c r="W365" s="5"/>
      <c r="AE365" s="69"/>
      <c r="AI365" s="71"/>
    </row>
    <row r="366" spans="2:35" x14ac:dyDescent="0.25">
      <c r="B366" s="279"/>
      <c r="G366" s="71"/>
      <c r="H366" s="70"/>
      <c r="I366" s="71"/>
      <c r="K366" s="71"/>
      <c r="L366" s="71"/>
      <c r="W366" s="5"/>
      <c r="AE366" s="69"/>
      <c r="AI366" s="71"/>
    </row>
    <row r="367" spans="2:35" x14ac:dyDescent="0.25">
      <c r="B367" s="279"/>
      <c r="G367" s="71"/>
      <c r="H367" s="70"/>
      <c r="I367" s="71"/>
      <c r="K367" s="71"/>
      <c r="L367" s="71"/>
      <c r="W367" s="5"/>
      <c r="AE367" s="69"/>
      <c r="AI367" s="71"/>
    </row>
    <row r="368" spans="2:35" x14ac:dyDescent="0.25">
      <c r="B368" s="279"/>
      <c r="G368" s="71"/>
      <c r="H368" s="70"/>
      <c r="I368" s="71"/>
      <c r="K368" s="71"/>
      <c r="L368" s="71"/>
      <c r="W368" s="5"/>
      <c r="AE368" s="69"/>
      <c r="AI368" s="71"/>
    </row>
    <row r="369" spans="2:35" x14ac:dyDescent="0.25">
      <c r="B369" s="279"/>
      <c r="G369" s="71"/>
      <c r="H369" s="70"/>
      <c r="I369" s="71"/>
      <c r="K369" s="71"/>
      <c r="L369" s="71"/>
      <c r="W369" s="5"/>
      <c r="AE369" s="69"/>
      <c r="AI369" s="71"/>
    </row>
    <row r="370" spans="2:35" x14ac:dyDescent="0.25">
      <c r="B370" s="279"/>
      <c r="G370" s="71"/>
      <c r="H370" s="70"/>
      <c r="I370" s="71"/>
      <c r="K370" s="71"/>
      <c r="L370" s="71"/>
      <c r="W370" s="5"/>
      <c r="AE370" s="69"/>
      <c r="AI370" s="71"/>
    </row>
    <row r="371" spans="2:35" x14ac:dyDescent="0.25">
      <c r="B371" s="279"/>
      <c r="G371" s="71"/>
      <c r="H371" s="70"/>
      <c r="I371" s="71"/>
      <c r="K371" s="71"/>
      <c r="L371" s="71"/>
      <c r="W371" s="5"/>
      <c r="AE371" s="69"/>
      <c r="AI371" s="71"/>
    </row>
    <row r="372" spans="2:35" x14ac:dyDescent="0.25">
      <c r="B372" s="279"/>
      <c r="G372" s="71"/>
      <c r="H372" s="70"/>
      <c r="I372" s="71"/>
      <c r="K372" s="71"/>
      <c r="L372" s="71"/>
      <c r="W372" s="5"/>
      <c r="AE372" s="69"/>
      <c r="AI372" s="71"/>
    </row>
    <row r="373" spans="2:35" x14ac:dyDescent="0.25">
      <c r="B373" s="279"/>
      <c r="G373" s="71"/>
      <c r="H373" s="70"/>
      <c r="I373" s="71"/>
      <c r="K373" s="71"/>
      <c r="L373" s="71"/>
      <c r="W373" s="5"/>
      <c r="AE373" s="69"/>
      <c r="AI373" s="71"/>
    </row>
    <row r="374" spans="2:35" x14ac:dyDescent="0.25">
      <c r="B374" s="279"/>
      <c r="G374" s="71"/>
      <c r="H374" s="70"/>
      <c r="I374" s="71"/>
      <c r="K374" s="71"/>
      <c r="L374" s="71"/>
      <c r="W374" s="5"/>
      <c r="AE374" s="69"/>
      <c r="AI374" s="71"/>
    </row>
    <row r="375" spans="2:35" x14ac:dyDescent="0.25">
      <c r="B375" s="279"/>
      <c r="G375" s="71"/>
      <c r="H375" s="70"/>
      <c r="I375" s="71"/>
      <c r="K375" s="71"/>
      <c r="L375" s="71"/>
      <c r="W375" s="5"/>
      <c r="AE375" s="69"/>
      <c r="AI375" s="71"/>
    </row>
    <row r="376" spans="2:35" x14ac:dyDescent="0.25">
      <c r="B376" s="279"/>
      <c r="G376" s="71"/>
      <c r="H376" s="70"/>
      <c r="I376" s="71"/>
      <c r="K376" s="71"/>
      <c r="L376" s="71"/>
      <c r="W376" s="5"/>
      <c r="AE376" s="69"/>
      <c r="AI376" s="71"/>
    </row>
    <row r="377" spans="2:35" x14ac:dyDescent="0.25">
      <c r="B377" s="279"/>
      <c r="G377" s="71"/>
      <c r="H377" s="70"/>
      <c r="I377" s="71"/>
      <c r="K377" s="71"/>
      <c r="L377" s="71"/>
      <c r="W377" s="5"/>
      <c r="AE377" s="69"/>
      <c r="AI377" s="71"/>
    </row>
    <row r="378" spans="2:35" x14ac:dyDescent="0.25">
      <c r="B378" s="279"/>
      <c r="G378" s="71"/>
      <c r="H378" s="70"/>
      <c r="I378" s="71"/>
      <c r="K378" s="71"/>
      <c r="L378" s="71"/>
      <c r="W378" s="5"/>
      <c r="AE378" s="69"/>
      <c r="AI378" s="71"/>
    </row>
    <row r="379" spans="2:35" x14ac:dyDescent="0.25">
      <c r="B379" s="279"/>
      <c r="G379" s="71"/>
      <c r="H379" s="70"/>
      <c r="I379" s="71"/>
      <c r="K379" s="71"/>
      <c r="L379" s="71"/>
      <c r="W379" s="5"/>
      <c r="AE379" s="69"/>
      <c r="AI379" s="71"/>
    </row>
    <row r="380" spans="2:35" x14ac:dyDescent="0.25">
      <c r="B380" s="279"/>
      <c r="G380" s="71"/>
      <c r="H380" s="70"/>
      <c r="I380" s="71"/>
      <c r="K380" s="71"/>
      <c r="L380" s="71"/>
      <c r="W380" s="5"/>
      <c r="AE380" s="69"/>
      <c r="AI380" s="71"/>
    </row>
    <row r="381" spans="2:35" x14ac:dyDescent="0.25">
      <c r="B381" s="279"/>
      <c r="G381" s="71"/>
      <c r="H381" s="70"/>
      <c r="I381" s="71"/>
      <c r="K381" s="71"/>
      <c r="L381" s="71"/>
      <c r="W381" s="5"/>
      <c r="AE381" s="69"/>
      <c r="AI381" s="71"/>
    </row>
    <row r="382" spans="2:35" x14ac:dyDescent="0.25">
      <c r="B382" s="279"/>
      <c r="G382" s="71"/>
      <c r="H382" s="70"/>
      <c r="I382" s="71"/>
      <c r="K382" s="71"/>
      <c r="L382" s="71"/>
      <c r="W382" s="5"/>
      <c r="AE382" s="69"/>
      <c r="AI382" s="71"/>
    </row>
    <row r="383" spans="2:35" x14ac:dyDescent="0.25">
      <c r="B383" s="279"/>
      <c r="G383" s="71"/>
      <c r="H383" s="70"/>
      <c r="I383" s="71"/>
      <c r="K383" s="71"/>
      <c r="L383" s="71"/>
      <c r="W383" s="5"/>
      <c r="AE383" s="69"/>
      <c r="AI383" s="71"/>
    </row>
    <row r="384" spans="2:35" x14ac:dyDescent="0.25">
      <c r="B384" s="279"/>
      <c r="G384" s="71"/>
      <c r="H384" s="70"/>
      <c r="I384" s="71"/>
      <c r="K384" s="71"/>
      <c r="L384" s="71"/>
      <c r="W384" s="5"/>
      <c r="AE384" s="69"/>
      <c r="AI384" s="71"/>
    </row>
    <row r="385" spans="2:35" x14ac:dyDescent="0.25">
      <c r="B385" s="279"/>
      <c r="G385" s="71"/>
      <c r="H385" s="70"/>
      <c r="I385" s="71"/>
      <c r="K385" s="71"/>
      <c r="L385" s="71"/>
      <c r="W385" s="5"/>
      <c r="AE385" s="69"/>
      <c r="AI385" s="71"/>
    </row>
    <row r="386" spans="2:35" x14ac:dyDescent="0.25">
      <c r="B386" s="279"/>
      <c r="G386" s="71"/>
      <c r="H386" s="70"/>
      <c r="I386" s="71"/>
      <c r="K386" s="71"/>
      <c r="L386" s="71"/>
      <c r="W386" s="5"/>
      <c r="AE386" s="69"/>
      <c r="AI386" s="71"/>
    </row>
    <row r="387" spans="2:35" x14ac:dyDescent="0.25">
      <c r="B387" s="279"/>
      <c r="G387" s="71"/>
      <c r="H387" s="70"/>
      <c r="I387" s="71"/>
      <c r="K387" s="71"/>
      <c r="L387" s="71"/>
      <c r="W387" s="5"/>
      <c r="AE387" s="69"/>
      <c r="AI387" s="71"/>
    </row>
    <row r="388" spans="2:35" x14ac:dyDescent="0.25">
      <c r="B388" s="279"/>
      <c r="G388" s="71"/>
      <c r="H388" s="70"/>
      <c r="I388" s="71"/>
      <c r="K388" s="71"/>
      <c r="L388" s="71"/>
      <c r="W388" s="5"/>
      <c r="AE388" s="69"/>
      <c r="AI388" s="71"/>
    </row>
    <row r="389" spans="2:35" x14ac:dyDescent="0.25">
      <c r="B389" s="279"/>
      <c r="G389" s="71"/>
      <c r="H389" s="70"/>
      <c r="I389" s="71"/>
      <c r="K389" s="71"/>
      <c r="L389" s="71"/>
      <c r="W389" s="5"/>
      <c r="AE389" s="69"/>
      <c r="AI389" s="71"/>
    </row>
    <row r="390" spans="2:35" x14ac:dyDescent="0.25">
      <c r="B390" s="279"/>
      <c r="G390" s="71"/>
      <c r="H390" s="70"/>
      <c r="I390" s="71"/>
      <c r="K390" s="71"/>
      <c r="L390" s="71"/>
      <c r="W390" s="5"/>
      <c r="AE390" s="69"/>
      <c r="AI390" s="71"/>
    </row>
    <row r="391" spans="2:35" x14ac:dyDescent="0.25">
      <c r="B391" s="279"/>
      <c r="G391" s="71"/>
      <c r="H391" s="70"/>
      <c r="I391" s="71"/>
      <c r="K391" s="71"/>
      <c r="L391" s="71"/>
      <c r="W391" s="5"/>
      <c r="AE391" s="69"/>
      <c r="AI391" s="71"/>
    </row>
    <row r="392" spans="2:35" x14ac:dyDescent="0.25">
      <c r="B392" s="279"/>
      <c r="G392" s="71"/>
      <c r="H392" s="70"/>
      <c r="I392" s="71"/>
      <c r="K392" s="71"/>
      <c r="L392" s="71"/>
      <c r="W392" s="5"/>
      <c r="AE392" s="69"/>
      <c r="AI392" s="71"/>
    </row>
    <row r="393" spans="2:35" x14ac:dyDescent="0.25">
      <c r="B393" s="279"/>
      <c r="G393" s="71"/>
      <c r="H393" s="70"/>
      <c r="I393" s="71"/>
      <c r="K393" s="71"/>
      <c r="L393" s="71"/>
      <c r="W393" s="5"/>
      <c r="AE393" s="69"/>
      <c r="AI393" s="71"/>
    </row>
    <row r="394" spans="2:35" x14ac:dyDescent="0.25">
      <c r="B394" s="279"/>
      <c r="G394" s="71"/>
      <c r="H394" s="70"/>
      <c r="I394" s="71"/>
      <c r="K394" s="71"/>
      <c r="L394" s="71"/>
      <c r="W394" s="5"/>
      <c r="AE394" s="69"/>
      <c r="AI394" s="71"/>
    </row>
    <row r="395" spans="2:35" x14ac:dyDescent="0.25">
      <c r="B395" s="279"/>
      <c r="G395" s="71"/>
      <c r="H395" s="70"/>
      <c r="I395" s="71"/>
      <c r="K395" s="71"/>
      <c r="L395" s="71"/>
      <c r="W395" s="5"/>
      <c r="AE395" s="69"/>
      <c r="AI395" s="71"/>
    </row>
    <row r="396" spans="2:35" x14ac:dyDescent="0.25">
      <c r="B396" s="279"/>
      <c r="G396" s="71"/>
      <c r="H396" s="70"/>
      <c r="I396" s="71"/>
      <c r="K396" s="71"/>
      <c r="L396" s="71"/>
      <c r="W396" s="5"/>
      <c r="AE396" s="69"/>
      <c r="AI396" s="71"/>
    </row>
    <row r="397" spans="2:35" x14ac:dyDescent="0.25">
      <c r="B397" s="279"/>
      <c r="G397" s="71"/>
      <c r="H397" s="70"/>
      <c r="I397" s="71"/>
      <c r="K397" s="71"/>
      <c r="L397" s="71"/>
      <c r="W397" s="5"/>
      <c r="AE397" s="69"/>
      <c r="AI397" s="71"/>
    </row>
    <row r="398" spans="2:35" x14ac:dyDescent="0.25">
      <c r="B398" s="279"/>
      <c r="G398" s="71"/>
      <c r="H398" s="70"/>
      <c r="I398" s="71"/>
      <c r="K398" s="71"/>
      <c r="L398" s="71"/>
      <c r="W398" s="5"/>
      <c r="AE398" s="69"/>
      <c r="AI398" s="71"/>
    </row>
    <row r="399" spans="2:35" x14ac:dyDescent="0.25">
      <c r="B399" s="279"/>
      <c r="G399" s="71"/>
      <c r="H399" s="70"/>
      <c r="I399" s="71"/>
      <c r="K399" s="71"/>
      <c r="L399" s="71"/>
      <c r="W399" s="5"/>
      <c r="AE399" s="69"/>
      <c r="AI399" s="71"/>
    </row>
    <row r="400" spans="2:35" x14ac:dyDescent="0.25">
      <c r="B400" s="279"/>
      <c r="G400" s="71"/>
      <c r="H400" s="70"/>
      <c r="I400" s="71"/>
      <c r="K400" s="71"/>
      <c r="L400" s="71"/>
      <c r="W400" s="5"/>
      <c r="AE400" s="69"/>
      <c r="AI400" s="71"/>
    </row>
    <row r="401" spans="2:35" x14ac:dyDescent="0.25">
      <c r="B401" s="279"/>
      <c r="G401" s="71"/>
      <c r="H401" s="70"/>
      <c r="I401" s="71"/>
      <c r="K401" s="71"/>
      <c r="L401" s="71"/>
      <c r="W401" s="5"/>
      <c r="AE401" s="69"/>
      <c r="AI401" s="71"/>
    </row>
    <row r="402" spans="2:35" x14ac:dyDescent="0.25">
      <c r="B402" s="279"/>
      <c r="G402" s="71"/>
      <c r="H402" s="70"/>
      <c r="I402" s="71"/>
      <c r="K402" s="71"/>
      <c r="L402" s="71"/>
      <c r="W402" s="5"/>
      <c r="AE402" s="69"/>
      <c r="AI402" s="71"/>
    </row>
    <row r="403" spans="2:35" x14ac:dyDescent="0.25">
      <c r="B403" s="279"/>
      <c r="G403" s="71"/>
      <c r="H403" s="70"/>
      <c r="I403" s="71"/>
      <c r="K403" s="71"/>
      <c r="L403" s="71"/>
      <c r="W403" s="5"/>
      <c r="AE403" s="69"/>
      <c r="AI403" s="71"/>
    </row>
    <row r="404" spans="2:35" x14ac:dyDescent="0.25">
      <c r="B404" s="279"/>
      <c r="G404" s="71"/>
      <c r="H404" s="70"/>
      <c r="I404" s="71"/>
      <c r="K404" s="71"/>
      <c r="L404" s="71"/>
      <c r="W404" s="5"/>
      <c r="AE404" s="69"/>
      <c r="AI404" s="71"/>
    </row>
    <row r="405" spans="2:35" x14ac:dyDescent="0.25">
      <c r="B405" s="279"/>
      <c r="G405" s="71"/>
      <c r="H405" s="70"/>
      <c r="I405" s="71"/>
      <c r="K405" s="71"/>
      <c r="L405" s="71"/>
      <c r="W405" s="5"/>
      <c r="AE405" s="69"/>
      <c r="AI405" s="71"/>
    </row>
    <row r="406" spans="2:35" x14ac:dyDescent="0.25">
      <c r="B406" s="279"/>
      <c r="G406" s="71"/>
      <c r="H406" s="70"/>
      <c r="I406" s="71"/>
      <c r="K406" s="71"/>
      <c r="L406" s="71"/>
      <c r="W406" s="5"/>
      <c r="AE406" s="69"/>
      <c r="AI406" s="71"/>
    </row>
    <row r="407" spans="2:35" x14ac:dyDescent="0.25">
      <c r="B407" s="279"/>
      <c r="G407" s="71"/>
      <c r="H407" s="70"/>
      <c r="I407" s="71"/>
      <c r="K407" s="71"/>
      <c r="L407" s="71"/>
      <c r="W407" s="5"/>
      <c r="AE407" s="69"/>
      <c r="AI407" s="71"/>
    </row>
    <row r="408" spans="2:35" x14ac:dyDescent="0.25">
      <c r="B408" s="279"/>
      <c r="G408" s="71"/>
      <c r="H408" s="70"/>
      <c r="I408" s="71"/>
      <c r="K408" s="71"/>
      <c r="L408" s="71"/>
      <c r="W408" s="5"/>
      <c r="AE408" s="69"/>
      <c r="AI408" s="71"/>
    </row>
    <row r="409" spans="2:35" x14ac:dyDescent="0.25">
      <c r="B409" s="279"/>
      <c r="G409" s="71"/>
      <c r="H409" s="70"/>
      <c r="I409" s="71"/>
      <c r="K409" s="71"/>
      <c r="L409" s="71"/>
      <c r="W409" s="5"/>
      <c r="AE409" s="69"/>
      <c r="AI409" s="71"/>
    </row>
    <row r="410" spans="2:35" x14ac:dyDescent="0.25">
      <c r="B410" s="279"/>
      <c r="G410" s="71"/>
      <c r="H410" s="70"/>
      <c r="I410" s="71"/>
      <c r="K410" s="71"/>
      <c r="L410" s="71"/>
      <c r="W410" s="5"/>
      <c r="AE410" s="69"/>
      <c r="AI410" s="71"/>
    </row>
    <row r="411" spans="2:35" x14ac:dyDescent="0.25">
      <c r="B411" s="279"/>
      <c r="G411" s="71"/>
      <c r="H411" s="70"/>
      <c r="I411" s="71"/>
      <c r="K411" s="71"/>
      <c r="L411" s="71"/>
      <c r="W411" s="5"/>
      <c r="AE411" s="69"/>
      <c r="AI411" s="71"/>
    </row>
    <row r="412" spans="2:35" x14ac:dyDescent="0.25">
      <c r="B412" s="279"/>
      <c r="G412" s="71"/>
      <c r="H412" s="70"/>
      <c r="I412" s="71"/>
      <c r="K412" s="71"/>
      <c r="L412" s="71"/>
      <c r="W412" s="5"/>
      <c r="AE412" s="69"/>
      <c r="AI412" s="71"/>
    </row>
    <row r="413" spans="2:35" x14ac:dyDescent="0.25">
      <c r="B413" s="279"/>
      <c r="G413" s="71"/>
      <c r="H413" s="70"/>
      <c r="I413" s="71"/>
      <c r="K413" s="71"/>
      <c r="L413" s="71"/>
      <c r="W413" s="5"/>
      <c r="AE413" s="69"/>
      <c r="AG413" s="69"/>
      <c r="AI413" s="71"/>
    </row>
    <row r="414" spans="2:35" x14ac:dyDescent="0.25">
      <c r="B414" s="279"/>
      <c r="G414" s="71"/>
      <c r="H414" s="70"/>
      <c r="I414" s="71"/>
      <c r="K414" s="71"/>
      <c r="L414" s="71"/>
      <c r="W414" s="5"/>
      <c r="AE414" s="69"/>
      <c r="AG414" s="69"/>
      <c r="AI414" s="71"/>
    </row>
    <row r="415" spans="2:35" x14ac:dyDescent="0.25">
      <c r="B415" s="279"/>
      <c r="G415" s="71"/>
      <c r="H415" s="70"/>
      <c r="I415" s="71"/>
      <c r="K415" s="71"/>
      <c r="L415" s="71"/>
      <c r="W415" s="5"/>
      <c r="AE415" s="69"/>
      <c r="AG415" s="69"/>
      <c r="AI415" s="71"/>
    </row>
    <row r="416" spans="2:35" x14ac:dyDescent="0.25">
      <c r="B416" s="279"/>
      <c r="G416" s="71"/>
      <c r="H416" s="70"/>
      <c r="I416" s="71"/>
      <c r="K416" s="71"/>
      <c r="L416" s="71"/>
      <c r="W416" s="5"/>
      <c r="AE416" s="69"/>
      <c r="AG416" s="69"/>
      <c r="AI416" s="71"/>
    </row>
    <row r="417" spans="2:10" x14ac:dyDescent="0.25">
      <c r="B417" s="279"/>
      <c r="G417" s="71"/>
      <c r="H417" s="70"/>
      <c r="I417" s="71"/>
    </row>
    <row r="418" spans="2:10" x14ac:dyDescent="0.25">
      <c r="B418" s="279"/>
      <c r="G418" s="71"/>
      <c r="H418" s="70"/>
      <c r="I418" s="71"/>
    </row>
    <row r="419" spans="2:10" x14ac:dyDescent="0.25">
      <c r="B419" s="279"/>
      <c r="G419" s="71"/>
      <c r="H419" s="70"/>
      <c r="I419" s="71"/>
    </row>
    <row r="420" spans="2:10" x14ac:dyDescent="0.25">
      <c r="B420" s="279"/>
      <c r="G420" s="71"/>
      <c r="H420" s="70"/>
      <c r="I420" s="71"/>
    </row>
    <row r="421" spans="2:10" x14ac:dyDescent="0.25">
      <c r="B421" s="279"/>
      <c r="G421" s="71"/>
      <c r="H421" s="70"/>
      <c r="I421" s="71"/>
    </row>
    <row r="422" spans="2:10" x14ac:dyDescent="0.25">
      <c r="B422" s="69"/>
      <c r="G422" s="71"/>
      <c r="H422" s="70"/>
      <c r="I422" s="71"/>
    </row>
    <row r="423" spans="2:10" x14ac:dyDescent="0.25">
      <c r="B423" s="69"/>
      <c r="G423" s="71"/>
      <c r="H423" s="70"/>
      <c r="I423" s="71"/>
    </row>
    <row r="424" spans="2:10" x14ac:dyDescent="0.25">
      <c r="B424" s="69"/>
      <c r="G424" s="71"/>
      <c r="H424" s="70"/>
      <c r="I424" s="71"/>
    </row>
    <row r="425" spans="2:10" x14ac:dyDescent="0.25">
      <c r="B425" s="69"/>
      <c r="G425" s="71"/>
      <c r="H425" s="70"/>
      <c r="I425" s="71"/>
    </row>
    <row r="426" spans="2:10" x14ac:dyDescent="0.25">
      <c r="B426" s="69"/>
      <c r="G426" s="71"/>
      <c r="H426" s="70"/>
      <c r="I426" s="71"/>
    </row>
    <row r="427" spans="2:10" x14ac:dyDescent="0.25">
      <c r="B427" s="69"/>
      <c r="G427" s="71"/>
      <c r="H427" s="70"/>
      <c r="I427" s="71"/>
    </row>
    <row r="428" spans="2:10" x14ac:dyDescent="0.25">
      <c r="B428" s="69"/>
      <c r="G428" s="71"/>
      <c r="H428" s="70"/>
      <c r="I428" s="71"/>
    </row>
    <row r="429" spans="2:10" x14ac:dyDescent="0.25">
      <c r="B429" s="69"/>
      <c r="G429" s="71"/>
      <c r="H429" s="70"/>
      <c r="I429" s="71"/>
    </row>
    <row r="430" spans="2:10" x14ac:dyDescent="0.25">
      <c r="B430" s="69"/>
      <c r="G430" s="71"/>
      <c r="H430" s="70"/>
      <c r="I430" s="71"/>
    </row>
    <row r="431" spans="2:10" x14ac:dyDescent="0.25">
      <c r="B431" s="69"/>
      <c r="G431" s="71"/>
      <c r="H431" s="70"/>
      <c r="I431" s="71"/>
      <c r="J431" s="71"/>
    </row>
    <row r="432" spans="2:10" x14ac:dyDescent="0.25">
      <c r="B432" s="69"/>
      <c r="G432" s="71"/>
      <c r="H432" s="70"/>
      <c r="I432" s="71"/>
      <c r="J432" s="71"/>
    </row>
    <row r="433" spans="2:10" x14ac:dyDescent="0.25">
      <c r="B433" s="69"/>
      <c r="G433" s="71"/>
      <c r="H433" s="70"/>
      <c r="I433" s="71"/>
      <c r="J433" s="71"/>
    </row>
    <row r="434" spans="2:10" x14ac:dyDescent="0.25">
      <c r="B434" s="69"/>
      <c r="G434" s="71"/>
      <c r="H434" s="70"/>
      <c r="I434" s="71"/>
      <c r="J434" s="71"/>
    </row>
    <row r="435" spans="2:10" x14ac:dyDescent="0.25">
      <c r="B435" s="69"/>
      <c r="G435" s="71"/>
      <c r="H435" s="70"/>
      <c r="I435" s="71"/>
      <c r="J435" s="71"/>
    </row>
    <row r="436" spans="2:10" x14ac:dyDescent="0.25">
      <c r="B436" s="69"/>
      <c r="G436" s="71"/>
      <c r="H436" s="70"/>
      <c r="I436" s="71"/>
      <c r="J436" s="71"/>
    </row>
    <row r="437" spans="2:10" x14ac:dyDescent="0.25">
      <c r="B437" s="69"/>
      <c r="G437" s="71"/>
      <c r="H437" s="70"/>
      <c r="I437" s="71"/>
      <c r="J437" s="71"/>
    </row>
    <row r="438" spans="2:10" x14ac:dyDescent="0.25">
      <c r="B438" s="69"/>
      <c r="G438" s="71"/>
      <c r="H438" s="70"/>
      <c r="I438" s="71"/>
      <c r="J438" s="71"/>
    </row>
    <row r="439" spans="2:10" x14ac:dyDescent="0.25">
      <c r="B439" s="69"/>
      <c r="G439" s="71"/>
      <c r="H439" s="70"/>
      <c r="I439" s="71"/>
      <c r="J439" s="71"/>
    </row>
    <row r="440" spans="2:10" x14ac:dyDescent="0.25">
      <c r="B440" s="69"/>
      <c r="G440" s="71"/>
      <c r="H440" s="70" t="str">
        <f>IFERROR(ExtrapBudget1[[#This Row],[Montant]]/VLOOKUP(ExtrapBudget1[[#This Row],[Cat_3]],TamponBudget1[],4,FALSE),"")</f>
        <v/>
      </c>
      <c r="I440" s="71"/>
      <c r="J440" s="71"/>
    </row>
    <row r="441" spans="2:10" x14ac:dyDescent="0.25">
      <c r="B441" s="69"/>
      <c r="G441" s="71"/>
      <c r="H441" s="70" t="str">
        <f>IFERROR(ExtrapBudget1[[#This Row],[Montant]]/VLOOKUP(ExtrapBudget1[[#This Row],[Cat_3]],TamponBudget1[],4,FALSE),"")</f>
        <v/>
      </c>
      <c r="I441" s="71"/>
      <c r="J441" s="71"/>
    </row>
    <row r="442" spans="2:10" x14ac:dyDescent="0.25">
      <c r="B442" s="69"/>
      <c r="G442" s="71"/>
      <c r="H442" s="70" t="str">
        <f>IFERROR(ExtrapBudget1[[#This Row],[Montant]]/VLOOKUP(ExtrapBudget1[[#This Row],[Cat_3]],TamponBudget1[],4,FALSE),"")</f>
        <v/>
      </c>
      <c r="I442" s="71"/>
      <c r="J442" s="71"/>
    </row>
    <row r="443" spans="2:10" x14ac:dyDescent="0.25">
      <c r="B443" s="69"/>
      <c r="G443" s="71"/>
      <c r="H443" s="70" t="str">
        <f>IFERROR(ExtrapBudget1[[#This Row],[Montant]]/VLOOKUP(ExtrapBudget1[[#This Row],[Cat_3]],TamponBudget1[],4,FALSE),"")</f>
        <v/>
      </c>
      <c r="I443" s="71"/>
      <c r="J443" s="71"/>
    </row>
    <row r="444" spans="2:10" x14ac:dyDescent="0.25">
      <c r="B444" s="69"/>
      <c r="G444" s="71"/>
      <c r="H444" s="70" t="str">
        <f>IFERROR(ExtrapBudget1[[#This Row],[Montant]]/VLOOKUP(ExtrapBudget1[[#This Row],[Cat_3]],TamponBudget1[],4,FALSE),"")</f>
        <v/>
      </c>
      <c r="I444" s="71"/>
      <c r="J444" s="71"/>
    </row>
    <row r="445" spans="2:10" x14ac:dyDescent="0.25">
      <c r="B445" s="69"/>
      <c r="G445" s="71"/>
      <c r="H445" s="70" t="str">
        <f>IFERROR(ExtrapBudget1[[#This Row],[Montant]]/VLOOKUP(ExtrapBudget1[[#This Row],[Cat_3]],TamponBudget1[],4,FALSE),"")</f>
        <v/>
      </c>
      <c r="I445" s="71"/>
      <c r="J445" s="71"/>
    </row>
    <row r="446" spans="2:10" x14ac:dyDescent="0.25">
      <c r="B446" s="69"/>
      <c r="G446" s="71"/>
      <c r="H446" s="70" t="str">
        <f>IFERROR(ExtrapBudget1[[#This Row],[Montant]]/VLOOKUP(ExtrapBudget1[[#This Row],[Cat_3]],TamponBudget1[],4,FALSE),"")</f>
        <v/>
      </c>
      <c r="I446" s="71"/>
      <c r="J446" s="71"/>
    </row>
    <row r="447" spans="2:10" x14ac:dyDescent="0.25">
      <c r="B447" s="69"/>
      <c r="G447" s="71"/>
      <c r="H447" s="70" t="str">
        <f>IFERROR(ExtrapBudget1[[#This Row],[Montant]]/VLOOKUP(ExtrapBudget1[[#This Row],[Cat_3]],TamponBudget1[],4,FALSE),"")</f>
        <v/>
      </c>
      <c r="I447" s="71"/>
      <c r="J447" s="71"/>
    </row>
    <row r="448" spans="2:10" x14ac:dyDescent="0.25">
      <c r="B448" s="69"/>
      <c r="G448" s="71"/>
      <c r="H448" s="70" t="str">
        <f>IFERROR(ExtrapBudget1[[#This Row],[Montant]]/VLOOKUP(ExtrapBudget1[[#This Row],[Cat_3]],TamponBudget1[],4,FALSE),"")</f>
        <v/>
      </c>
      <c r="I448" s="71"/>
      <c r="J448" s="71"/>
    </row>
    <row r="449" spans="2:10" x14ac:dyDescent="0.25">
      <c r="B449" s="69"/>
      <c r="G449" s="71"/>
      <c r="H449" s="70" t="str">
        <f>IFERROR(ExtrapBudget1[[#This Row],[Montant]]/VLOOKUP(ExtrapBudget1[[#This Row],[Cat_3]],TamponBudget1[],4,FALSE),"")</f>
        <v/>
      </c>
      <c r="I449" s="71"/>
      <c r="J449" s="71"/>
    </row>
    <row r="450" spans="2:10" x14ac:dyDescent="0.25">
      <c r="B450" s="69"/>
      <c r="G450" s="71"/>
      <c r="H450" s="70" t="str">
        <f>IFERROR(ExtrapBudget1[[#This Row],[Montant]]/VLOOKUP(ExtrapBudget1[[#This Row],[Cat_3]],TamponBudget1[],4,FALSE),"")</f>
        <v/>
      </c>
      <c r="I450" s="71"/>
      <c r="J450" s="71"/>
    </row>
    <row r="451" spans="2:10" x14ac:dyDescent="0.25">
      <c r="B451" s="69"/>
      <c r="G451" s="71"/>
      <c r="H451" s="70" t="str">
        <f>IFERROR(ExtrapBudget1[[#This Row],[Montant]]/VLOOKUP(ExtrapBudget1[[#This Row],[Cat_3]],TamponBudget1[],4,FALSE),"")</f>
        <v/>
      </c>
      <c r="I451" s="71"/>
      <c r="J451" s="71"/>
    </row>
    <row r="452" spans="2:10" x14ac:dyDescent="0.25">
      <c r="B452" s="69"/>
      <c r="G452" s="71"/>
      <c r="H452" s="70" t="str">
        <f>IFERROR(ExtrapBudget1[[#This Row],[Montant]]/VLOOKUP(ExtrapBudget1[[#This Row],[Cat_3]],TamponBudget1[],4,FALSE),"")</f>
        <v/>
      </c>
      <c r="I452" s="71"/>
      <c r="J452" s="71"/>
    </row>
    <row r="453" spans="2:10" x14ac:dyDescent="0.25">
      <c r="B453" s="69"/>
      <c r="G453" s="71"/>
      <c r="H453" s="70" t="str">
        <f>IFERROR(ExtrapBudget1[[#This Row],[Montant]]/VLOOKUP(ExtrapBudget1[[#This Row],[Cat_3]],TamponBudget1[],4,FALSE),"")</f>
        <v/>
      </c>
      <c r="I453" s="71"/>
      <c r="J453" s="71"/>
    </row>
    <row r="454" spans="2:10" x14ac:dyDescent="0.25">
      <c r="B454" s="69"/>
      <c r="G454" s="71"/>
      <c r="H454" s="70" t="str">
        <f>IFERROR(ExtrapBudget1[[#This Row],[Montant]]/VLOOKUP(ExtrapBudget1[[#This Row],[Cat_3]],TamponBudget1[],4,FALSE),"")</f>
        <v/>
      </c>
      <c r="I454" s="71"/>
      <c r="J454" s="71"/>
    </row>
    <row r="455" spans="2:10" x14ac:dyDescent="0.25">
      <c r="B455" s="69"/>
      <c r="G455" s="71"/>
      <c r="H455" s="70" t="str">
        <f>IFERROR(ExtrapBudget1[[#This Row],[Montant]]/VLOOKUP(ExtrapBudget1[[#This Row],[Cat_3]],TamponBudget1[],4,FALSE),"")</f>
        <v/>
      </c>
      <c r="I455" s="71"/>
      <c r="J455" s="71"/>
    </row>
    <row r="456" spans="2:10" x14ac:dyDescent="0.25">
      <c r="B456" s="69"/>
      <c r="G456" s="71"/>
      <c r="H456" s="70" t="str">
        <f>IFERROR(ExtrapBudget1[[#This Row],[Montant]]/VLOOKUP(ExtrapBudget1[[#This Row],[Cat_3]],TamponBudget1[],4,FALSE),"")</f>
        <v/>
      </c>
      <c r="I456" s="71"/>
      <c r="J456" s="71"/>
    </row>
    <row r="457" spans="2:10" x14ac:dyDescent="0.25">
      <c r="B457" s="69"/>
      <c r="G457" s="71"/>
      <c r="H457" s="70" t="str">
        <f>IFERROR(ExtrapBudget1[[#This Row],[Montant]]/VLOOKUP(ExtrapBudget1[[#This Row],[Cat_3]],TamponBudget1[],4,FALSE),"")</f>
        <v/>
      </c>
      <c r="I457" s="71"/>
      <c r="J457" s="71"/>
    </row>
    <row r="458" spans="2:10" x14ac:dyDescent="0.25">
      <c r="B458" s="69"/>
      <c r="G458" s="71"/>
      <c r="H458" s="70" t="str">
        <f>IFERROR(ExtrapBudget1[[#This Row],[Montant]]/VLOOKUP(ExtrapBudget1[[#This Row],[Cat_3]],TamponBudget1[],4,FALSE),"")</f>
        <v/>
      </c>
      <c r="I458" s="71"/>
      <c r="J458" s="71"/>
    </row>
    <row r="459" spans="2:10" x14ac:dyDescent="0.25">
      <c r="B459" s="69"/>
      <c r="G459" s="71"/>
      <c r="H459" s="70" t="str">
        <f>IFERROR(ExtrapBudget1[[#This Row],[Montant]]/VLOOKUP(ExtrapBudget1[[#This Row],[Cat_3]],TamponBudget1[],4,FALSE),"")</f>
        <v/>
      </c>
      <c r="I459" s="71"/>
      <c r="J459" s="71"/>
    </row>
    <row r="460" spans="2:10" x14ac:dyDescent="0.25">
      <c r="B460" s="69"/>
      <c r="G460" s="71"/>
      <c r="H460" s="70" t="str">
        <f>IFERROR(ExtrapBudget1[[#This Row],[Montant]]/VLOOKUP(ExtrapBudget1[[#This Row],[Cat_3]],TamponBudget1[],4,FALSE),"")</f>
        <v/>
      </c>
      <c r="I460" s="71"/>
      <c r="J460" s="71"/>
    </row>
    <row r="461" spans="2:10" x14ac:dyDescent="0.25">
      <c r="B461" s="69"/>
      <c r="G461" s="71"/>
      <c r="H461" s="70" t="str">
        <f>IFERROR(ExtrapBudget1[[#This Row],[Montant]]/VLOOKUP(ExtrapBudget1[[#This Row],[Cat_3]],TamponBudget1[],4,FALSE),"")</f>
        <v/>
      </c>
      <c r="I461" s="71"/>
      <c r="J461" s="71"/>
    </row>
    <row r="462" spans="2:10" x14ac:dyDescent="0.25">
      <c r="B462" s="69"/>
      <c r="G462" s="71"/>
      <c r="H462" s="70" t="str">
        <f>IFERROR(ExtrapBudget1[[#This Row],[Montant]]/VLOOKUP(ExtrapBudget1[[#This Row],[Cat_3]],TamponBudget1[],4,FALSE),"")</f>
        <v/>
      </c>
      <c r="I462" s="71"/>
      <c r="J462" s="71"/>
    </row>
    <row r="463" spans="2:10" x14ac:dyDescent="0.25">
      <c r="B463" s="69"/>
      <c r="G463" s="71"/>
      <c r="H463" s="70" t="str">
        <f>IFERROR(ExtrapBudget1[[#This Row],[Montant]]/VLOOKUP(ExtrapBudget1[[#This Row],[Cat_3]],TamponBudget1[],4,FALSE),"")</f>
        <v/>
      </c>
      <c r="I463" s="71"/>
      <c r="J463" s="71"/>
    </row>
    <row r="464" spans="2:10" x14ac:dyDescent="0.25">
      <c r="B464" s="69"/>
      <c r="G464" s="71"/>
      <c r="H464" s="70" t="str">
        <f>IFERROR(ExtrapBudget1[[#This Row],[Montant]]/VLOOKUP(ExtrapBudget1[[#This Row],[Cat_3]],TamponBudget1[],4,FALSE),"")</f>
        <v/>
      </c>
      <c r="I464" s="71"/>
      <c r="J464" s="71"/>
    </row>
    <row r="465" spans="2:23" x14ac:dyDescent="0.25">
      <c r="B465" s="69"/>
      <c r="G465" s="71"/>
      <c r="H465" s="70" t="str">
        <f>IFERROR(ExtrapBudget1[[#This Row],[Montant]]/VLOOKUP(ExtrapBudget1[[#This Row],[Cat_3]],TamponBudget1[],4,FALSE),"")</f>
        <v/>
      </c>
      <c r="I465" s="71"/>
      <c r="J465" s="71"/>
      <c r="K465" s="71"/>
      <c r="L465" s="71"/>
      <c r="W465" s="5"/>
    </row>
    <row r="466" spans="2:23" x14ac:dyDescent="0.25">
      <c r="B466" s="69"/>
      <c r="G466" s="71"/>
      <c r="H466" s="70" t="str">
        <f>IFERROR(ExtrapBudget1[[#This Row],[Montant]]/VLOOKUP(ExtrapBudget1[[#This Row],[Cat_3]],TamponBudget1[],4,FALSE),"")</f>
        <v/>
      </c>
      <c r="I466" s="71"/>
      <c r="J466" s="71"/>
      <c r="K466" s="71"/>
      <c r="L466" s="71"/>
      <c r="W466" s="5"/>
    </row>
    <row r="467" spans="2:23" x14ac:dyDescent="0.25">
      <c r="B467" s="69"/>
      <c r="G467" s="71"/>
      <c r="H467" s="70" t="str">
        <f>IFERROR(ExtrapBudget1[[#This Row],[Montant]]/VLOOKUP(ExtrapBudget1[[#This Row],[Cat_3]],TamponBudget1[],4,FALSE),"")</f>
        <v/>
      </c>
      <c r="I467" s="71"/>
      <c r="J467" s="71"/>
      <c r="K467" s="71"/>
      <c r="L467" s="71"/>
      <c r="W467" s="5"/>
    </row>
    <row r="468" spans="2:23" x14ac:dyDescent="0.25">
      <c r="B468" s="69"/>
      <c r="G468" s="71"/>
      <c r="H468" s="70" t="str">
        <f>IFERROR(ExtrapBudget1[[#This Row],[Montant]]/VLOOKUP(ExtrapBudget1[[#This Row],[Cat_3]],TamponBudget1[],4,FALSE),"")</f>
        <v/>
      </c>
      <c r="I468" s="71"/>
      <c r="J468" s="71"/>
      <c r="K468" s="71"/>
      <c r="L468" s="71"/>
      <c r="W468" s="5"/>
    </row>
    <row r="469" spans="2:23" x14ac:dyDescent="0.25">
      <c r="B469" s="69"/>
      <c r="G469" s="71"/>
      <c r="H469" s="70" t="str">
        <f>IFERROR(ExtrapBudget1[[#This Row],[Montant]]/VLOOKUP(ExtrapBudget1[[#This Row],[Cat_3]],TamponBudget1[],4,FALSE),"")</f>
        <v/>
      </c>
      <c r="I469" s="71"/>
      <c r="J469" s="71"/>
      <c r="K469" s="71"/>
      <c r="L469" s="71"/>
      <c r="W469" s="5"/>
    </row>
    <row r="470" spans="2:23" x14ac:dyDescent="0.25">
      <c r="B470" s="69"/>
      <c r="G470" s="71"/>
      <c r="H470" s="70" t="str">
        <f>IFERROR(ExtrapBudget1[[#This Row],[Montant]]/VLOOKUP(ExtrapBudget1[[#This Row],[Cat_3]],TamponBudget1[],4,FALSE),"")</f>
        <v/>
      </c>
      <c r="I470" s="71"/>
      <c r="J470" s="71"/>
      <c r="K470" s="71"/>
      <c r="L470" s="71"/>
      <c r="W470" s="5"/>
    </row>
    <row r="471" spans="2:23" x14ac:dyDescent="0.25">
      <c r="B471" s="69"/>
      <c r="G471" s="71"/>
      <c r="H471" s="70" t="str">
        <f>IFERROR(ExtrapBudget1[[#This Row],[Montant]]/VLOOKUP(ExtrapBudget1[[#This Row],[Cat_3]],TamponBudget1[],4,FALSE),"")</f>
        <v/>
      </c>
      <c r="I471" s="71"/>
      <c r="J471" s="71"/>
      <c r="K471" s="71"/>
      <c r="L471" s="71"/>
      <c r="W471" s="5"/>
    </row>
    <row r="472" spans="2:23" x14ac:dyDescent="0.25">
      <c r="B472" s="69"/>
      <c r="G472" s="71"/>
      <c r="H472" s="70" t="str">
        <f>IFERROR(ExtrapBudget1[[#This Row],[Montant]]/VLOOKUP(ExtrapBudget1[[#This Row],[Cat_3]],TamponBudget1[],4,FALSE),"")</f>
        <v/>
      </c>
      <c r="I472" s="71"/>
      <c r="J472" s="71"/>
      <c r="K472" s="71"/>
      <c r="L472" s="71"/>
      <c r="W472" s="5"/>
    </row>
    <row r="473" spans="2:23" x14ac:dyDescent="0.25">
      <c r="B473" s="69"/>
      <c r="G473" s="71"/>
      <c r="H473" s="70" t="str">
        <f>IFERROR(ExtrapBudget1[[#This Row],[Montant]]/VLOOKUP(ExtrapBudget1[[#This Row],[Cat_3]],TamponBudget1[],4,FALSE),"")</f>
        <v/>
      </c>
      <c r="I473" s="71"/>
      <c r="J473" s="71"/>
      <c r="K473" s="71"/>
      <c r="L473" s="71"/>
      <c r="W473" s="5"/>
    </row>
    <row r="474" spans="2:23" x14ac:dyDescent="0.25">
      <c r="B474" s="69"/>
      <c r="G474" s="71"/>
      <c r="H474" s="70" t="str">
        <f>IFERROR(ExtrapBudget1[[#This Row],[Montant]]/VLOOKUP(ExtrapBudget1[[#This Row],[Cat_3]],TamponBudget1[],4,FALSE),"")</f>
        <v/>
      </c>
      <c r="I474" s="71"/>
      <c r="J474" s="71"/>
      <c r="K474" s="71"/>
      <c r="L474" s="71"/>
      <c r="W474" s="5"/>
    </row>
    <row r="475" spans="2:23" x14ac:dyDescent="0.25">
      <c r="B475" s="69"/>
      <c r="G475" s="71"/>
      <c r="H475" s="70" t="str">
        <f>IFERROR(ExtrapBudget1[[#This Row],[Montant]]/VLOOKUP(ExtrapBudget1[[#This Row],[Cat_3]],TamponBudget1[],4,FALSE),"")</f>
        <v/>
      </c>
      <c r="I475" s="71"/>
      <c r="J475" s="71"/>
      <c r="K475" s="71"/>
      <c r="L475" s="71"/>
      <c r="W475" s="5"/>
    </row>
    <row r="476" spans="2:23" x14ac:dyDescent="0.25">
      <c r="B476" s="69"/>
      <c r="G476" s="71"/>
      <c r="H476" s="70" t="str">
        <f>IFERROR(ExtrapBudget1[[#This Row],[Montant]]/VLOOKUP(ExtrapBudget1[[#This Row],[Cat_3]],TamponBudget1[],4,FALSE),"")</f>
        <v/>
      </c>
      <c r="I476" s="71"/>
      <c r="J476" s="71"/>
      <c r="K476" s="71"/>
      <c r="L476" s="71"/>
      <c r="W476" s="5"/>
    </row>
    <row r="477" spans="2:23" x14ac:dyDescent="0.25">
      <c r="B477" s="69"/>
      <c r="G477" s="71"/>
      <c r="H477" s="70" t="str">
        <f>IFERROR(ExtrapBudget1[[#This Row],[Montant]]/VLOOKUP(ExtrapBudget1[[#This Row],[Cat_3]],TamponBudget1[],4,FALSE),"")</f>
        <v/>
      </c>
      <c r="I477" s="71"/>
      <c r="J477" s="71"/>
      <c r="K477" s="71"/>
      <c r="L477" s="71"/>
      <c r="W477" s="5"/>
    </row>
    <row r="478" spans="2:23" x14ac:dyDescent="0.25">
      <c r="B478" s="69"/>
      <c r="G478" s="71"/>
      <c r="H478" s="70" t="str">
        <f>IFERROR(ExtrapBudget1[[#This Row],[Montant]]/VLOOKUP(ExtrapBudget1[[#This Row],[Cat_3]],TamponBudget1[],4,FALSE),"")</f>
        <v/>
      </c>
      <c r="I478" s="71"/>
      <c r="J478" s="71"/>
      <c r="K478" s="71"/>
      <c r="L478" s="71"/>
      <c r="W478" s="5"/>
    </row>
    <row r="479" spans="2:23" x14ac:dyDescent="0.25">
      <c r="B479" s="69"/>
      <c r="G479" s="71"/>
      <c r="H479" s="70" t="str">
        <f>IFERROR(ExtrapBudget1[[#This Row],[Montant]]/VLOOKUP(ExtrapBudget1[[#This Row],[Cat_3]],TamponBudget1[],4,FALSE),"")</f>
        <v/>
      </c>
      <c r="I479" s="71"/>
      <c r="J479" s="71"/>
      <c r="K479" s="71"/>
      <c r="L479" s="71"/>
      <c r="W479" s="5"/>
    </row>
    <row r="480" spans="2:23" x14ac:dyDescent="0.25">
      <c r="B480" s="69"/>
      <c r="G480" s="71"/>
      <c r="H480" s="70" t="str">
        <f>IFERROR(ExtrapBudget1[[#This Row],[Montant]]/VLOOKUP(ExtrapBudget1[[#This Row],[Cat_3]],TamponBudget1[],4,FALSE),"")</f>
        <v/>
      </c>
      <c r="I480" s="71"/>
      <c r="J480" s="71"/>
      <c r="K480" s="71"/>
      <c r="L480" s="71"/>
      <c r="W480" s="5"/>
    </row>
    <row r="481" spans="2:23" x14ac:dyDescent="0.25">
      <c r="B481" s="69"/>
      <c r="G481" s="71"/>
      <c r="H481" s="70" t="str">
        <f>IFERROR(ExtrapBudget1[[#This Row],[Montant]]/VLOOKUP(ExtrapBudget1[[#This Row],[Cat_3]],TamponBudget1[],4,FALSE),"")</f>
        <v/>
      </c>
      <c r="I481" s="71"/>
      <c r="J481" s="71"/>
      <c r="K481" s="71"/>
      <c r="L481" s="71"/>
      <c r="W481" s="5"/>
    </row>
    <row r="482" spans="2:23" x14ac:dyDescent="0.25">
      <c r="B482" s="69"/>
      <c r="G482" s="71"/>
      <c r="H482" s="70" t="str">
        <f>IFERROR(ExtrapBudget1[[#This Row],[Montant]]/VLOOKUP(ExtrapBudget1[[#This Row],[Cat_3]],TamponBudget1[],4,FALSE),"")</f>
        <v/>
      </c>
      <c r="I482" s="71"/>
      <c r="J482" s="71"/>
      <c r="K482" s="71"/>
      <c r="L482" s="71"/>
      <c r="W482" s="5"/>
    </row>
    <row r="483" spans="2:23" x14ac:dyDescent="0.25">
      <c r="B483" s="69"/>
      <c r="G483" s="71"/>
      <c r="H483" s="70" t="str">
        <f>IFERROR(ExtrapBudget1[[#This Row],[Montant]]/VLOOKUP(ExtrapBudget1[[#This Row],[Cat_3]],TamponBudget1[],4,FALSE),"")</f>
        <v/>
      </c>
      <c r="I483" s="71"/>
      <c r="J483" s="71"/>
      <c r="K483" s="71"/>
      <c r="L483" s="71"/>
      <c r="W483" s="5"/>
    </row>
    <row r="484" spans="2:23" x14ac:dyDescent="0.25">
      <c r="B484" s="69"/>
      <c r="G484" s="71"/>
      <c r="H484" s="70" t="str">
        <f>IFERROR(ExtrapBudget1[[#This Row],[Montant]]/VLOOKUP(ExtrapBudget1[[#This Row],[Cat_3]],TamponBudget1[],4,FALSE),"")</f>
        <v/>
      </c>
      <c r="I484" s="71"/>
      <c r="J484" s="71"/>
      <c r="K484" s="71"/>
      <c r="L484" s="71"/>
      <c r="W484" s="5"/>
    </row>
    <row r="485" spans="2:23" x14ac:dyDescent="0.25">
      <c r="B485" s="69"/>
      <c r="G485" s="71"/>
      <c r="H485" s="70" t="str">
        <f>IFERROR(ExtrapBudget1[[#This Row],[Montant]]/VLOOKUP(ExtrapBudget1[[#This Row],[Cat_3]],TamponBudget1[],4,FALSE),"")</f>
        <v/>
      </c>
      <c r="I485" s="71"/>
      <c r="J485" s="71"/>
      <c r="K485" s="71"/>
      <c r="L485" s="71"/>
      <c r="W485" s="5"/>
    </row>
    <row r="486" spans="2:23" x14ac:dyDescent="0.25">
      <c r="B486" s="69"/>
      <c r="G486" s="71"/>
      <c r="H486" s="70" t="str">
        <f>IFERROR(ExtrapBudget1[[#This Row],[Montant]]/VLOOKUP(ExtrapBudget1[[#This Row],[Cat_3]],TamponBudget1[],4,FALSE),"")</f>
        <v/>
      </c>
      <c r="I486" s="71"/>
      <c r="J486" s="71"/>
      <c r="K486" s="71"/>
      <c r="L486" s="71"/>
      <c r="W486" s="5"/>
    </row>
    <row r="487" spans="2:23" x14ac:dyDescent="0.25">
      <c r="B487" s="69"/>
      <c r="G487" s="71"/>
      <c r="H487" s="70" t="str">
        <f>IFERROR(ExtrapBudget1[[#This Row],[Montant]]/VLOOKUP(ExtrapBudget1[[#This Row],[Cat_3]],TamponBudget1[],4,FALSE),"")</f>
        <v/>
      </c>
      <c r="I487" s="71"/>
      <c r="J487" s="71"/>
      <c r="K487" s="71"/>
      <c r="L487" s="71"/>
      <c r="W487" s="5"/>
    </row>
    <row r="488" spans="2:23" x14ac:dyDescent="0.25">
      <c r="B488" s="69"/>
      <c r="G488" s="71"/>
      <c r="H488" s="70" t="str">
        <f>IFERROR(ExtrapBudget1[[#This Row],[Montant]]/VLOOKUP(ExtrapBudget1[[#This Row],[Cat_3]],TamponBudget1[],4,FALSE),"")</f>
        <v/>
      </c>
      <c r="I488" s="71"/>
      <c r="J488" s="71"/>
      <c r="K488" s="71"/>
      <c r="L488" s="71"/>
      <c r="W488" s="5"/>
    </row>
    <row r="489" spans="2:23" x14ac:dyDescent="0.25">
      <c r="B489" s="69"/>
      <c r="G489" s="71"/>
      <c r="H489" s="70" t="str">
        <f>IFERROR(ExtrapBudget1[[#This Row],[Montant]]/VLOOKUP(ExtrapBudget1[[#This Row],[Cat_3]],TamponBudget1[],4,FALSE),"")</f>
        <v/>
      </c>
      <c r="I489" s="71"/>
      <c r="J489" s="71"/>
      <c r="K489" s="71"/>
      <c r="L489" s="71"/>
      <c r="W489" s="5"/>
    </row>
    <row r="490" spans="2:23" x14ac:dyDescent="0.25">
      <c r="B490" s="69"/>
      <c r="G490" s="71"/>
      <c r="H490" s="70" t="str">
        <f>IFERROR(ExtrapBudget1[[#This Row],[Montant]]/VLOOKUP(ExtrapBudget1[[#This Row],[Cat_3]],TamponBudget1[],4,FALSE),"")</f>
        <v/>
      </c>
      <c r="I490" s="71"/>
      <c r="J490" s="71"/>
      <c r="K490" s="71"/>
      <c r="L490" s="71"/>
      <c r="W490" s="5"/>
    </row>
    <row r="491" spans="2:23" x14ac:dyDescent="0.25">
      <c r="B491" s="69"/>
      <c r="G491" s="71"/>
      <c r="H491" s="70" t="str">
        <f>IFERROR(ExtrapBudget1[[#This Row],[Montant]]/VLOOKUP(ExtrapBudget1[[#This Row],[Cat_3]],TamponBudget1[],4,FALSE),"")</f>
        <v/>
      </c>
      <c r="I491" s="71"/>
      <c r="J491" s="71"/>
      <c r="K491" s="71"/>
      <c r="L491" s="71"/>
      <c r="W491" s="5"/>
    </row>
    <row r="492" spans="2:23" x14ac:dyDescent="0.25">
      <c r="B492" s="69"/>
      <c r="G492" s="71"/>
      <c r="H492" s="70" t="str">
        <f>IFERROR(ExtrapBudget1[[#This Row],[Montant]]/VLOOKUP(ExtrapBudget1[[#This Row],[Cat_3]],TamponBudget1[],4,FALSE),"")</f>
        <v/>
      </c>
      <c r="I492" s="71"/>
      <c r="J492" s="71"/>
      <c r="K492" s="71"/>
      <c r="L492" s="71"/>
      <c r="W492" s="5"/>
    </row>
    <row r="493" spans="2:23" x14ac:dyDescent="0.25">
      <c r="B493" s="69"/>
      <c r="G493" s="71"/>
      <c r="H493" s="70" t="str">
        <f>IFERROR(ExtrapBudget1[[#This Row],[Montant]]/VLOOKUP(ExtrapBudget1[[#This Row],[Cat_3]],TamponBudget1[],4,FALSE),"")</f>
        <v/>
      </c>
      <c r="I493" s="71"/>
      <c r="J493" s="71"/>
      <c r="K493" s="71"/>
      <c r="L493" s="71"/>
      <c r="W493" s="5"/>
    </row>
    <row r="494" spans="2:23" x14ac:dyDescent="0.25">
      <c r="B494" s="69"/>
      <c r="G494" s="71"/>
      <c r="H494" s="70" t="str">
        <f>IFERROR(ExtrapBudget1[[#This Row],[Montant]]/VLOOKUP(ExtrapBudget1[[#This Row],[Cat_3]],TamponBudget1[],4,FALSE),"")</f>
        <v/>
      </c>
      <c r="I494" s="71"/>
      <c r="J494" s="71"/>
      <c r="K494" s="71"/>
      <c r="L494" s="71"/>
      <c r="W494" s="5"/>
    </row>
    <row r="495" spans="2:23" x14ac:dyDescent="0.25">
      <c r="B495" s="69"/>
      <c r="G495" s="71"/>
      <c r="H495" s="70" t="str">
        <f>IFERROR(ExtrapBudget1[[#This Row],[Montant]]/VLOOKUP(ExtrapBudget1[[#This Row],[Cat_3]],TamponBudget1[],4,FALSE),"")</f>
        <v/>
      </c>
      <c r="I495" s="71"/>
      <c r="J495" s="71"/>
      <c r="K495" s="71"/>
      <c r="L495" s="71"/>
      <c r="W495" s="5"/>
    </row>
    <row r="496" spans="2:23" x14ac:dyDescent="0.25">
      <c r="B496" s="69"/>
      <c r="G496" s="71"/>
      <c r="H496" s="70" t="str">
        <f>IFERROR(ExtrapBudget1[[#This Row],[Montant]]/VLOOKUP(ExtrapBudget1[[#This Row],[Cat_3]],TamponBudget1[],4,FALSE),"")</f>
        <v/>
      </c>
      <c r="I496" s="71"/>
      <c r="J496" s="71"/>
      <c r="K496" s="71"/>
      <c r="L496" s="71"/>
      <c r="W496" s="5"/>
    </row>
    <row r="497" spans="2:23" x14ac:dyDescent="0.25">
      <c r="B497" s="69"/>
      <c r="G497" s="71"/>
      <c r="H497" s="70" t="str">
        <f>IFERROR(ExtrapBudget1[[#This Row],[Montant]]/VLOOKUP(ExtrapBudget1[[#This Row],[Cat_3]],TamponBudget1[],4,FALSE),"")</f>
        <v/>
      </c>
      <c r="I497" s="71"/>
      <c r="J497" s="71"/>
      <c r="K497" s="71"/>
      <c r="L497" s="71"/>
      <c r="W497" s="5"/>
    </row>
    <row r="498" spans="2:23" x14ac:dyDescent="0.25">
      <c r="B498" s="69"/>
      <c r="G498" s="71"/>
      <c r="H498" s="70" t="str">
        <f>IFERROR(ExtrapBudget1[[#This Row],[Montant]]/VLOOKUP(ExtrapBudget1[[#This Row],[Cat_3]],TamponBudget1[],4,FALSE),"")</f>
        <v/>
      </c>
      <c r="I498" s="71"/>
      <c r="J498" s="71"/>
      <c r="K498" s="71"/>
      <c r="L498" s="71"/>
      <c r="W498" s="5"/>
    </row>
    <row r="499" spans="2:23" x14ac:dyDescent="0.25">
      <c r="B499" s="69"/>
      <c r="G499" s="71"/>
      <c r="H499" s="70" t="str">
        <f>IFERROR(ExtrapBudget1[[#This Row],[Montant]]/VLOOKUP(ExtrapBudget1[[#This Row],[Cat_3]],TamponBudget1[],4,FALSE),"")</f>
        <v/>
      </c>
      <c r="I499" s="71"/>
      <c r="J499" s="71"/>
      <c r="K499" s="71"/>
      <c r="L499" s="71"/>
      <c r="W499" s="5"/>
    </row>
    <row r="500" spans="2:23" x14ac:dyDescent="0.25">
      <c r="B500" s="69"/>
      <c r="G500" s="71"/>
      <c r="I500" s="71"/>
      <c r="J500" s="71"/>
      <c r="K500" s="71"/>
      <c r="L500" s="71"/>
      <c r="W500" s="5"/>
    </row>
    <row r="501" spans="2:23" x14ac:dyDescent="0.25">
      <c r="B501" s="69"/>
      <c r="G501" s="71"/>
      <c r="I501" s="71"/>
      <c r="J501" s="71"/>
      <c r="K501" s="71"/>
      <c r="L501" s="71"/>
      <c r="W501" s="5"/>
    </row>
    <row r="502" spans="2:23" x14ac:dyDescent="0.25">
      <c r="B502" s="69"/>
      <c r="G502" s="71"/>
      <c r="I502" s="71"/>
      <c r="J502" s="71"/>
      <c r="K502" s="71"/>
      <c r="L502" s="71"/>
      <c r="W502" s="5"/>
    </row>
    <row r="503" spans="2:23" x14ac:dyDescent="0.25">
      <c r="B503" s="69"/>
      <c r="G503" s="71"/>
      <c r="I503" s="71"/>
      <c r="J503" s="71"/>
      <c r="K503" s="71"/>
      <c r="L503" s="71"/>
      <c r="W503" s="5"/>
    </row>
    <row r="504" spans="2:23" x14ac:dyDescent="0.25">
      <c r="B504" s="69"/>
      <c r="G504" s="71"/>
      <c r="I504" s="71"/>
      <c r="J504" s="71"/>
      <c r="K504" s="71"/>
      <c r="L504" s="71"/>
      <c r="W504" s="5"/>
    </row>
    <row r="505" spans="2:23" x14ac:dyDescent="0.25">
      <c r="B505" s="69"/>
      <c r="G505" s="71"/>
      <c r="I505" s="71"/>
      <c r="J505" s="71"/>
      <c r="K505" s="71"/>
      <c r="L505" s="71"/>
      <c r="W505" s="5"/>
    </row>
    <row r="506" spans="2:23" x14ac:dyDescent="0.25">
      <c r="B506" s="69"/>
      <c r="G506" s="71"/>
      <c r="I506" s="71"/>
      <c r="J506" s="71"/>
      <c r="K506" s="71"/>
      <c r="L506" s="71"/>
      <c r="W506" s="5"/>
    </row>
    <row r="507" spans="2:23" x14ac:dyDescent="0.25">
      <c r="B507" s="69"/>
      <c r="G507" s="71"/>
      <c r="I507" s="71"/>
      <c r="J507" s="71"/>
      <c r="K507" s="71"/>
      <c r="L507" s="71"/>
      <c r="W507" s="5"/>
    </row>
    <row r="508" spans="2:23" x14ac:dyDescent="0.25">
      <c r="B508" s="69"/>
      <c r="G508" s="71"/>
      <c r="I508" s="71"/>
      <c r="J508" s="71"/>
      <c r="K508" s="71"/>
      <c r="L508" s="71"/>
      <c r="W508" s="5"/>
    </row>
    <row r="509" spans="2:23" x14ac:dyDescent="0.25">
      <c r="B509" s="69"/>
      <c r="G509" s="71"/>
      <c r="I509" s="71"/>
      <c r="J509" s="71"/>
      <c r="K509" s="71"/>
      <c r="L509" s="71"/>
      <c r="W509" s="5"/>
    </row>
    <row r="510" spans="2:23" x14ac:dyDescent="0.25">
      <c r="B510" s="69"/>
      <c r="G510" s="71"/>
      <c r="I510" s="71"/>
      <c r="J510" s="71"/>
      <c r="K510" s="71"/>
      <c r="L510" s="71"/>
      <c r="W510" s="5"/>
    </row>
    <row r="511" spans="2:23" x14ac:dyDescent="0.25">
      <c r="B511" s="69"/>
      <c r="G511" s="71"/>
      <c r="I511" s="71"/>
      <c r="J511" s="71"/>
      <c r="K511" s="71"/>
      <c r="L511" s="71"/>
      <c r="W511" s="5"/>
    </row>
    <row r="512" spans="2:23" x14ac:dyDescent="0.25">
      <c r="B512" s="69"/>
      <c r="G512" s="71"/>
      <c r="I512" s="71"/>
      <c r="J512" s="71"/>
      <c r="K512" s="71"/>
      <c r="L512" s="71"/>
      <c r="W512" s="5"/>
    </row>
    <row r="513" spans="2:23" x14ac:dyDescent="0.25">
      <c r="B513" s="69"/>
      <c r="G513" s="71"/>
      <c r="I513" s="71"/>
      <c r="J513" s="71"/>
      <c r="K513" s="71"/>
      <c r="L513" s="71"/>
      <c r="W513" s="5"/>
    </row>
    <row r="514" spans="2:23" x14ac:dyDescent="0.25">
      <c r="B514" s="69"/>
      <c r="G514" s="71"/>
      <c r="I514" s="71"/>
      <c r="J514" s="71"/>
      <c r="K514" s="71"/>
      <c r="L514" s="71"/>
      <c r="W514" s="5"/>
    </row>
    <row r="515" spans="2:23" x14ac:dyDescent="0.25">
      <c r="B515" s="69"/>
      <c r="G515" s="71"/>
      <c r="I515" s="71"/>
      <c r="J515" s="71"/>
      <c r="K515" s="71"/>
      <c r="L515" s="71"/>
      <c r="W515" s="5"/>
    </row>
    <row r="516" spans="2:23" x14ac:dyDescent="0.25">
      <c r="B516" s="69"/>
      <c r="G516" s="71"/>
      <c r="I516" s="71"/>
      <c r="J516" s="71"/>
      <c r="K516" s="71"/>
      <c r="L516" s="71"/>
      <c r="W516" s="5"/>
    </row>
    <row r="517" spans="2:23" x14ac:dyDescent="0.25">
      <c r="B517" s="69"/>
      <c r="G517" s="71"/>
      <c r="I517" s="71"/>
      <c r="J517" s="71"/>
      <c r="K517" s="71"/>
      <c r="L517" s="71"/>
      <c r="W517" s="5"/>
    </row>
    <row r="518" spans="2:23" x14ac:dyDescent="0.25">
      <c r="B518" s="69"/>
      <c r="G518" s="71"/>
      <c r="I518" s="71"/>
      <c r="J518" s="71"/>
      <c r="K518" s="71"/>
      <c r="L518" s="71"/>
      <c r="W518" s="5"/>
    </row>
    <row r="519" spans="2:23" x14ac:dyDescent="0.25">
      <c r="B519" s="69"/>
      <c r="G519" s="71"/>
      <c r="I519" s="71"/>
      <c r="J519" s="71"/>
      <c r="K519" s="71"/>
      <c r="L519" s="71"/>
      <c r="W519" s="5"/>
    </row>
    <row r="520" spans="2:23" x14ac:dyDescent="0.25">
      <c r="B520" s="69"/>
      <c r="G520" s="71"/>
      <c r="I520" s="71"/>
      <c r="J520" s="71"/>
      <c r="K520" s="71"/>
      <c r="L520" s="71"/>
      <c r="W520" s="5"/>
    </row>
    <row r="521" spans="2:23" x14ac:dyDescent="0.25">
      <c r="B521" s="69"/>
      <c r="G521" s="71"/>
      <c r="I521" s="71"/>
      <c r="J521" s="71"/>
      <c r="K521" s="71"/>
      <c r="L521" s="71"/>
      <c r="W521" s="5"/>
    </row>
    <row r="522" spans="2:23" x14ac:dyDescent="0.25">
      <c r="B522" s="69"/>
      <c r="G522" s="71"/>
      <c r="I522" s="71"/>
      <c r="J522" s="71"/>
      <c r="K522" s="71"/>
      <c r="L522" s="71"/>
      <c r="W522" s="5"/>
    </row>
    <row r="523" spans="2:23" x14ac:dyDescent="0.25">
      <c r="B523" s="69"/>
      <c r="G523" s="71"/>
      <c r="I523" s="71"/>
      <c r="J523" s="71"/>
      <c r="K523" s="71"/>
      <c r="L523" s="71"/>
      <c r="W523" s="5"/>
    </row>
    <row r="524" spans="2:23" x14ac:dyDescent="0.25">
      <c r="B524" s="69"/>
      <c r="G524" s="71"/>
      <c r="I524" s="71"/>
      <c r="J524" s="71"/>
      <c r="K524" s="71"/>
      <c r="L524" s="71"/>
      <c r="W524" s="5"/>
    </row>
    <row r="525" spans="2:23" x14ac:dyDescent="0.25">
      <c r="B525" s="69"/>
      <c r="G525" s="71"/>
      <c r="I525" s="71"/>
      <c r="J525" s="71"/>
      <c r="K525" s="71"/>
      <c r="L525" s="71"/>
      <c r="W525" s="5"/>
    </row>
    <row r="526" spans="2:23" x14ac:dyDescent="0.25">
      <c r="B526" s="69"/>
      <c r="G526" s="71"/>
      <c r="I526" s="71"/>
      <c r="J526" s="71"/>
      <c r="K526" s="71"/>
      <c r="L526" s="71"/>
      <c r="W526" s="5"/>
    </row>
    <row r="527" spans="2:23" x14ac:dyDescent="0.25">
      <c r="B527" s="69"/>
      <c r="G527" s="71"/>
      <c r="I527" s="71"/>
      <c r="J527" s="71"/>
      <c r="K527" s="71"/>
      <c r="L527" s="71"/>
      <c r="W527" s="5"/>
    </row>
    <row r="528" spans="2:23" x14ac:dyDescent="0.25">
      <c r="B528" s="69"/>
      <c r="G528" s="71"/>
      <c r="I528" s="71"/>
      <c r="J528" s="71"/>
      <c r="K528" s="71"/>
      <c r="L528" s="71"/>
      <c r="W528" s="5"/>
    </row>
    <row r="529" spans="2:23" x14ac:dyDescent="0.25">
      <c r="B529" s="69"/>
      <c r="G529" s="71"/>
      <c r="I529" s="71"/>
      <c r="J529" s="71"/>
      <c r="K529" s="71"/>
      <c r="L529" s="71"/>
      <c r="W529" s="5"/>
    </row>
    <row r="530" spans="2:23" x14ac:dyDescent="0.25">
      <c r="B530" s="69"/>
      <c r="G530" s="71"/>
      <c r="I530" s="71"/>
      <c r="J530" s="71"/>
      <c r="K530" s="71"/>
      <c r="L530" s="71"/>
      <c r="W530" s="5"/>
    </row>
    <row r="531" spans="2:23" x14ac:dyDescent="0.25">
      <c r="B531" s="69"/>
      <c r="G531" s="71"/>
      <c r="I531" s="71"/>
      <c r="J531" s="71"/>
      <c r="K531" s="71"/>
      <c r="L531" s="71"/>
      <c r="W531" s="5"/>
    </row>
    <row r="532" spans="2:23" x14ac:dyDescent="0.25">
      <c r="B532" s="69"/>
      <c r="G532" s="71"/>
      <c r="I532" s="71"/>
      <c r="J532" s="71"/>
      <c r="K532" s="71"/>
      <c r="L532" s="71"/>
      <c r="W532" s="5"/>
    </row>
    <row r="533" spans="2:23" x14ac:dyDescent="0.25">
      <c r="B533" s="69"/>
      <c r="G533" s="71"/>
      <c r="I533" s="71"/>
      <c r="J533" s="71"/>
      <c r="K533" s="71"/>
      <c r="L533" s="71"/>
      <c r="W533" s="5"/>
    </row>
    <row r="534" spans="2:23" x14ac:dyDescent="0.25">
      <c r="B534" s="69"/>
      <c r="G534" s="71"/>
      <c r="I534" s="71"/>
      <c r="J534" s="71"/>
      <c r="K534" s="71"/>
      <c r="L534" s="71"/>
      <c r="W534" s="5"/>
    </row>
    <row r="535" spans="2:23" x14ac:dyDescent="0.25">
      <c r="B535" s="69"/>
      <c r="G535" s="71"/>
      <c r="I535" s="71"/>
      <c r="J535" s="71"/>
      <c r="K535" s="71"/>
      <c r="L535" s="71"/>
      <c r="W535" s="5"/>
    </row>
    <row r="536" spans="2:23" x14ac:dyDescent="0.25">
      <c r="B536" s="69"/>
      <c r="G536" s="71"/>
      <c r="I536" s="71"/>
      <c r="J536" s="71"/>
      <c r="K536" s="71"/>
      <c r="L536" s="71"/>
      <c r="W536" s="5"/>
    </row>
    <row r="537" spans="2:23" x14ac:dyDescent="0.25">
      <c r="B537" s="69"/>
      <c r="G537" s="71"/>
      <c r="I537" s="71"/>
      <c r="J537" s="71"/>
      <c r="K537" s="71"/>
      <c r="L537" s="71"/>
      <c r="W537" s="5"/>
    </row>
    <row r="538" spans="2:23" x14ac:dyDescent="0.25">
      <c r="B538" s="69"/>
      <c r="G538" s="71"/>
      <c r="I538" s="71"/>
      <c r="J538" s="71"/>
      <c r="K538" s="71"/>
      <c r="L538" s="71"/>
      <c r="W538" s="5"/>
    </row>
    <row r="539" spans="2:23" x14ac:dyDescent="0.25">
      <c r="B539" s="69"/>
      <c r="G539" s="71"/>
      <c r="I539" s="71"/>
      <c r="J539" s="71"/>
      <c r="K539" s="71"/>
      <c r="L539" s="71"/>
      <c r="W539" s="5"/>
    </row>
    <row r="540" spans="2:23" x14ac:dyDescent="0.25">
      <c r="B540" s="69"/>
      <c r="G540" s="71"/>
      <c r="I540" s="71"/>
      <c r="J540" s="71"/>
      <c r="K540" s="71"/>
      <c r="L540" s="71"/>
      <c r="W540" s="5"/>
    </row>
    <row r="541" spans="2:23" x14ac:dyDescent="0.25">
      <c r="B541" s="69"/>
      <c r="G541" s="71"/>
      <c r="I541" s="71"/>
      <c r="J541" s="71"/>
      <c r="K541" s="71"/>
      <c r="L541" s="71"/>
      <c r="W541" s="5"/>
    </row>
    <row r="542" spans="2:23" x14ac:dyDescent="0.25">
      <c r="B542" s="69"/>
      <c r="G542" s="71"/>
      <c r="I542" s="71"/>
      <c r="J542" s="71"/>
      <c r="K542" s="71"/>
      <c r="L542" s="71"/>
      <c r="W542" s="5"/>
    </row>
    <row r="543" spans="2:23" x14ac:dyDescent="0.25">
      <c r="B543" s="69"/>
      <c r="G543" s="71"/>
      <c r="I543" s="71"/>
      <c r="J543" s="71"/>
      <c r="K543" s="71"/>
      <c r="L543" s="71"/>
      <c r="W543" s="5"/>
    </row>
    <row r="544" spans="2:23" x14ac:dyDescent="0.25">
      <c r="B544" s="69"/>
      <c r="G544" s="71"/>
      <c r="I544" s="71"/>
      <c r="J544" s="71"/>
      <c r="K544" s="71"/>
      <c r="L544" s="71"/>
      <c r="W544" s="5"/>
    </row>
    <row r="545" spans="2:23" x14ac:dyDescent="0.25">
      <c r="B545" s="69"/>
      <c r="G545" s="71"/>
      <c r="I545" s="71"/>
      <c r="J545" s="71"/>
      <c r="K545" s="71"/>
      <c r="L545" s="71"/>
      <c r="W545" s="5"/>
    </row>
    <row r="546" spans="2:23" x14ac:dyDescent="0.25">
      <c r="B546" s="69"/>
      <c r="G546" s="71"/>
      <c r="I546" s="71"/>
      <c r="J546" s="71"/>
      <c r="K546" s="71"/>
      <c r="L546" s="71"/>
      <c r="W546" s="5"/>
    </row>
    <row r="547" spans="2:23" x14ac:dyDescent="0.25">
      <c r="B547" s="69"/>
      <c r="G547" s="71"/>
      <c r="I547" s="71"/>
      <c r="J547" s="71"/>
      <c r="K547" s="71"/>
      <c r="L547" s="71"/>
      <c r="W547" s="5"/>
    </row>
    <row r="548" spans="2:23" x14ac:dyDescent="0.25">
      <c r="B548" s="69"/>
      <c r="G548" s="71"/>
      <c r="I548" s="71"/>
      <c r="J548" s="71"/>
      <c r="K548" s="71"/>
      <c r="L548" s="71"/>
      <c r="W548" s="5"/>
    </row>
    <row r="549" spans="2:23" x14ac:dyDescent="0.25">
      <c r="B549" s="69"/>
      <c r="G549" s="71"/>
      <c r="I549" s="71"/>
      <c r="J549" s="71"/>
      <c r="K549" s="71"/>
      <c r="L549" s="71"/>
      <c r="W549" s="5"/>
    </row>
    <row r="550" spans="2:23" x14ac:dyDescent="0.25">
      <c r="B550" s="69"/>
      <c r="G550" s="71"/>
      <c r="I550" s="71"/>
      <c r="J550" s="71"/>
      <c r="K550" s="71"/>
      <c r="L550" s="71"/>
      <c r="W550" s="5"/>
    </row>
    <row r="551" spans="2:23" x14ac:dyDescent="0.25">
      <c r="B551" s="69"/>
      <c r="G551" s="71"/>
      <c r="I551" s="71"/>
      <c r="J551" s="71"/>
      <c r="K551" s="71"/>
      <c r="L551" s="71"/>
      <c r="W551" s="5"/>
    </row>
    <row r="552" spans="2:23" x14ac:dyDescent="0.25">
      <c r="B552" s="69"/>
      <c r="G552" s="71"/>
      <c r="I552" s="71"/>
      <c r="J552" s="71"/>
      <c r="K552" s="71"/>
      <c r="L552" s="71"/>
      <c r="W552" s="5"/>
    </row>
    <row r="553" spans="2:23" x14ac:dyDescent="0.25">
      <c r="B553" s="69"/>
      <c r="G553" s="71"/>
      <c r="I553" s="71"/>
      <c r="J553" s="71"/>
      <c r="K553" s="71"/>
      <c r="L553" s="71"/>
      <c r="W553" s="5"/>
    </row>
    <row r="554" spans="2:23" x14ac:dyDescent="0.25">
      <c r="B554" s="69"/>
      <c r="G554" s="71"/>
      <c r="I554" s="71"/>
      <c r="J554" s="71"/>
      <c r="K554" s="71"/>
      <c r="L554" s="71"/>
      <c r="W554" s="5"/>
    </row>
    <row r="555" spans="2:23" x14ac:dyDescent="0.25">
      <c r="B555" s="69"/>
      <c r="G555" s="71"/>
      <c r="I555" s="71"/>
      <c r="J555" s="71"/>
      <c r="K555" s="71"/>
      <c r="L555" s="71"/>
      <c r="W555" s="5"/>
    </row>
    <row r="556" spans="2:23" x14ac:dyDescent="0.25">
      <c r="B556" s="69"/>
      <c r="G556" s="71"/>
      <c r="I556" s="71"/>
      <c r="J556" s="71"/>
      <c r="K556" s="71"/>
      <c r="L556" s="71"/>
      <c r="W556" s="5"/>
    </row>
    <row r="557" spans="2:23" x14ac:dyDescent="0.25">
      <c r="B557" s="69"/>
      <c r="G557" s="71"/>
      <c r="I557" s="71"/>
      <c r="J557" s="71"/>
      <c r="K557" s="71"/>
      <c r="L557" s="71"/>
      <c r="W557" s="5"/>
    </row>
    <row r="558" spans="2:23" x14ac:dyDescent="0.25">
      <c r="B558" s="69"/>
      <c r="G558" s="71"/>
      <c r="I558" s="71"/>
      <c r="J558" s="71"/>
      <c r="K558" s="71"/>
      <c r="L558" s="71"/>
      <c r="W558" s="5"/>
    </row>
    <row r="559" spans="2:23" x14ac:dyDescent="0.25">
      <c r="B559" s="69"/>
      <c r="G559" s="71"/>
      <c r="I559" s="71"/>
      <c r="J559" s="71"/>
      <c r="K559" s="71"/>
      <c r="L559" s="71"/>
      <c r="W559" s="5"/>
    </row>
    <row r="560" spans="2:23" x14ac:dyDescent="0.25">
      <c r="B560" s="69"/>
      <c r="G560" s="71"/>
      <c r="I560" s="71"/>
      <c r="J560" s="71"/>
      <c r="K560" s="71"/>
      <c r="L560" s="71"/>
      <c r="W560" s="5"/>
    </row>
    <row r="561" spans="2:23" x14ac:dyDescent="0.25">
      <c r="B561" s="69"/>
      <c r="G561" s="71"/>
      <c r="I561" s="71"/>
      <c r="J561" s="71"/>
      <c r="W561" s="5"/>
    </row>
    <row r="562" spans="2:23" x14ac:dyDescent="0.25">
      <c r="B562" s="69"/>
      <c r="G562" s="71"/>
      <c r="I562" s="71"/>
      <c r="J562" s="71"/>
      <c r="W562" s="5"/>
    </row>
    <row r="563" spans="2:23" x14ac:dyDescent="0.25">
      <c r="B563" s="69"/>
      <c r="G563" s="71"/>
      <c r="I563" s="71"/>
      <c r="J563" s="71"/>
      <c r="W563" s="5"/>
    </row>
    <row r="564" spans="2:23" x14ac:dyDescent="0.25">
      <c r="B564" s="69"/>
      <c r="G564" s="71"/>
      <c r="I564" s="71"/>
      <c r="J564" s="71"/>
      <c r="W564" s="5"/>
    </row>
    <row r="565" spans="2:23" x14ac:dyDescent="0.25">
      <c r="B565" s="69"/>
      <c r="G565" s="71"/>
      <c r="I565" s="71"/>
      <c r="J565" s="71"/>
      <c r="W565" s="5"/>
    </row>
    <row r="566" spans="2:23" x14ac:dyDescent="0.25">
      <c r="B566" s="69"/>
      <c r="G566" s="71"/>
      <c r="I566" s="71"/>
      <c r="J566" s="71"/>
      <c r="W566" s="5"/>
    </row>
    <row r="567" spans="2:23" x14ac:dyDescent="0.25">
      <c r="B567" s="69"/>
      <c r="G567" s="71"/>
      <c r="I567" s="71"/>
      <c r="J567" s="71"/>
      <c r="W567" s="5"/>
    </row>
    <row r="568" spans="2:23" x14ac:dyDescent="0.25">
      <c r="B568" s="69"/>
      <c r="G568" s="71"/>
      <c r="I568" s="71"/>
      <c r="J568" s="71"/>
      <c r="W568" s="5"/>
    </row>
    <row r="569" spans="2:23" x14ac:dyDescent="0.25">
      <c r="B569" s="69"/>
      <c r="G569" s="71"/>
      <c r="I569" s="71"/>
      <c r="J569" s="71"/>
      <c r="W569" s="5"/>
    </row>
    <row r="570" spans="2:23" x14ac:dyDescent="0.25">
      <c r="B570" s="69"/>
      <c r="G570" s="71"/>
      <c r="I570" s="71"/>
      <c r="J570" s="71"/>
      <c r="W570" s="5"/>
    </row>
    <row r="571" spans="2:23" x14ac:dyDescent="0.25">
      <c r="B571" s="69"/>
      <c r="G571" s="71"/>
      <c r="I571" s="71"/>
      <c r="J571" s="71"/>
      <c r="W571" s="5"/>
    </row>
    <row r="572" spans="2:23" x14ac:dyDescent="0.25">
      <c r="B572" s="69"/>
      <c r="G572" s="71"/>
      <c r="I572" s="71"/>
      <c r="J572" s="71"/>
    </row>
    <row r="573" spans="2:23" x14ac:dyDescent="0.25">
      <c r="B573" s="69"/>
      <c r="G573" s="71"/>
      <c r="I573" s="71"/>
      <c r="J573" s="71"/>
    </row>
    <row r="574" spans="2:23" x14ac:dyDescent="0.25">
      <c r="B574" s="69"/>
      <c r="G574" s="71"/>
      <c r="I574" s="71"/>
      <c r="J574" s="71"/>
    </row>
    <row r="575" spans="2:23" x14ac:dyDescent="0.25">
      <c r="B575" s="69"/>
      <c r="G575" s="71"/>
      <c r="I575" s="71"/>
      <c r="J575" s="71"/>
    </row>
    <row r="576" spans="2:23" x14ac:dyDescent="0.25">
      <c r="B576" s="69"/>
      <c r="G576" s="71"/>
      <c r="I576" s="71"/>
      <c r="J576" s="71"/>
    </row>
    <row r="577" spans="2:10" x14ac:dyDescent="0.25">
      <c r="B577" s="69"/>
      <c r="G577" s="71"/>
      <c r="I577" s="71"/>
      <c r="J577" s="71"/>
    </row>
    <row r="578" spans="2:10" x14ac:dyDescent="0.25">
      <c r="B578" s="69"/>
      <c r="G578" s="71"/>
      <c r="I578" s="71"/>
      <c r="J578" s="71"/>
    </row>
    <row r="579" spans="2:10" x14ac:dyDescent="0.25">
      <c r="B579" s="69"/>
      <c r="G579" s="71"/>
      <c r="I579" s="71"/>
      <c r="J579" s="71"/>
    </row>
    <row r="580" spans="2:10" x14ac:dyDescent="0.25">
      <c r="B580" s="69"/>
      <c r="G580" s="71"/>
      <c r="I580" s="71"/>
      <c r="J580" s="71"/>
    </row>
    <row r="581" spans="2:10" x14ac:dyDescent="0.25">
      <c r="B581" s="69"/>
      <c r="G581" s="71"/>
      <c r="I581" s="71"/>
      <c r="J581" s="71"/>
    </row>
    <row r="582" spans="2:10" x14ac:dyDescent="0.25">
      <c r="B582" s="69"/>
      <c r="G582" s="71"/>
      <c r="I582" s="71"/>
      <c r="J582" s="71"/>
    </row>
    <row r="583" spans="2:10" x14ac:dyDescent="0.25">
      <c r="B583" s="69"/>
      <c r="G583" s="71"/>
      <c r="I583" s="71"/>
      <c r="J583" s="71"/>
    </row>
    <row r="584" spans="2:10" x14ac:dyDescent="0.25">
      <c r="B584" s="69"/>
      <c r="G584" s="71"/>
      <c r="I584" s="71"/>
      <c r="J584" s="71"/>
    </row>
    <row r="585" spans="2:10" x14ac:dyDescent="0.25">
      <c r="B585" s="69"/>
      <c r="G585" s="71"/>
      <c r="I585" s="71"/>
      <c r="J585" s="71"/>
    </row>
    <row r="586" spans="2:10" x14ac:dyDescent="0.25">
      <c r="B586" s="69"/>
      <c r="G586" s="71"/>
      <c r="I586" s="71"/>
      <c r="J586" s="71"/>
    </row>
    <row r="587" spans="2:10" x14ac:dyDescent="0.25">
      <c r="B587" s="69"/>
      <c r="G587" s="71"/>
      <c r="I587" s="71"/>
      <c r="J587" s="71"/>
    </row>
    <row r="588" spans="2:10" x14ac:dyDescent="0.25">
      <c r="B588" s="69"/>
      <c r="G588" s="71"/>
      <c r="I588" s="71"/>
      <c r="J588" s="71"/>
    </row>
    <row r="589" spans="2:10" x14ac:dyDescent="0.25">
      <c r="B589" s="69"/>
      <c r="G589" s="71"/>
      <c r="I589" s="71"/>
      <c r="J589" s="71"/>
    </row>
    <row r="590" spans="2:10" x14ac:dyDescent="0.25">
      <c r="B590" s="69"/>
      <c r="G590" s="71"/>
      <c r="I590" s="71"/>
      <c r="J590" s="71"/>
    </row>
    <row r="591" spans="2:10" x14ac:dyDescent="0.25">
      <c r="B591" s="69"/>
      <c r="G591" s="71"/>
      <c r="I591" s="71"/>
      <c r="J591" s="71"/>
    </row>
    <row r="592" spans="2:10" x14ac:dyDescent="0.25">
      <c r="B592" s="69"/>
      <c r="G592" s="71"/>
      <c r="I592" s="71"/>
      <c r="J592" s="71"/>
    </row>
    <row r="593" spans="2:22" x14ac:dyDescent="0.25">
      <c r="B593" s="69"/>
      <c r="G593" s="71"/>
      <c r="I593" s="71"/>
      <c r="J593" s="71"/>
    </row>
    <row r="594" spans="2:22" x14ac:dyDescent="0.25">
      <c r="B594" s="69"/>
      <c r="G594" s="71"/>
      <c r="I594" s="71"/>
      <c r="J594" s="71"/>
    </row>
    <row r="595" spans="2:22" x14ac:dyDescent="0.25">
      <c r="B595" s="69"/>
      <c r="G595" s="71"/>
      <c r="I595" s="71"/>
      <c r="J595" s="71"/>
    </row>
    <row r="596" spans="2:22" x14ac:dyDescent="0.25">
      <c r="B596" s="69"/>
      <c r="G596" s="71"/>
      <c r="I596" s="71"/>
      <c r="J596" s="71"/>
    </row>
    <row r="597" spans="2:22" x14ac:dyDescent="0.25">
      <c r="B597" s="69"/>
      <c r="G597" s="71"/>
      <c r="I597" s="71"/>
      <c r="J597" s="71"/>
    </row>
    <row r="598" spans="2:22" x14ac:dyDescent="0.25">
      <c r="B598" s="69"/>
      <c r="G598" s="71"/>
      <c r="I598" s="71"/>
      <c r="J598" s="71"/>
    </row>
    <row r="599" spans="2:22" x14ac:dyDescent="0.25">
      <c r="B599" s="69"/>
      <c r="G599" s="71"/>
      <c r="I599" s="71"/>
      <c r="J599" s="71"/>
    </row>
    <row r="600" spans="2:22" x14ac:dyDescent="0.25">
      <c r="B600" s="69"/>
      <c r="G600" s="71"/>
      <c r="I600" s="71"/>
      <c r="J600" s="71"/>
    </row>
    <row r="601" spans="2:22" x14ac:dyDescent="0.25">
      <c r="B601" s="69"/>
      <c r="G601" s="71"/>
      <c r="I601" s="71"/>
      <c r="J601" s="71"/>
    </row>
    <row r="602" spans="2:22" x14ac:dyDescent="0.25">
      <c r="B602" s="69"/>
      <c r="G602" s="71"/>
      <c r="I602" s="71"/>
      <c r="J602" s="71"/>
    </row>
    <row r="603" spans="2:22" x14ac:dyDescent="0.25">
      <c r="B603" s="69"/>
      <c r="G603" s="71"/>
      <c r="I603" s="71"/>
      <c r="J603" s="71"/>
    </row>
    <row r="604" spans="2:22" x14ac:dyDescent="0.25">
      <c r="B604" s="69"/>
      <c r="G604" s="71"/>
      <c r="I604" s="71"/>
      <c r="J604" s="71"/>
    </row>
    <row r="605" spans="2:22" x14ac:dyDescent="0.25">
      <c r="B605" s="69"/>
      <c r="G605" s="71"/>
      <c r="I605" s="71"/>
      <c r="J605" s="71"/>
    </row>
    <row r="606" spans="2:22" x14ac:dyDescent="0.25">
      <c r="B606" s="69"/>
      <c r="G606" s="71"/>
      <c r="I606" s="71"/>
      <c r="J606" s="71"/>
    </row>
    <row r="607" spans="2:22" x14ac:dyDescent="0.25">
      <c r="B607" s="69"/>
      <c r="G607" s="71"/>
      <c r="I607" s="71"/>
      <c r="J607" s="71"/>
      <c r="U607" s="5"/>
      <c r="V607" s="5"/>
    </row>
    <row r="608" spans="2:22" x14ac:dyDescent="0.25">
      <c r="B608" s="69"/>
      <c r="G608" s="71"/>
      <c r="I608" s="71"/>
      <c r="J608" s="71"/>
      <c r="U608" s="5"/>
      <c r="V608" s="5"/>
    </row>
    <row r="609" spans="2:22" x14ac:dyDescent="0.25">
      <c r="B609" s="69"/>
      <c r="G609" s="71"/>
      <c r="I609" s="71"/>
      <c r="J609" s="71"/>
      <c r="U609" s="5"/>
      <c r="V609" s="5"/>
    </row>
    <row r="610" spans="2:22" x14ac:dyDescent="0.25">
      <c r="B610" s="69"/>
      <c r="G610" s="71"/>
      <c r="I610" s="71"/>
      <c r="J610" s="71"/>
      <c r="U610" s="5"/>
      <c r="V610" s="5"/>
    </row>
    <row r="611" spans="2:22" x14ac:dyDescent="0.25">
      <c r="B611" s="69"/>
      <c r="G611" s="71"/>
      <c r="I611" s="71"/>
      <c r="J611" s="71"/>
      <c r="U611" s="5"/>
      <c r="V611" s="5"/>
    </row>
    <row r="612" spans="2:22" x14ac:dyDescent="0.25">
      <c r="B612" s="69"/>
      <c r="G612" s="71"/>
      <c r="I612" s="71"/>
      <c r="J612" s="71"/>
      <c r="U612" s="5"/>
      <c r="V612" s="5"/>
    </row>
    <row r="613" spans="2:22" x14ac:dyDescent="0.25">
      <c r="B613" s="69"/>
      <c r="G613" s="71"/>
      <c r="I613" s="71"/>
      <c r="J613" s="71"/>
      <c r="U613" s="5"/>
      <c r="V613" s="5"/>
    </row>
    <row r="614" spans="2:22" x14ac:dyDescent="0.25">
      <c r="B614" s="69"/>
      <c r="G614" s="71"/>
      <c r="I614" s="71"/>
      <c r="J614" s="71"/>
      <c r="U614" s="5"/>
      <c r="V614" s="5"/>
    </row>
    <row r="615" spans="2:22" x14ac:dyDescent="0.25">
      <c r="B615" s="69"/>
      <c r="G615" s="71"/>
      <c r="I615" s="71"/>
      <c r="J615" s="71"/>
      <c r="U615" s="5"/>
      <c r="V615" s="5"/>
    </row>
    <row r="616" spans="2:22" x14ac:dyDescent="0.25">
      <c r="B616" s="69"/>
      <c r="G616" s="71"/>
      <c r="I616" s="71"/>
      <c r="J616" s="71"/>
      <c r="U616" s="5"/>
      <c r="V616" s="5"/>
    </row>
    <row r="617" spans="2:22" x14ac:dyDescent="0.25">
      <c r="B617" s="69"/>
      <c r="G617" s="71"/>
      <c r="I617" s="71"/>
      <c r="J617" s="71"/>
      <c r="U617" s="5"/>
      <c r="V617" s="5"/>
    </row>
    <row r="618" spans="2:22" x14ac:dyDescent="0.25">
      <c r="B618" s="69"/>
      <c r="G618" s="71"/>
      <c r="I618" s="71"/>
      <c r="J618" s="71"/>
      <c r="U618" s="5"/>
      <c r="V618" s="5"/>
    </row>
    <row r="619" spans="2:22" x14ac:dyDescent="0.25">
      <c r="B619" s="69"/>
      <c r="G619" s="71"/>
      <c r="I619" s="71"/>
      <c r="J619" s="71"/>
      <c r="U619" s="5"/>
      <c r="V619" s="5"/>
    </row>
    <row r="620" spans="2:22" x14ac:dyDescent="0.25">
      <c r="B620" s="69"/>
      <c r="G620" s="71"/>
      <c r="I620" s="71"/>
      <c r="J620" s="71"/>
      <c r="U620" s="5"/>
      <c r="V620" s="5"/>
    </row>
    <row r="621" spans="2:22" x14ac:dyDescent="0.25">
      <c r="B621" s="69"/>
      <c r="G621" s="71"/>
      <c r="I621" s="71"/>
      <c r="J621" s="71"/>
      <c r="U621" s="5"/>
      <c r="V621" s="5"/>
    </row>
    <row r="622" spans="2:22" x14ac:dyDescent="0.25">
      <c r="B622" s="69"/>
      <c r="G622" s="71"/>
      <c r="I622" s="71"/>
      <c r="J622" s="71"/>
      <c r="U622" s="5"/>
      <c r="V622" s="5"/>
    </row>
    <row r="623" spans="2:22" x14ac:dyDescent="0.25">
      <c r="B623" s="69"/>
      <c r="G623" s="71"/>
      <c r="I623" s="71"/>
      <c r="J623" s="71"/>
      <c r="U623" s="5"/>
      <c r="V623" s="5"/>
    </row>
    <row r="624" spans="2:22" x14ac:dyDescent="0.25">
      <c r="B624" s="69"/>
      <c r="G624" s="71"/>
      <c r="I624" s="71"/>
      <c r="J624" s="71"/>
      <c r="U624" s="5"/>
      <c r="V624" s="5"/>
    </row>
    <row r="625" spans="2:22" x14ac:dyDescent="0.25">
      <c r="B625" s="69"/>
      <c r="G625" s="71"/>
      <c r="I625" s="71"/>
      <c r="J625" s="71"/>
      <c r="U625" s="5"/>
      <c r="V625" s="5"/>
    </row>
    <row r="626" spans="2:22" x14ac:dyDescent="0.25">
      <c r="B626" s="69"/>
      <c r="G626" s="71"/>
      <c r="I626" s="71"/>
      <c r="J626" s="71"/>
      <c r="U626" s="5"/>
      <c r="V626" s="5"/>
    </row>
    <row r="627" spans="2:22" x14ac:dyDescent="0.25">
      <c r="B627" s="69"/>
      <c r="G627" s="71"/>
      <c r="I627" s="71"/>
      <c r="J627" s="71"/>
      <c r="U627" s="5"/>
      <c r="V627" s="5"/>
    </row>
    <row r="628" spans="2:22" x14ac:dyDescent="0.25">
      <c r="B628" s="69"/>
      <c r="G628" s="71"/>
      <c r="I628" s="71"/>
      <c r="J628" s="71"/>
      <c r="U628" s="5"/>
      <c r="V628" s="5"/>
    </row>
    <row r="629" spans="2:22" x14ac:dyDescent="0.25">
      <c r="B629" s="69"/>
      <c r="G629" s="71"/>
      <c r="I629" s="71"/>
      <c r="J629" s="71"/>
      <c r="U629" s="5"/>
      <c r="V629" s="5"/>
    </row>
    <row r="630" spans="2:22" x14ac:dyDescent="0.25">
      <c r="B630" s="69"/>
      <c r="G630" s="71"/>
      <c r="I630" s="71"/>
      <c r="J630" s="71"/>
      <c r="U630" s="5"/>
      <c r="V630" s="5"/>
    </row>
    <row r="631" spans="2:22" x14ac:dyDescent="0.25">
      <c r="B631" s="69"/>
      <c r="G631" s="71"/>
      <c r="I631" s="71"/>
      <c r="J631" s="71"/>
      <c r="U631" s="5"/>
      <c r="V631" s="5"/>
    </row>
    <row r="632" spans="2:22" x14ac:dyDescent="0.25">
      <c r="B632" s="69"/>
      <c r="G632" s="71"/>
      <c r="I632" s="71"/>
      <c r="J632" s="71"/>
      <c r="U632" s="5"/>
      <c r="V632" s="5"/>
    </row>
    <row r="633" spans="2:22" x14ac:dyDescent="0.25">
      <c r="B633" s="69"/>
      <c r="G633" s="71"/>
      <c r="I633" s="71"/>
      <c r="J633" s="71"/>
      <c r="U633" s="5"/>
      <c r="V633" s="5"/>
    </row>
    <row r="634" spans="2:22" x14ac:dyDescent="0.25">
      <c r="B634" s="69"/>
      <c r="G634" s="71"/>
      <c r="I634" s="71"/>
      <c r="J634" s="71"/>
      <c r="U634" s="5"/>
      <c r="V634" s="5"/>
    </row>
    <row r="635" spans="2:22" x14ac:dyDescent="0.25">
      <c r="B635" s="69"/>
      <c r="G635" s="71"/>
      <c r="I635" s="71"/>
      <c r="J635" s="71"/>
      <c r="U635" s="5"/>
      <c r="V635" s="5"/>
    </row>
    <row r="636" spans="2:22" x14ac:dyDescent="0.25">
      <c r="B636" s="69"/>
      <c r="G636" s="71"/>
      <c r="I636" s="71"/>
      <c r="J636" s="71"/>
      <c r="U636" s="5"/>
      <c r="V636" s="5"/>
    </row>
    <row r="637" spans="2:22" x14ac:dyDescent="0.25">
      <c r="B637" s="69"/>
      <c r="G637" s="71"/>
      <c r="I637" s="71"/>
      <c r="J637" s="71"/>
      <c r="U637" s="5"/>
      <c r="V637" s="5"/>
    </row>
    <row r="638" spans="2:22" x14ac:dyDescent="0.25">
      <c r="B638" s="69"/>
      <c r="G638" s="71"/>
      <c r="I638" s="71"/>
      <c r="J638" s="71"/>
      <c r="U638" s="5"/>
      <c r="V638" s="5"/>
    </row>
    <row r="639" spans="2:22" x14ac:dyDescent="0.25">
      <c r="B639" s="69"/>
      <c r="G639" s="71"/>
      <c r="I639" s="71"/>
      <c r="J639" s="71"/>
    </row>
    <row r="640" spans="2:22" x14ac:dyDescent="0.25">
      <c r="B640" s="69"/>
      <c r="G640" s="71"/>
      <c r="I640" s="71"/>
      <c r="J640" s="71"/>
    </row>
    <row r="641" spans="2:10" x14ac:dyDescent="0.25">
      <c r="B641" s="69"/>
      <c r="G641" s="71"/>
      <c r="I641" s="71"/>
      <c r="J641" s="71"/>
    </row>
    <row r="642" spans="2:10" x14ac:dyDescent="0.25">
      <c r="B642" s="69"/>
      <c r="G642" s="71"/>
      <c r="I642" s="71"/>
      <c r="J642" s="71"/>
    </row>
    <row r="643" spans="2:10" x14ac:dyDescent="0.25">
      <c r="B643" s="69"/>
      <c r="G643" s="71"/>
      <c r="I643" s="71"/>
      <c r="J643" s="71"/>
    </row>
    <row r="644" spans="2:10" x14ac:dyDescent="0.25">
      <c r="B644" s="69"/>
      <c r="G644" s="71"/>
      <c r="I644" s="71"/>
      <c r="J644" s="71"/>
    </row>
    <row r="645" spans="2:10" x14ac:dyDescent="0.25">
      <c r="B645" s="69"/>
      <c r="G645" s="71"/>
      <c r="I645" s="71"/>
      <c r="J645" s="71"/>
    </row>
    <row r="646" spans="2:10" x14ac:dyDescent="0.25">
      <c r="B646" s="69"/>
      <c r="G646" s="71"/>
      <c r="I646" s="71"/>
      <c r="J646" s="71"/>
    </row>
    <row r="647" spans="2:10" x14ac:dyDescent="0.25">
      <c r="B647" s="69"/>
      <c r="G647" s="71"/>
      <c r="I647" s="71"/>
      <c r="J647" s="71"/>
    </row>
    <row r="648" spans="2:10" x14ac:dyDescent="0.25">
      <c r="B648" s="69"/>
      <c r="G648" s="71"/>
      <c r="I648" s="71"/>
      <c r="J648" s="71"/>
    </row>
    <row r="649" spans="2:10" x14ac:dyDescent="0.25">
      <c r="B649" s="69"/>
      <c r="G649" s="71"/>
      <c r="I649" s="71"/>
      <c r="J649" s="71"/>
    </row>
    <row r="650" spans="2:10" x14ac:dyDescent="0.25">
      <c r="B650" s="69"/>
      <c r="G650" s="71"/>
      <c r="I650" s="71"/>
      <c r="J650" s="71"/>
    </row>
    <row r="651" spans="2:10" x14ac:dyDescent="0.25">
      <c r="B651" s="69"/>
      <c r="G651" s="71"/>
      <c r="I651" s="71"/>
      <c r="J651" s="71"/>
    </row>
    <row r="652" spans="2:10" x14ac:dyDescent="0.25">
      <c r="B652" s="69"/>
      <c r="G652" s="71"/>
      <c r="I652" s="71"/>
      <c r="J652" s="71"/>
    </row>
    <row r="653" spans="2:10" x14ac:dyDescent="0.25">
      <c r="B653" s="69"/>
      <c r="G653" s="71"/>
      <c r="I653" s="71"/>
      <c r="J653" s="71"/>
    </row>
    <row r="654" spans="2:10" x14ac:dyDescent="0.25">
      <c r="B654" s="69"/>
      <c r="G654" s="71"/>
      <c r="I654" s="71"/>
      <c r="J654" s="71"/>
    </row>
    <row r="655" spans="2:10" x14ac:dyDescent="0.25">
      <c r="B655" s="69"/>
      <c r="G655" s="71"/>
      <c r="I655" s="71"/>
      <c r="J655" s="71"/>
    </row>
    <row r="656" spans="2:10" x14ac:dyDescent="0.25">
      <c r="B656" s="69"/>
      <c r="G656" s="71"/>
      <c r="I656" s="71"/>
      <c r="J656" s="71"/>
    </row>
    <row r="657" spans="2:10" x14ac:dyDescent="0.25">
      <c r="B657" s="69"/>
      <c r="G657" s="71"/>
      <c r="I657" s="71"/>
      <c r="J657" s="71"/>
    </row>
    <row r="658" spans="2:10" x14ac:dyDescent="0.25">
      <c r="B658" s="69"/>
      <c r="G658" s="71"/>
      <c r="I658" s="71"/>
      <c r="J658" s="71"/>
    </row>
    <row r="659" spans="2:10" x14ac:dyDescent="0.25">
      <c r="B659" s="69"/>
      <c r="G659" s="71"/>
      <c r="I659" s="71"/>
      <c r="J659" s="71"/>
    </row>
    <row r="660" spans="2:10" x14ac:dyDescent="0.25">
      <c r="B660" s="69"/>
      <c r="G660" s="71"/>
      <c r="I660" s="71"/>
      <c r="J660" s="71"/>
    </row>
    <row r="661" spans="2:10" x14ac:dyDescent="0.25">
      <c r="B661" s="69"/>
      <c r="G661" s="71"/>
      <c r="I661" s="71"/>
      <c r="J661" s="71"/>
    </row>
    <row r="662" spans="2:10" x14ac:dyDescent="0.25">
      <c r="B662" s="69"/>
      <c r="G662" s="71"/>
      <c r="I662" s="71"/>
      <c r="J662" s="71"/>
    </row>
    <row r="663" spans="2:10" x14ac:dyDescent="0.25">
      <c r="B663" s="69"/>
      <c r="G663" s="71"/>
      <c r="I663" s="71"/>
      <c r="J663" s="71"/>
    </row>
    <row r="664" spans="2:10" x14ac:dyDescent="0.25">
      <c r="B664" s="69"/>
      <c r="G664" s="71"/>
      <c r="I664" s="71"/>
      <c r="J664" s="71"/>
    </row>
    <row r="665" spans="2:10" x14ac:dyDescent="0.25">
      <c r="B665" s="69"/>
      <c r="G665" s="71"/>
      <c r="I665" s="71"/>
      <c r="J665" s="71"/>
    </row>
    <row r="666" spans="2:10" x14ac:dyDescent="0.25">
      <c r="B666" s="69"/>
      <c r="G666" s="71"/>
      <c r="I666" s="71"/>
      <c r="J666" s="71"/>
    </row>
    <row r="667" spans="2:10" x14ac:dyDescent="0.25">
      <c r="B667" s="69"/>
      <c r="G667" s="71"/>
      <c r="I667" s="71"/>
      <c r="J667" s="71"/>
    </row>
    <row r="668" spans="2:10" x14ac:dyDescent="0.25">
      <c r="B668" s="69"/>
      <c r="G668" s="71"/>
      <c r="I668" s="71"/>
      <c r="J668" s="71"/>
    </row>
    <row r="669" spans="2:10" x14ac:dyDescent="0.25">
      <c r="B669" s="69"/>
      <c r="G669" s="71"/>
      <c r="I669" s="71"/>
      <c r="J669" s="71"/>
    </row>
    <row r="670" spans="2:10" x14ac:dyDescent="0.25">
      <c r="B670" s="69"/>
      <c r="G670" s="71"/>
      <c r="I670" s="71"/>
      <c r="J670" s="71"/>
    </row>
    <row r="671" spans="2:10" x14ac:dyDescent="0.25">
      <c r="B671" s="69"/>
      <c r="G671" s="71"/>
      <c r="I671" s="71"/>
      <c r="J671" s="71"/>
    </row>
    <row r="672" spans="2:10" x14ac:dyDescent="0.25">
      <c r="B672" s="69"/>
      <c r="G672" s="71"/>
      <c r="I672" s="71"/>
      <c r="J672" s="71"/>
    </row>
    <row r="673" spans="2:10" x14ac:dyDescent="0.25">
      <c r="B673" s="69"/>
      <c r="G673" s="71"/>
      <c r="I673" s="71"/>
      <c r="J673" s="71"/>
    </row>
    <row r="674" spans="2:10" x14ac:dyDescent="0.25">
      <c r="B674" s="69"/>
      <c r="G674" s="71"/>
      <c r="I674" s="71"/>
      <c r="J674" s="71"/>
    </row>
    <row r="675" spans="2:10" x14ac:dyDescent="0.25">
      <c r="B675" s="69"/>
      <c r="G675" s="71"/>
      <c r="I675" s="71"/>
      <c r="J675" s="71"/>
    </row>
    <row r="676" spans="2:10" x14ac:dyDescent="0.25">
      <c r="B676" s="69"/>
      <c r="G676" s="71"/>
      <c r="I676" s="71"/>
      <c r="J676" s="71"/>
    </row>
    <row r="677" spans="2:10" x14ac:dyDescent="0.25">
      <c r="B677" s="69"/>
      <c r="G677" s="71"/>
      <c r="I677" s="71"/>
      <c r="J677" s="71"/>
    </row>
    <row r="678" spans="2:10" x14ac:dyDescent="0.25">
      <c r="B678" s="69"/>
      <c r="G678" s="71"/>
      <c r="I678" s="71"/>
      <c r="J678" s="71"/>
    </row>
    <row r="679" spans="2:10" x14ac:dyDescent="0.25">
      <c r="B679" s="69"/>
      <c r="G679" s="71"/>
      <c r="I679" s="71"/>
      <c r="J679" s="71"/>
    </row>
    <row r="680" spans="2:10" x14ac:dyDescent="0.25">
      <c r="B680" s="69"/>
      <c r="G680" s="71"/>
      <c r="I680" s="71"/>
      <c r="J680" s="71"/>
    </row>
    <row r="681" spans="2:10" x14ac:dyDescent="0.25">
      <c r="B681" s="69"/>
      <c r="G681" s="71"/>
      <c r="I681" s="71"/>
      <c r="J681" s="71"/>
    </row>
    <row r="682" spans="2:10" x14ac:dyDescent="0.25">
      <c r="B682" s="69"/>
      <c r="G682" s="71"/>
      <c r="I682" s="71"/>
      <c r="J682" s="71"/>
    </row>
    <row r="683" spans="2:10" x14ac:dyDescent="0.25">
      <c r="B683" s="69"/>
      <c r="G683" s="71"/>
      <c r="I683" s="71"/>
      <c r="J683" s="71"/>
    </row>
    <row r="684" spans="2:10" x14ac:dyDescent="0.25">
      <c r="B684" s="69"/>
      <c r="G684" s="71"/>
      <c r="I684" s="71"/>
      <c r="J684" s="71"/>
    </row>
    <row r="685" spans="2:10" x14ac:dyDescent="0.25">
      <c r="B685" s="69"/>
      <c r="G685" s="71"/>
      <c r="I685" s="71"/>
      <c r="J685" s="71"/>
    </row>
    <row r="686" spans="2:10" x14ac:dyDescent="0.25">
      <c r="B686" s="69"/>
      <c r="G686" s="71"/>
      <c r="I686" s="71"/>
      <c r="J686" s="71"/>
    </row>
    <row r="687" spans="2:10" x14ac:dyDescent="0.25">
      <c r="B687" s="69"/>
      <c r="G687" s="71"/>
      <c r="I687" s="71"/>
      <c r="J687" s="71"/>
    </row>
    <row r="688" spans="2:10" x14ac:dyDescent="0.25">
      <c r="B688" s="69"/>
      <c r="G688" s="71"/>
      <c r="I688" s="71"/>
      <c r="J688" s="71"/>
    </row>
    <row r="689" spans="2:10" x14ac:dyDescent="0.25">
      <c r="B689" s="69"/>
      <c r="G689" s="71"/>
      <c r="I689" s="71"/>
      <c r="J689" s="71"/>
    </row>
    <row r="690" spans="2:10" x14ac:dyDescent="0.25">
      <c r="B690" s="69"/>
      <c r="G690" s="71"/>
      <c r="I690" s="71"/>
      <c r="J690" s="71"/>
    </row>
    <row r="691" spans="2:10" x14ac:dyDescent="0.25">
      <c r="B691" s="69"/>
      <c r="G691" s="71"/>
      <c r="I691" s="71"/>
      <c r="J691" s="71"/>
    </row>
    <row r="692" spans="2:10" x14ac:dyDescent="0.25">
      <c r="B692" s="69"/>
      <c r="G692" s="71"/>
      <c r="I692" s="71"/>
      <c r="J692" s="71"/>
    </row>
    <row r="693" spans="2:10" x14ac:dyDescent="0.25">
      <c r="B693" s="69"/>
      <c r="G693" s="71"/>
      <c r="I693" s="71"/>
      <c r="J693" s="71"/>
    </row>
    <row r="694" spans="2:10" x14ac:dyDescent="0.25">
      <c r="B694" s="69"/>
      <c r="G694" s="71"/>
      <c r="I694" s="71"/>
      <c r="J694" s="71"/>
    </row>
    <row r="695" spans="2:10" x14ac:dyDescent="0.25">
      <c r="B695" s="69"/>
      <c r="G695" s="71"/>
      <c r="I695" s="71"/>
      <c r="J695" s="71"/>
    </row>
    <row r="696" spans="2:10" x14ac:dyDescent="0.25">
      <c r="B696" s="69"/>
      <c r="G696" s="71"/>
      <c r="I696" s="71"/>
      <c r="J696" s="71"/>
    </row>
    <row r="697" spans="2:10" x14ac:dyDescent="0.25">
      <c r="B697" s="69"/>
      <c r="G697" s="71"/>
      <c r="I697" s="71"/>
      <c r="J697" s="71"/>
    </row>
    <row r="698" spans="2:10" x14ac:dyDescent="0.25">
      <c r="B698" s="69"/>
      <c r="G698" s="71"/>
      <c r="I698" s="71"/>
      <c r="J698" s="71"/>
    </row>
    <row r="699" spans="2:10" x14ac:dyDescent="0.25">
      <c r="B699" s="69"/>
      <c r="G699" s="71"/>
      <c r="I699" s="71"/>
      <c r="J699" s="71"/>
    </row>
    <row r="700" spans="2:10" x14ac:dyDescent="0.25">
      <c r="B700" s="69"/>
      <c r="G700" s="71"/>
      <c r="I700" s="71"/>
      <c r="J700" s="71"/>
    </row>
    <row r="701" spans="2:10" x14ac:dyDescent="0.25">
      <c r="B701" s="69"/>
      <c r="G701" s="71"/>
      <c r="I701" s="71"/>
      <c r="J701" s="71"/>
    </row>
    <row r="702" spans="2:10" x14ac:dyDescent="0.25">
      <c r="B702" s="69"/>
      <c r="G702" s="71"/>
      <c r="I702" s="71"/>
      <c r="J702" s="71"/>
    </row>
    <row r="703" spans="2:10" x14ac:dyDescent="0.25">
      <c r="B703" s="69"/>
      <c r="G703" s="71"/>
      <c r="I703" s="71"/>
      <c r="J703" s="71"/>
    </row>
    <row r="704" spans="2:10" x14ac:dyDescent="0.25">
      <c r="B704" s="69"/>
      <c r="G704" s="71"/>
      <c r="I704" s="71"/>
      <c r="J704" s="71"/>
    </row>
    <row r="705" spans="2:10" x14ac:dyDescent="0.25">
      <c r="B705" s="69"/>
      <c r="G705" s="71"/>
      <c r="I705" s="71"/>
      <c r="J705" s="71"/>
    </row>
    <row r="706" spans="2:10" x14ac:dyDescent="0.25">
      <c r="B706" s="69"/>
      <c r="G706" s="71"/>
      <c r="I706" s="71"/>
      <c r="J706" s="71"/>
    </row>
    <row r="707" spans="2:10" x14ac:dyDescent="0.25">
      <c r="B707" s="69"/>
      <c r="G707" s="71"/>
      <c r="I707" s="71"/>
      <c r="J707" s="71"/>
    </row>
    <row r="708" spans="2:10" x14ac:dyDescent="0.25">
      <c r="B708" s="69"/>
      <c r="G708" s="71"/>
      <c r="I708" s="71"/>
      <c r="J708" s="71"/>
    </row>
    <row r="709" spans="2:10" x14ac:dyDescent="0.25">
      <c r="B709" s="69"/>
      <c r="G709" s="71"/>
      <c r="I709" s="71"/>
      <c r="J709" s="71"/>
    </row>
    <row r="710" spans="2:10" x14ac:dyDescent="0.25">
      <c r="B710" s="69"/>
      <c r="G710" s="71"/>
      <c r="I710" s="71"/>
      <c r="J710" s="71"/>
    </row>
    <row r="711" spans="2:10" x14ac:dyDescent="0.25">
      <c r="B711" s="69"/>
      <c r="G711" s="71"/>
      <c r="I711" s="71"/>
      <c r="J711" s="71"/>
    </row>
    <row r="712" spans="2:10" x14ac:dyDescent="0.25">
      <c r="B712" s="69"/>
      <c r="G712" s="71"/>
      <c r="I712" s="71"/>
      <c r="J712" s="71"/>
    </row>
    <row r="713" spans="2:10" x14ac:dyDescent="0.25">
      <c r="B713" s="69"/>
      <c r="G713" s="71"/>
      <c r="I713" s="71"/>
      <c r="J713" s="71"/>
    </row>
    <row r="714" spans="2:10" x14ac:dyDescent="0.25">
      <c r="B714" s="69"/>
      <c r="G714" s="71"/>
      <c r="I714" s="71"/>
      <c r="J714" s="71"/>
    </row>
    <row r="715" spans="2:10" x14ac:dyDescent="0.25">
      <c r="B715" s="69"/>
      <c r="G715" s="71"/>
      <c r="I715" s="71"/>
      <c r="J715" s="71"/>
    </row>
    <row r="716" spans="2:10" x14ac:dyDescent="0.25">
      <c r="B716" s="69"/>
      <c r="G716" s="71"/>
      <c r="I716" s="71"/>
      <c r="J716" s="71"/>
    </row>
    <row r="717" spans="2:10" x14ac:dyDescent="0.25">
      <c r="B717" s="69"/>
      <c r="G717" s="71"/>
      <c r="I717" s="71"/>
      <c r="J717" s="71"/>
    </row>
    <row r="718" spans="2:10" x14ac:dyDescent="0.25">
      <c r="B718" s="69"/>
      <c r="G718" s="71"/>
      <c r="I718" s="71"/>
      <c r="J718" s="71"/>
    </row>
    <row r="719" spans="2:10" x14ac:dyDescent="0.25">
      <c r="B719" s="69"/>
      <c r="G719" s="71"/>
      <c r="I719" s="71"/>
      <c r="J719" s="71"/>
    </row>
    <row r="720" spans="2:10" x14ac:dyDescent="0.25">
      <c r="B720" s="69"/>
      <c r="G720" s="71"/>
      <c r="I720" s="71"/>
      <c r="J720" s="71"/>
    </row>
    <row r="721" spans="2:10" x14ac:dyDescent="0.25">
      <c r="B721" s="69"/>
      <c r="G721" s="71"/>
      <c r="I721" s="71"/>
      <c r="J721" s="71"/>
    </row>
    <row r="722" spans="2:10" x14ac:dyDescent="0.25">
      <c r="B722" s="69"/>
      <c r="G722" s="71"/>
      <c r="I722" s="71"/>
      <c r="J722" s="71"/>
    </row>
    <row r="723" spans="2:10" x14ac:dyDescent="0.25">
      <c r="B723" s="69"/>
      <c r="G723" s="71"/>
      <c r="I723" s="71"/>
      <c r="J723" s="71"/>
    </row>
    <row r="724" spans="2:10" x14ac:dyDescent="0.25">
      <c r="B724" s="69"/>
      <c r="G724" s="71"/>
      <c r="I724" s="71"/>
      <c r="J724" s="71"/>
    </row>
    <row r="725" spans="2:10" x14ac:dyDescent="0.25">
      <c r="B725" s="69"/>
      <c r="G725" s="71"/>
      <c r="I725" s="71"/>
      <c r="J725" s="71"/>
    </row>
    <row r="726" spans="2:10" x14ac:dyDescent="0.25">
      <c r="B726" s="69"/>
      <c r="G726" s="71"/>
      <c r="I726" s="71"/>
      <c r="J726" s="71"/>
    </row>
    <row r="727" spans="2:10" x14ac:dyDescent="0.25">
      <c r="B727" s="69"/>
      <c r="G727" s="71"/>
      <c r="I727" s="71"/>
      <c r="J727" s="71"/>
    </row>
    <row r="728" spans="2:10" x14ac:dyDescent="0.25">
      <c r="B728" s="69"/>
      <c r="G728" s="71"/>
      <c r="I728" s="71"/>
      <c r="J728" s="71"/>
    </row>
    <row r="729" spans="2:10" x14ac:dyDescent="0.25">
      <c r="B729" s="69"/>
      <c r="G729" s="71"/>
      <c r="I729" s="71"/>
      <c r="J729" s="71"/>
    </row>
    <row r="730" spans="2:10" x14ac:dyDescent="0.25">
      <c r="B730" s="69"/>
      <c r="G730" s="71"/>
      <c r="I730" s="71"/>
      <c r="J730" s="71"/>
    </row>
    <row r="731" spans="2:10" x14ac:dyDescent="0.25">
      <c r="B731" s="69"/>
      <c r="G731" s="71"/>
      <c r="I731" s="71"/>
      <c r="J731" s="71"/>
    </row>
    <row r="732" spans="2:10" x14ac:dyDescent="0.25">
      <c r="B732" s="69"/>
      <c r="G732" s="71"/>
      <c r="I732" s="71"/>
      <c r="J732" s="71"/>
    </row>
    <row r="733" spans="2:10" x14ac:dyDescent="0.25">
      <c r="B733" s="69"/>
      <c r="G733" s="71"/>
      <c r="I733" s="71"/>
      <c r="J733" s="71"/>
    </row>
    <row r="734" spans="2:10" x14ac:dyDescent="0.25">
      <c r="B734" s="69"/>
      <c r="G734" s="71"/>
      <c r="I734" s="71"/>
      <c r="J734" s="71"/>
    </row>
    <row r="735" spans="2:10" x14ac:dyDescent="0.25">
      <c r="B735" s="69"/>
      <c r="G735" s="71"/>
      <c r="I735" s="71"/>
      <c r="J735" s="71"/>
    </row>
    <row r="736" spans="2:10" x14ac:dyDescent="0.25">
      <c r="B736" s="69"/>
      <c r="G736" s="71"/>
      <c r="I736" s="71"/>
      <c r="J736" s="71"/>
    </row>
    <row r="737" spans="2:10" x14ac:dyDescent="0.25">
      <c r="B737" s="69"/>
      <c r="G737" s="71"/>
      <c r="I737" s="71"/>
      <c r="J737" s="71"/>
    </row>
    <row r="738" spans="2:10" x14ac:dyDescent="0.25">
      <c r="B738" s="69"/>
      <c r="G738" s="71"/>
      <c r="I738" s="71"/>
      <c r="J738" s="71"/>
    </row>
    <row r="739" spans="2:10" x14ac:dyDescent="0.25">
      <c r="B739" s="69"/>
      <c r="G739" s="71"/>
      <c r="I739" s="71"/>
      <c r="J739" s="71"/>
    </row>
    <row r="740" spans="2:10" x14ac:dyDescent="0.25">
      <c r="B740" s="69"/>
      <c r="G740" s="71"/>
      <c r="I740" s="71"/>
      <c r="J740" s="71"/>
    </row>
    <row r="741" spans="2:10" x14ac:dyDescent="0.25">
      <c r="B741" s="69"/>
      <c r="G741" s="71"/>
      <c r="I741" s="71"/>
      <c r="J741" s="71"/>
    </row>
    <row r="742" spans="2:10" x14ac:dyDescent="0.25">
      <c r="B742" s="69"/>
      <c r="G742" s="71"/>
      <c r="I742" s="71"/>
      <c r="J742" s="71"/>
    </row>
    <row r="743" spans="2:10" x14ac:dyDescent="0.25">
      <c r="B743" s="69"/>
      <c r="G743" s="71"/>
      <c r="I743" s="71"/>
      <c r="J743" s="71"/>
    </row>
    <row r="744" spans="2:10" x14ac:dyDescent="0.25">
      <c r="B744" s="69"/>
      <c r="G744" s="71"/>
      <c r="I744" s="71"/>
      <c r="J744" s="71"/>
    </row>
    <row r="745" spans="2:10" x14ac:dyDescent="0.25">
      <c r="B745" s="69"/>
      <c r="G745" s="71"/>
      <c r="I745" s="71"/>
      <c r="J745" s="71"/>
    </row>
    <row r="746" spans="2:10" x14ac:dyDescent="0.25">
      <c r="B746" s="69"/>
      <c r="G746" s="71"/>
      <c r="I746" s="71"/>
      <c r="J746" s="71"/>
    </row>
    <row r="747" spans="2:10" x14ac:dyDescent="0.25">
      <c r="B747" s="69"/>
      <c r="G747" s="71"/>
      <c r="I747" s="71"/>
      <c r="J747" s="71"/>
    </row>
    <row r="748" spans="2:10" x14ac:dyDescent="0.25">
      <c r="B748" s="69"/>
      <c r="G748" s="71"/>
      <c r="I748" s="71"/>
      <c r="J748" s="71"/>
    </row>
    <row r="749" spans="2:10" x14ac:dyDescent="0.25">
      <c r="B749" s="69"/>
      <c r="G749" s="71"/>
      <c r="I749" s="71"/>
      <c r="J749" s="71"/>
    </row>
    <row r="750" spans="2:10" x14ac:dyDescent="0.25">
      <c r="B750" s="69"/>
      <c r="G750" s="71"/>
      <c r="I750" s="71"/>
      <c r="J750" s="71"/>
    </row>
    <row r="751" spans="2:10" x14ac:dyDescent="0.25">
      <c r="B751" s="69"/>
      <c r="G751" s="71"/>
      <c r="I751" s="71"/>
      <c r="J751" s="71"/>
    </row>
    <row r="752" spans="2:10" x14ac:dyDescent="0.25">
      <c r="B752" s="69"/>
      <c r="G752" s="71"/>
      <c r="I752" s="71"/>
      <c r="J752" s="71"/>
    </row>
    <row r="753" spans="2:10" x14ac:dyDescent="0.25">
      <c r="B753" s="69"/>
      <c r="G753" s="71"/>
      <c r="I753" s="71"/>
      <c r="J753" s="71"/>
    </row>
    <row r="754" spans="2:10" x14ac:dyDescent="0.25">
      <c r="B754" s="69"/>
      <c r="G754" s="71"/>
      <c r="I754" s="71"/>
      <c r="J754" s="71"/>
    </row>
    <row r="755" spans="2:10" x14ac:dyDescent="0.25">
      <c r="B755" s="69"/>
      <c r="G755" s="71"/>
      <c r="I755" s="71"/>
      <c r="J755" s="71"/>
    </row>
    <row r="756" spans="2:10" x14ac:dyDescent="0.25">
      <c r="B756" s="69"/>
      <c r="G756" s="71"/>
      <c r="I756" s="71"/>
      <c r="J756" s="71"/>
    </row>
    <row r="757" spans="2:10" x14ac:dyDescent="0.25">
      <c r="B757" s="69"/>
      <c r="G757" s="71"/>
      <c r="I757" s="71"/>
      <c r="J757" s="71"/>
    </row>
    <row r="758" spans="2:10" x14ac:dyDescent="0.25">
      <c r="B758" s="69"/>
      <c r="G758" s="71"/>
      <c r="I758" s="71"/>
      <c r="J758" s="71"/>
    </row>
    <row r="759" spans="2:10" x14ac:dyDescent="0.25">
      <c r="B759" s="69"/>
      <c r="G759" s="71"/>
      <c r="I759" s="71"/>
      <c r="J759" s="71"/>
    </row>
    <row r="760" spans="2:10" x14ac:dyDescent="0.25">
      <c r="B760" s="69"/>
      <c r="G760" s="71"/>
      <c r="I760" s="71"/>
      <c r="J760" s="71"/>
    </row>
    <row r="761" spans="2:10" x14ac:dyDescent="0.25">
      <c r="B761" s="69"/>
      <c r="G761" s="71"/>
      <c r="I761" s="71"/>
      <c r="J761" s="71"/>
    </row>
    <row r="762" spans="2:10" x14ac:dyDescent="0.25">
      <c r="B762" s="69"/>
      <c r="G762" s="71"/>
      <c r="I762" s="71"/>
      <c r="J762" s="71"/>
    </row>
    <row r="763" spans="2:10" x14ac:dyDescent="0.25">
      <c r="B763" s="69"/>
      <c r="G763" s="71"/>
      <c r="I763" s="71"/>
      <c r="J763" s="71"/>
    </row>
    <row r="764" spans="2:10" x14ac:dyDescent="0.25">
      <c r="B764" s="69"/>
      <c r="G764" s="71"/>
      <c r="I764" s="71"/>
      <c r="J764" s="71"/>
    </row>
    <row r="765" spans="2:10" x14ac:dyDescent="0.25">
      <c r="B765" s="69"/>
      <c r="G765" s="71"/>
      <c r="I765" s="71"/>
      <c r="J765" s="71"/>
    </row>
    <row r="766" spans="2:10" x14ac:dyDescent="0.25">
      <c r="B766" s="69"/>
      <c r="G766" s="71"/>
      <c r="I766" s="71"/>
      <c r="J766" s="71"/>
    </row>
    <row r="767" spans="2:10" x14ac:dyDescent="0.25">
      <c r="B767" s="69"/>
      <c r="G767" s="71"/>
      <c r="I767" s="71"/>
      <c r="J767" s="71"/>
    </row>
    <row r="768" spans="2:10" x14ac:dyDescent="0.25">
      <c r="B768" s="69"/>
      <c r="G768" s="71"/>
      <c r="I768" s="71"/>
      <c r="J768" s="71"/>
    </row>
    <row r="769" spans="2:10" x14ac:dyDescent="0.25">
      <c r="B769" s="69"/>
      <c r="G769" s="71"/>
      <c r="I769" s="71"/>
      <c r="J769" s="71"/>
    </row>
    <row r="770" spans="2:10" x14ac:dyDescent="0.25">
      <c r="B770" s="69"/>
      <c r="G770" s="71"/>
      <c r="I770" s="71"/>
      <c r="J770" s="71"/>
    </row>
    <row r="771" spans="2:10" x14ac:dyDescent="0.25">
      <c r="B771" s="69"/>
      <c r="G771" s="71"/>
      <c r="I771" s="71"/>
      <c r="J771" s="71"/>
    </row>
    <row r="772" spans="2:10" x14ac:dyDescent="0.25">
      <c r="B772" s="69"/>
      <c r="G772" s="71"/>
      <c r="I772" s="71"/>
      <c r="J772" s="71"/>
    </row>
    <row r="773" spans="2:10" x14ac:dyDescent="0.25">
      <c r="B773" s="69"/>
      <c r="G773" s="71"/>
      <c r="I773" s="71"/>
      <c r="J773" s="71"/>
    </row>
    <row r="774" spans="2:10" x14ac:dyDescent="0.25">
      <c r="B774" s="69"/>
      <c r="G774" s="71"/>
      <c r="I774" s="71"/>
      <c r="J774" s="71"/>
    </row>
    <row r="775" spans="2:10" x14ac:dyDescent="0.25">
      <c r="B775" s="69"/>
      <c r="G775" s="71"/>
      <c r="I775" s="71"/>
      <c r="J775" s="71"/>
    </row>
    <row r="776" spans="2:10" x14ac:dyDescent="0.25">
      <c r="B776" s="69"/>
      <c r="G776" s="71"/>
      <c r="I776" s="71"/>
      <c r="J776" s="71"/>
    </row>
    <row r="777" spans="2:10" x14ac:dyDescent="0.25">
      <c r="B777" s="69"/>
      <c r="G777" s="71"/>
      <c r="I777" s="71"/>
      <c r="J777" s="71"/>
    </row>
    <row r="778" spans="2:10" x14ac:dyDescent="0.25">
      <c r="B778" s="69"/>
      <c r="G778" s="71"/>
      <c r="I778" s="71"/>
      <c r="J778" s="71"/>
    </row>
    <row r="779" spans="2:10" x14ac:dyDescent="0.25">
      <c r="B779" s="69"/>
      <c r="G779" s="71"/>
      <c r="I779" s="71"/>
      <c r="J779" s="71"/>
    </row>
    <row r="780" spans="2:10" x14ac:dyDescent="0.25">
      <c r="B780" s="69"/>
      <c r="G780" s="71"/>
      <c r="I780" s="71"/>
      <c r="J780" s="71"/>
    </row>
    <row r="781" spans="2:10" x14ac:dyDescent="0.25">
      <c r="B781" s="69"/>
      <c r="G781" s="71"/>
      <c r="I781" s="71"/>
      <c r="J781" s="71"/>
    </row>
    <row r="782" spans="2:10" x14ac:dyDescent="0.25">
      <c r="B782" s="69"/>
      <c r="G782" s="71"/>
      <c r="I782" s="71"/>
      <c r="J782" s="71"/>
    </row>
    <row r="783" spans="2:10" x14ac:dyDescent="0.25">
      <c r="B783" s="69"/>
      <c r="G783" s="71"/>
      <c r="I783" s="71"/>
      <c r="J783" s="71"/>
    </row>
    <row r="784" spans="2:10" x14ac:dyDescent="0.25">
      <c r="B784" s="69"/>
      <c r="G784" s="71"/>
      <c r="I784" s="71"/>
      <c r="J784" s="71"/>
    </row>
    <row r="785" spans="2:10" x14ac:dyDescent="0.25">
      <c r="B785" s="69"/>
      <c r="G785" s="71"/>
      <c r="I785" s="71"/>
      <c r="J785" s="71"/>
    </row>
    <row r="786" spans="2:10" x14ac:dyDescent="0.25">
      <c r="B786" s="69"/>
      <c r="G786" s="71"/>
      <c r="I786" s="71"/>
      <c r="J786" s="71"/>
    </row>
    <row r="787" spans="2:10" x14ac:dyDescent="0.25">
      <c r="B787" s="69"/>
      <c r="G787" s="71"/>
      <c r="I787" s="71"/>
      <c r="J787" s="71"/>
    </row>
    <row r="788" spans="2:10" x14ac:dyDescent="0.25">
      <c r="B788" s="69"/>
      <c r="G788" s="71"/>
      <c r="I788" s="71"/>
      <c r="J788" s="71"/>
    </row>
    <row r="789" spans="2:10" x14ac:dyDescent="0.25">
      <c r="B789" s="69"/>
      <c r="G789" s="71"/>
      <c r="I789" s="71"/>
      <c r="J789" s="71"/>
    </row>
    <row r="790" spans="2:10" x14ac:dyDescent="0.25">
      <c r="B790" s="69"/>
      <c r="G790" s="71"/>
      <c r="I790" s="71"/>
      <c r="J790" s="71"/>
    </row>
    <row r="791" spans="2:10" x14ac:dyDescent="0.25">
      <c r="B791" s="69"/>
      <c r="G791" s="71"/>
      <c r="I791" s="71"/>
      <c r="J791" s="71"/>
    </row>
    <row r="792" spans="2:10" x14ac:dyDescent="0.25">
      <c r="B792" s="69"/>
      <c r="G792" s="71"/>
      <c r="I792" s="71"/>
      <c r="J792" s="71"/>
    </row>
    <row r="793" spans="2:10" x14ac:dyDescent="0.25">
      <c r="B793" s="69"/>
      <c r="G793" s="71"/>
      <c r="I793" s="71"/>
      <c r="J793" s="71"/>
    </row>
    <row r="794" spans="2:10" x14ac:dyDescent="0.25">
      <c r="B794" s="69"/>
      <c r="G794" s="71"/>
      <c r="I794" s="71"/>
      <c r="J794" s="71"/>
    </row>
    <row r="795" spans="2:10" x14ac:dyDescent="0.25">
      <c r="B795" s="69"/>
      <c r="G795" s="71"/>
      <c r="I795" s="71"/>
      <c r="J795" s="71"/>
    </row>
    <row r="796" spans="2:10" x14ac:dyDescent="0.25">
      <c r="B796" s="69"/>
      <c r="G796" s="71"/>
      <c r="I796" s="71"/>
      <c r="J796" s="71"/>
    </row>
    <row r="797" spans="2:10" x14ac:dyDescent="0.25">
      <c r="B797" s="69"/>
      <c r="G797" s="71"/>
      <c r="I797" s="71"/>
      <c r="J797" s="71"/>
    </row>
    <row r="798" spans="2:10" x14ac:dyDescent="0.25">
      <c r="B798" s="69"/>
      <c r="G798" s="71"/>
      <c r="I798" s="71"/>
      <c r="J798" s="71"/>
    </row>
    <row r="799" spans="2:10" x14ac:dyDescent="0.25">
      <c r="B799" s="69"/>
      <c r="G799" s="71"/>
      <c r="I799" s="71"/>
      <c r="J799" s="71"/>
    </row>
    <row r="800" spans="2:10" x14ac:dyDescent="0.25">
      <c r="B800" s="69"/>
      <c r="G800" s="71"/>
      <c r="I800" s="71"/>
      <c r="J800" s="71"/>
    </row>
    <row r="801" spans="2:10" x14ac:dyDescent="0.25">
      <c r="B801" s="69"/>
      <c r="G801" s="71"/>
      <c r="I801" s="71"/>
      <c r="J801" s="71"/>
    </row>
    <row r="802" spans="2:10" x14ac:dyDescent="0.25">
      <c r="B802" s="69"/>
      <c r="G802" s="71"/>
      <c r="I802" s="71"/>
      <c r="J802" s="71"/>
    </row>
    <row r="803" spans="2:10" x14ac:dyDescent="0.25">
      <c r="B803" s="69"/>
      <c r="G803" s="71"/>
      <c r="I803" s="71"/>
      <c r="J803" s="71"/>
    </row>
    <row r="804" spans="2:10" x14ac:dyDescent="0.25">
      <c r="B804" s="69"/>
      <c r="G804" s="71"/>
      <c r="I804" s="71"/>
      <c r="J804" s="71"/>
    </row>
    <row r="805" spans="2:10" x14ac:dyDescent="0.25">
      <c r="B805" s="69"/>
      <c r="G805" s="71"/>
      <c r="I805" s="71"/>
      <c r="J805" s="71"/>
    </row>
    <row r="806" spans="2:10" x14ac:dyDescent="0.25">
      <c r="B806" s="69"/>
      <c r="G806" s="71"/>
      <c r="I806" s="71"/>
      <c r="J806" s="71"/>
    </row>
    <row r="807" spans="2:10" x14ac:dyDescent="0.25">
      <c r="B807" s="69"/>
      <c r="G807" s="71"/>
      <c r="I807" s="71"/>
      <c r="J807" s="71"/>
    </row>
    <row r="808" spans="2:10" x14ac:dyDescent="0.25">
      <c r="B808" s="69"/>
      <c r="G808" s="71"/>
      <c r="I808" s="71"/>
      <c r="J808" s="71"/>
    </row>
    <row r="809" spans="2:10" x14ac:dyDescent="0.25">
      <c r="B809" s="69"/>
      <c r="G809" s="71"/>
      <c r="I809" s="71"/>
      <c r="J809" s="71"/>
    </row>
    <row r="810" spans="2:10" x14ac:dyDescent="0.25">
      <c r="B810" s="69"/>
      <c r="G810" s="71"/>
      <c r="I810" s="71"/>
      <c r="J810" s="71"/>
    </row>
    <row r="811" spans="2:10" x14ac:dyDescent="0.25">
      <c r="B811" s="69"/>
      <c r="G811" s="71"/>
      <c r="I811" s="71"/>
      <c r="J811" s="71"/>
    </row>
    <row r="812" spans="2:10" x14ac:dyDescent="0.25">
      <c r="B812" s="69"/>
      <c r="G812" s="71"/>
      <c r="I812" s="71"/>
      <c r="J812" s="71"/>
    </row>
    <row r="813" spans="2:10" x14ac:dyDescent="0.25">
      <c r="B813" s="69"/>
      <c r="G813" s="71"/>
      <c r="I813" s="71"/>
      <c r="J813" s="71"/>
    </row>
    <row r="814" spans="2:10" x14ac:dyDescent="0.25">
      <c r="B814" s="69"/>
      <c r="G814" s="71"/>
      <c r="I814" s="71"/>
      <c r="J814" s="71"/>
    </row>
    <row r="815" spans="2:10" x14ac:dyDescent="0.25">
      <c r="B815" s="69"/>
      <c r="G815" s="71"/>
      <c r="I815" s="71"/>
      <c r="J815" s="71"/>
    </row>
    <row r="816" spans="2:10" x14ac:dyDescent="0.25">
      <c r="B816" s="69"/>
      <c r="G816" s="71"/>
      <c r="I816" s="71"/>
      <c r="J816" s="71"/>
    </row>
    <row r="817" spans="2:10" x14ac:dyDescent="0.25">
      <c r="B817" s="69"/>
      <c r="G817" s="71"/>
      <c r="I817" s="71"/>
      <c r="J817" s="71"/>
    </row>
    <row r="818" spans="2:10" x14ac:dyDescent="0.25">
      <c r="B818" s="69"/>
      <c r="G818" s="71"/>
      <c r="I818" s="71"/>
      <c r="J818" s="71"/>
    </row>
    <row r="819" spans="2:10" x14ac:dyDescent="0.25">
      <c r="B819" s="69"/>
      <c r="G819" s="71"/>
      <c r="I819" s="71"/>
      <c r="J819" s="71"/>
    </row>
    <row r="820" spans="2:10" x14ac:dyDescent="0.25">
      <c r="B820" s="69"/>
      <c r="G820" s="71"/>
      <c r="I820" s="71"/>
      <c r="J820" s="71"/>
    </row>
    <row r="821" spans="2:10" x14ac:dyDescent="0.25">
      <c r="B821" s="69"/>
      <c r="G821" s="71"/>
      <c r="I821" s="71"/>
      <c r="J821" s="71"/>
    </row>
    <row r="822" spans="2:10" x14ac:dyDescent="0.25">
      <c r="B822" s="69"/>
      <c r="G822" s="71"/>
      <c r="I822" s="71"/>
      <c r="J822" s="71"/>
    </row>
    <row r="823" spans="2:10" x14ac:dyDescent="0.25">
      <c r="B823" s="69"/>
      <c r="G823" s="71"/>
      <c r="I823" s="71"/>
      <c r="J823" s="71"/>
    </row>
    <row r="824" spans="2:10" x14ac:dyDescent="0.25">
      <c r="B824" s="69"/>
      <c r="G824" s="71"/>
      <c r="I824" s="71"/>
      <c r="J824" s="71"/>
    </row>
    <row r="825" spans="2:10" x14ac:dyDescent="0.25">
      <c r="B825" s="69"/>
      <c r="G825" s="71"/>
      <c r="I825" s="71"/>
      <c r="J825" s="71"/>
    </row>
    <row r="826" spans="2:10" x14ac:dyDescent="0.25">
      <c r="B826" s="69"/>
      <c r="G826" s="71"/>
      <c r="I826" s="71"/>
      <c r="J826" s="71"/>
    </row>
    <row r="827" spans="2:10" x14ac:dyDescent="0.25">
      <c r="B827" s="69"/>
      <c r="G827" s="71"/>
      <c r="I827" s="71"/>
      <c r="J827" s="71"/>
    </row>
    <row r="828" spans="2:10" x14ac:dyDescent="0.25">
      <c r="B828" s="69"/>
      <c r="G828" s="71"/>
      <c r="I828" s="71"/>
      <c r="J828" s="71"/>
    </row>
    <row r="829" spans="2:10" x14ac:dyDescent="0.25">
      <c r="B829" s="69"/>
      <c r="G829" s="71"/>
      <c r="I829" s="71"/>
      <c r="J829" s="71"/>
    </row>
    <row r="830" spans="2:10" x14ac:dyDescent="0.25">
      <c r="B830" s="69"/>
      <c r="G830" s="71"/>
      <c r="I830" s="71"/>
      <c r="J830" s="71"/>
    </row>
    <row r="831" spans="2:10" x14ac:dyDescent="0.25">
      <c r="B831" s="69"/>
      <c r="G831" s="71"/>
      <c r="I831" s="71"/>
      <c r="J831" s="71"/>
    </row>
    <row r="832" spans="2:10" x14ac:dyDescent="0.25">
      <c r="B832" s="69"/>
      <c r="G832" s="71"/>
      <c r="I832" s="71"/>
      <c r="J832" s="71"/>
    </row>
    <row r="833" spans="2:10" x14ac:dyDescent="0.25">
      <c r="B833" s="69"/>
      <c r="G833" s="71"/>
      <c r="I833" s="71"/>
      <c r="J833" s="71"/>
    </row>
    <row r="834" spans="2:10" x14ac:dyDescent="0.25">
      <c r="B834" s="69"/>
      <c r="G834" s="71"/>
      <c r="I834" s="71"/>
      <c r="J834" s="71"/>
    </row>
    <row r="835" spans="2:10" x14ac:dyDescent="0.25">
      <c r="B835" s="69"/>
      <c r="G835" s="71"/>
      <c r="I835" s="71"/>
      <c r="J835" s="71"/>
    </row>
    <row r="836" spans="2:10" x14ac:dyDescent="0.25">
      <c r="B836" s="69"/>
      <c r="G836" s="71"/>
      <c r="I836" s="71"/>
      <c r="J836" s="71"/>
    </row>
    <row r="837" spans="2:10" x14ac:dyDescent="0.25">
      <c r="B837" s="69"/>
      <c r="G837" s="71"/>
      <c r="I837" s="71"/>
      <c r="J837" s="71"/>
    </row>
    <row r="838" spans="2:10" x14ac:dyDescent="0.25">
      <c r="B838" s="69"/>
      <c r="G838" s="71"/>
      <c r="I838" s="71"/>
      <c r="J838" s="71"/>
    </row>
    <row r="839" spans="2:10" x14ac:dyDescent="0.25">
      <c r="B839" s="69"/>
      <c r="G839" s="71"/>
      <c r="I839" s="71"/>
      <c r="J839" s="71"/>
    </row>
    <row r="840" spans="2:10" x14ac:dyDescent="0.25">
      <c r="B840" s="69"/>
      <c r="G840" s="71"/>
      <c r="I840" s="71"/>
      <c r="J840" s="71"/>
    </row>
    <row r="841" spans="2:10" x14ac:dyDescent="0.25">
      <c r="B841" s="69"/>
      <c r="G841" s="71"/>
      <c r="I841" s="71"/>
      <c r="J841" s="71"/>
    </row>
    <row r="842" spans="2:10" x14ac:dyDescent="0.25">
      <c r="B842" s="69"/>
      <c r="G842" s="71"/>
      <c r="I842" s="71"/>
      <c r="J842" s="71"/>
    </row>
    <row r="843" spans="2:10" x14ac:dyDescent="0.25">
      <c r="B843" s="69"/>
      <c r="G843" s="71"/>
      <c r="I843" s="71"/>
      <c r="J843" s="71"/>
    </row>
    <row r="844" spans="2:10" x14ac:dyDescent="0.25">
      <c r="B844" s="69"/>
      <c r="G844" s="71"/>
      <c r="I844" s="71"/>
      <c r="J844" s="71"/>
    </row>
    <row r="845" spans="2:10" x14ac:dyDescent="0.25">
      <c r="B845" s="69"/>
      <c r="G845" s="71"/>
      <c r="I845" s="71"/>
      <c r="J845" s="71"/>
    </row>
    <row r="846" spans="2:10" x14ac:dyDescent="0.25">
      <c r="B846" s="69"/>
      <c r="G846" s="71"/>
      <c r="I846" s="71"/>
      <c r="J846" s="71"/>
    </row>
    <row r="847" spans="2:10" x14ac:dyDescent="0.25">
      <c r="B847" s="69"/>
      <c r="G847" s="71"/>
      <c r="I847" s="71"/>
      <c r="J847" s="71"/>
    </row>
    <row r="848" spans="2:10" x14ac:dyDescent="0.25">
      <c r="B848" s="69"/>
      <c r="G848" s="71"/>
      <c r="I848" s="71"/>
      <c r="J848" s="71"/>
    </row>
    <row r="849" spans="2:10" x14ac:dyDescent="0.25">
      <c r="B849" s="69"/>
      <c r="G849" s="71"/>
      <c r="I849" s="71"/>
      <c r="J849" s="71"/>
    </row>
    <row r="850" spans="2:10" x14ac:dyDescent="0.25">
      <c r="B850" s="69"/>
      <c r="G850" s="71"/>
      <c r="I850" s="71"/>
      <c r="J850" s="71"/>
    </row>
    <row r="851" spans="2:10" x14ac:dyDescent="0.25">
      <c r="B851" s="69"/>
      <c r="G851" s="71"/>
      <c r="I851" s="71"/>
      <c r="J851" s="71"/>
    </row>
    <row r="852" spans="2:10" x14ac:dyDescent="0.25">
      <c r="B852" s="69"/>
      <c r="G852" s="71"/>
      <c r="I852" s="71"/>
      <c r="J852" s="71"/>
    </row>
    <row r="853" spans="2:10" x14ac:dyDescent="0.25">
      <c r="B853" s="69"/>
      <c r="G853" s="71"/>
      <c r="I853" s="71"/>
      <c r="J853" s="71"/>
    </row>
    <row r="854" spans="2:10" x14ac:dyDescent="0.25">
      <c r="B854" s="69"/>
      <c r="G854" s="71"/>
      <c r="I854" s="71"/>
      <c r="J854" s="71"/>
    </row>
    <row r="855" spans="2:10" x14ac:dyDescent="0.25">
      <c r="B855" s="69"/>
      <c r="G855" s="71"/>
      <c r="I855" s="71"/>
      <c r="J855" s="71"/>
    </row>
    <row r="856" spans="2:10" x14ac:dyDescent="0.25">
      <c r="B856" s="69"/>
      <c r="G856" s="71"/>
      <c r="I856" s="71"/>
      <c r="J856" s="71"/>
    </row>
    <row r="857" spans="2:10" x14ac:dyDescent="0.25">
      <c r="B857" s="69"/>
      <c r="G857" s="71"/>
      <c r="I857" s="71"/>
      <c r="J857" s="71"/>
    </row>
    <row r="858" spans="2:10" x14ac:dyDescent="0.25">
      <c r="B858" s="69"/>
      <c r="G858" s="71"/>
      <c r="I858" s="71"/>
      <c r="J858" s="71"/>
    </row>
    <row r="859" spans="2:10" x14ac:dyDescent="0.25">
      <c r="B859" s="69"/>
      <c r="G859" s="71"/>
      <c r="I859" s="71"/>
      <c r="J859" s="71"/>
    </row>
    <row r="860" spans="2:10" x14ac:dyDescent="0.25">
      <c r="B860" s="69"/>
      <c r="G860" s="71"/>
      <c r="I860" s="71"/>
      <c r="J860" s="71"/>
    </row>
    <row r="861" spans="2:10" x14ac:dyDescent="0.25">
      <c r="B861" s="69"/>
      <c r="G861" s="71"/>
      <c r="I861" s="71"/>
      <c r="J861" s="71"/>
    </row>
    <row r="862" spans="2:10" x14ac:dyDescent="0.25">
      <c r="B862" s="69"/>
      <c r="G862" s="71"/>
      <c r="I862" s="71"/>
      <c r="J862" s="71"/>
    </row>
    <row r="863" spans="2:10" x14ac:dyDescent="0.25">
      <c r="B863" s="69"/>
      <c r="G863" s="71"/>
      <c r="I863" s="71"/>
      <c r="J863" s="71"/>
    </row>
    <row r="864" spans="2:10" x14ac:dyDescent="0.25">
      <c r="B864" s="69"/>
      <c r="G864" s="71"/>
      <c r="I864" s="71"/>
      <c r="J864" s="71"/>
    </row>
    <row r="865" spans="2:10" x14ac:dyDescent="0.25">
      <c r="B865" s="69"/>
      <c r="G865" s="71"/>
      <c r="I865" s="71"/>
      <c r="J865" s="71"/>
    </row>
    <row r="866" spans="2:10" x14ac:dyDescent="0.25">
      <c r="B866" s="69"/>
      <c r="G866" s="71"/>
      <c r="I866" s="71"/>
      <c r="J866" s="71"/>
    </row>
    <row r="867" spans="2:10" x14ac:dyDescent="0.25">
      <c r="B867" s="69"/>
      <c r="G867" s="71"/>
      <c r="I867" s="71"/>
      <c r="J867" s="71"/>
    </row>
    <row r="868" spans="2:10" x14ac:dyDescent="0.25">
      <c r="B868" s="69"/>
      <c r="G868" s="71"/>
      <c r="I868" s="71"/>
      <c r="J868" s="71"/>
    </row>
    <row r="869" spans="2:10" x14ac:dyDescent="0.25">
      <c r="B869" s="69"/>
      <c r="G869" s="71"/>
      <c r="I869" s="71"/>
      <c r="J869" s="71"/>
    </row>
    <row r="870" spans="2:10" x14ac:dyDescent="0.25">
      <c r="B870" s="69"/>
      <c r="D870" s="71"/>
      <c r="F870" s="70"/>
      <c r="G870" s="71"/>
      <c r="I870" s="71"/>
      <c r="J870" s="71"/>
    </row>
    <row r="871" spans="2:10" x14ac:dyDescent="0.25">
      <c r="B871" s="69"/>
      <c r="D871" s="71"/>
      <c r="F871" s="70"/>
      <c r="G871" s="71"/>
      <c r="I871" s="71"/>
      <c r="J871" s="71"/>
    </row>
    <row r="872" spans="2:10" x14ac:dyDescent="0.25">
      <c r="B872" s="69"/>
      <c r="D872" s="71"/>
      <c r="F872" s="70"/>
      <c r="G872" s="71"/>
      <c r="I872" s="71"/>
      <c r="J872" s="71"/>
    </row>
    <row r="873" spans="2:10" x14ac:dyDescent="0.25">
      <c r="B873" s="69"/>
      <c r="D873" s="71"/>
      <c r="F873" s="70"/>
      <c r="G873" s="71"/>
      <c r="I873" s="71"/>
      <c r="J873" s="71"/>
    </row>
    <row r="874" spans="2:10" x14ac:dyDescent="0.25">
      <c r="B874" s="69"/>
      <c r="D874" s="71"/>
      <c r="F874" s="70"/>
      <c r="G874" s="71"/>
      <c r="I874" s="71"/>
      <c r="J874" s="71"/>
    </row>
    <row r="875" spans="2:10" x14ac:dyDescent="0.25">
      <c r="B875" s="69"/>
      <c r="D875" s="71"/>
      <c r="F875" s="70"/>
      <c r="G875" s="71"/>
      <c r="I875" s="71"/>
      <c r="J875" s="71"/>
    </row>
  </sheetData>
  <sheetProtection algorithmName="SHA-512" hashValue="Kb8QEwfyz/0J/LoAcNY+AuetPYKMVSQe1j4DRmCqWtQFAw6itU2YggQoto/pFghg57ysDkBQESHRcRNuOhzMaQ==" saltValue="r3kBKk4yg+aLTCI7qPzsDQ==" spinCount="100000" sheet="1" objects="1" scenarios="1"/>
  <phoneticPr fontId="5" type="noConversion"/>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D255-EC0D-4CF0-A496-F60C1F9607F7}">
  <sheetPr codeName="Sheet13">
    <tabColor theme="5" tint="0.59999389629810485"/>
  </sheetPr>
  <dimension ref="A3:BE57"/>
  <sheetViews>
    <sheetView showGridLines="0" workbookViewId="0">
      <selection activeCell="Z8" sqref="Z8"/>
    </sheetView>
  </sheetViews>
  <sheetFormatPr defaultRowHeight="11.5" x14ac:dyDescent="0.25"/>
  <cols>
    <col min="1" max="1" width="13.296875" bestFit="1" customWidth="1"/>
    <col min="2" max="2" width="16.296875" bestFit="1" customWidth="1"/>
    <col min="3" max="3" width="8.5" bestFit="1" customWidth="1"/>
    <col min="4" max="4" width="13" bestFit="1" customWidth="1"/>
    <col min="5" max="5" width="8.5" bestFit="1" customWidth="1"/>
    <col min="6" max="6" width="13" bestFit="1" customWidth="1"/>
    <col min="7" max="7" width="8.5" bestFit="1" customWidth="1"/>
    <col min="8" max="8" width="13" bestFit="1" customWidth="1"/>
    <col min="9" max="9" width="8.5" bestFit="1" customWidth="1"/>
    <col min="10" max="10" width="13" bestFit="1" customWidth="1"/>
    <col min="11" max="11" width="8.5" bestFit="1" customWidth="1"/>
    <col min="12" max="12" width="13" bestFit="1" customWidth="1"/>
    <col min="13" max="13" width="8.5" bestFit="1" customWidth="1"/>
    <col min="14" max="14" width="13" bestFit="1" customWidth="1"/>
    <col min="15" max="15" width="8.5" bestFit="1" customWidth="1"/>
    <col min="16" max="16" width="17.8984375" bestFit="1" customWidth="1"/>
    <col min="17" max="17" width="13.3984375" bestFit="1" customWidth="1"/>
    <col min="18" max="18" width="13" bestFit="1" customWidth="1"/>
    <col min="19" max="19" width="8.8984375" bestFit="1" customWidth="1"/>
    <col min="20" max="20" width="13.296875" bestFit="1" customWidth="1"/>
    <col min="21" max="21" width="13" bestFit="1" customWidth="1"/>
    <col min="22" max="22" width="17.8984375" bestFit="1" customWidth="1"/>
    <col min="23" max="23" width="13.3984375" bestFit="1" customWidth="1"/>
    <col min="24" max="24" width="3.8984375" bestFit="1" customWidth="1"/>
    <col min="25" max="25" width="11.3984375" bestFit="1" customWidth="1"/>
    <col min="26" max="26" width="13.296875" bestFit="1" customWidth="1"/>
    <col min="27" max="27" width="14.296875" bestFit="1" customWidth="1"/>
    <col min="28" max="28" width="19.5" bestFit="1" customWidth="1"/>
    <col min="29" max="29" width="21.59765625" bestFit="1" customWidth="1"/>
    <col min="30" max="30" width="14.69921875" bestFit="1" customWidth="1"/>
    <col min="31" max="31" width="21.59765625" bestFit="1" customWidth="1"/>
    <col min="32" max="32" width="13.296875" bestFit="1" customWidth="1"/>
    <col min="33" max="33" width="21.59765625" bestFit="1" customWidth="1"/>
    <col min="34" max="34" width="19.5" bestFit="1" customWidth="1"/>
    <col min="35" max="35" width="5.8984375" bestFit="1" customWidth="1"/>
    <col min="36" max="36" width="16.796875" bestFit="1" customWidth="1"/>
    <col min="37" max="37" width="13" bestFit="1" customWidth="1"/>
    <col min="38" max="38" width="10.8984375" bestFit="1" customWidth="1"/>
    <col min="39" max="39" width="12.8984375" bestFit="1" customWidth="1"/>
    <col min="40" max="40" width="4.3984375" bestFit="1" customWidth="1"/>
    <col min="41" max="41" width="10.3984375" bestFit="1" customWidth="1"/>
    <col min="42" max="42" width="6.8984375" bestFit="1" customWidth="1"/>
    <col min="43" max="43" width="15.69921875" bestFit="1" customWidth="1"/>
    <col min="44" max="44" width="14.296875" bestFit="1" customWidth="1"/>
    <col min="45" max="45" width="13" bestFit="1" customWidth="1"/>
    <col min="46" max="46" width="10.8984375" bestFit="1" customWidth="1"/>
    <col min="47" max="47" width="8.5" bestFit="1" customWidth="1"/>
    <col min="48" max="48" width="11.69921875" bestFit="1" customWidth="1"/>
    <col min="49" max="49" width="4.69921875" bestFit="1" customWidth="1"/>
    <col min="50" max="50" width="5.09765625" bestFit="1" customWidth="1"/>
    <col min="51" max="51" width="8.296875" bestFit="1" customWidth="1"/>
    <col min="52" max="52" width="5.3984375" bestFit="1" customWidth="1"/>
    <col min="53" max="53" width="15.69921875" bestFit="1" customWidth="1"/>
    <col min="54" max="54" width="14.296875" bestFit="1" customWidth="1"/>
    <col min="55" max="55" width="13" bestFit="1" customWidth="1"/>
    <col min="56" max="56" width="10.8984375" bestFit="1" customWidth="1"/>
    <col min="57" max="57" width="8.5" bestFit="1" customWidth="1"/>
  </cols>
  <sheetData>
    <row r="3" spans="20:57" x14ac:dyDescent="0.25">
      <c r="AR3">
        <f>COUNTIF(AR9:AR20,"")</f>
        <v>10</v>
      </c>
      <c r="AU3">
        <f>COUNTIF(AU9:AU20,0.001)</f>
        <v>0</v>
      </c>
    </row>
    <row r="4" spans="20:57" x14ac:dyDescent="0.25">
      <c r="AU4">
        <f>12-AU3</f>
        <v>12</v>
      </c>
    </row>
    <row r="5" spans="20:57" x14ac:dyDescent="0.25">
      <c r="AF5" s="21" t="s">
        <v>10</v>
      </c>
      <c r="AG5" t="s" vm="4">
        <v>13</v>
      </c>
      <c r="AJ5" s="21" t="s">
        <v>10</v>
      </c>
      <c r="AK5" t="s" vm="1">
        <v>14</v>
      </c>
    </row>
    <row r="6" spans="20:57" x14ac:dyDescent="0.25">
      <c r="T6" s="21" t="s">
        <v>10</v>
      </c>
      <c r="U6" t="s" vm="1">
        <v>14</v>
      </c>
    </row>
    <row r="7" spans="20:57" x14ac:dyDescent="0.25">
      <c r="AF7" s="21" t="s">
        <v>18</v>
      </c>
      <c r="AG7" t="s">
        <v>174</v>
      </c>
      <c r="AH7" t="s">
        <v>175</v>
      </c>
      <c r="AJ7" s="21" t="s">
        <v>18</v>
      </c>
      <c r="AK7" t="s">
        <v>143</v>
      </c>
      <c r="AL7" t="s">
        <v>176</v>
      </c>
      <c r="AQ7" s="21" t="s">
        <v>18</v>
      </c>
      <c r="AR7" s="21" t="s">
        <v>68</v>
      </c>
      <c r="AS7" t="s">
        <v>143</v>
      </c>
      <c r="AT7" t="s">
        <v>176</v>
      </c>
      <c r="AU7" t="s">
        <v>193</v>
      </c>
      <c r="BA7" s="21" t="s">
        <v>18</v>
      </c>
      <c r="BB7" s="21" t="s">
        <v>68</v>
      </c>
      <c r="BC7" t="s">
        <v>143</v>
      </c>
      <c r="BD7" t="s">
        <v>176</v>
      </c>
      <c r="BE7" t="s">
        <v>193</v>
      </c>
    </row>
    <row r="8" spans="20:57" x14ac:dyDescent="0.25">
      <c r="T8" s="21" t="s">
        <v>18</v>
      </c>
      <c r="U8" t="s">
        <v>143</v>
      </c>
      <c r="Z8" s="21" t="s">
        <v>18</v>
      </c>
      <c r="AA8" s="21" t="s">
        <v>68</v>
      </c>
      <c r="AB8" t="s">
        <v>175</v>
      </c>
      <c r="AC8" t="s">
        <v>174</v>
      </c>
      <c r="AD8" t="s">
        <v>20</v>
      </c>
      <c r="AF8" s="7" t="s">
        <v>1332</v>
      </c>
      <c r="AG8">
        <v>4.0000000000000001E-3</v>
      </c>
      <c r="AH8">
        <v>4.0000000000000001E-3</v>
      </c>
      <c r="AJ8" s="7" t="s">
        <v>1403</v>
      </c>
      <c r="AK8" s="70"/>
      <c r="AL8" s="70"/>
      <c r="AQ8" s="7" t="s">
        <v>1412</v>
      </c>
      <c r="BA8" s="7" t="s">
        <v>1410</v>
      </c>
    </row>
    <row r="9" spans="20:57" x14ac:dyDescent="0.25">
      <c r="T9" s="7" t="s">
        <v>1401</v>
      </c>
      <c r="U9" s="28">
        <v>0.14285714285714277</v>
      </c>
      <c r="Z9" s="7">
        <v>2025</v>
      </c>
      <c r="AA9" s="7" t="s">
        <v>66</v>
      </c>
      <c r="AB9" s="108">
        <v>1.0000000000000002E-2</v>
      </c>
      <c r="AC9" s="108">
        <v>1.0000000000000002E-2</v>
      </c>
      <c r="AD9" s="108">
        <v>1.0000000000000002E-3</v>
      </c>
      <c r="AF9" s="7" t="s">
        <v>1331</v>
      </c>
      <c r="AG9">
        <v>4.0000000000000001E-3</v>
      </c>
      <c r="AH9">
        <v>4.0000000000000001E-3</v>
      </c>
      <c r="AJ9" s="26" t="s">
        <v>1410</v>
      </c>
      <c r="AK9" s="70">
        <v>4.0000000000000001E-3</v>
      </c>
      <c r="AL9" s="70">
        <v>4.0000000000000001E-3</v>
      </c>
      <c r="AQ9" s="26" t="s">
        <v>170</v>
      </c>
      <c r="AR9" s="7" t="s">
        <v>66</v>
      </c>
      <c r="AS9" s="115">
        <v>2E-3</v>
      </c>
      <c r="AT9">
        <v>2E-3</v>
      </c>
      <c r="AU9">
        <v>2.0000000000000001E-4</v>
      </c>
      <c r="BA9" s="26" t="s">
        <v>170</v>
      </c>
      <c r="BB9" s="7" t="s">
        <v>66</v>
      </c>
      <c r="BC9" s="115">
        <v>2E-3</v>
      </c>
      <c r="BD9">
        <v>2E-3</v>
      </c>
      <c r="BE9">
        <v>2.0000000000000001E-4</v>
      </c>
    </row>
    <row r="10" spans="20:57" x14ac:dyDescent="0.25">
      <c r="T10" s="7" t="s">
        <v>1402</v>
      </c>
      <c r="U10" s="28">
        <v>0.14285714285714277</v>
      </c>
      <c r="AA10" s="7" t="s">
        <v>67</v>
      </c>
      <c r="AB10" s="108">
        <v>1.0000000000000002E-2</v>
      </c>
      <c r="AC10" s="108">
        <v>1.0000000000000002E-2</v>
      </c>
      <c r="AD10" s="108">
        <v>1.0000000000000002E-3</v>
      </c>
      <c r="AF10" s="7" t="s">
        <v>1333</v>
      </c>
      <c r="AG10">
        <v>4.0000000000000001E-3</v>
      </c>
      <c r="AH10">
        <v>4.0000000000000001E-3</v>
      </c>
      <c r="AJ10" s="7" t="s">
        <v>1418</v>
      </c>
      <c r="AK10" s="70">
        <v>4.0000000000000001E-3</v>
      </c>
      <c r="AL10" s="70">
        <v>4.0000000000000001E-3</v>
      </c>
      <c r="AR10" s="7" t="s">
        <v>67</v>
      </c>
      <c r="AS10" s="115">
        <v>2E-3</v>
      </c>
      <c r="AT10">
        <v>2E-3</v>
      </c>
      <c r="AU10">
        <v>2.0000000000000001E-4</v>
      </c>
      <c r="BB10" s="7" t="s">
        <v>67</v>
      </c>
      <c r="BC10" s="115">
        <v>2E-3</v>
      </c>
      <c r="BD10">
        <v>2E-3</v>
      </c>
      <c r="BE10">
        <v>2.0000000000000001E-4</v>
      </c>
    </row>
    <row r="11" spans="20:57" x14ac:dyDescent="0.25">
      <c r="T11" s="7" t="s">
        <v>1403</v>
      </c>
      <c r="U11" s="28">
        <v>0.14285714285714277</v>
      </c>
      <c r="Z11" s="7">
        <v>2026</v>
      </c>
      <c r="AA11" s="7" t="s">
        <v>66</v>
      </c>
      <c r="AB11" s="108">
        <v>1.0000000000000002E-2</v>
      </c>
      <c r="AC11" s="108">
        <v>1.0000000000000002E-2</v>
      </c>
      <c r="AD11" s="108">
        <v>1.0000000000000002E-3</v>
      </c>
      <c r="AF11" s="7" t="s">
        <v>19</v>
      </c>
      <c r="AG11">
        <v>1.2000000000000004E-2</v>
      </c>
      <c r="AH11">
        <v>1.2000000000000004E-2</v>
      </c>
      <c r="AJ11" s="7" t="s">
        <v>19</v>
      </c>
      <c r="AK11" s="70">
        <v>4.0000000000000001E-3</v>
      </c>
      <c r="AL11" s="70">
        <v>4.0000000000000001E-3</v>
      </c>
      <c r="BA11" s="7" t="s">
        <v>19</v>
      </c>
      <c r="BC11" s="115">
        <v>4.0000000000000001E-3</v>
      </c>
      <c r="BD11">
        <v>4.0000000000000001E-3</v>
      </c>
      <c r="BE11">
        <v>4.0000000000000002E-4</v>
      </c>
    </row>
    <row r="12" spans="20:57" x14ac:dyDescent="0.25">
      <c r="T12" s="7" t="s">
        <v>1404</v>
      </c>
      <c r="U12" s="28">
        <v>0.14285714285714277</v>
      </c>
      <c r="AA12" s="7" t="s">
        <v>67</v>
      </c>
      <c r="AB12" s="108">
        <v>1.0000000000000002E-2</v>
      </c>
      <c r="AC12" s="108">
        <v>1.0000000000000002E-2</v>
      </c>
      <c r="AD12" s="108">
        <v>1.0000000000000002E-3</v>
      </c>
    </row>
    <row r="13" spans="20:57" x14ac:dyDescent="0.25">
      <c r="T13" s="7" t="s">
        <v>1405</v>
      </c>
      <c r="U13" s="28">
        <v>0.14285714285714277</v>
      </c>
    </row>
    <row r="14" spans="20:57" x14ac:dyDescent="0.25">
      <c r="T14" s="7" t="s">
        <v>1406</v>
      </c>
      <c r="U14" s="28">
        <v>0.14285714285714277</v>
      </c>
    </row>
    <row r="15" spans="20:57" x14ac:dyDescent="0.25">
      <c r="T15" s="7" t="s">
        <v>1407</v>
      </c>
      <c r="U15" s="28">
        <v>0.14285714285714277</v>
      </c>
    </row>
    <row r="16" spans="20:57" x14ac:dyDescent="0.25">
      <c r="T16" s="7" t="s">
        <v>19</v>
      </c>
      <c r="U16" s="28">
        <v>1</v>
      </c>
    </row>
    <row r="20" spans="25:34" x14ac:dyDescent="0.25">
      <c r="Y20">
        <f>IFERROR(MAX(TamponBudget1[Row])/1000,0.099)</f>
        <v>0.01</v>
      </c>
    </row>
    <row r="21" spans="25:34" x14ac:dyDescent="0.25">
      <c r="Z21">
        <f>12-AA21</f>
        <v>4</v>
      </c>
      <c r="AA21">
        <f>IFERROR(COUNTIF(AD9:AD20,""),0)</f>
        <v>8</v>
      </c>
      <c r="AB21" s="311">
        <f>ROUND(SUM(AB9:AB20)/Z21,0)</f>
        <v>0</v>
      </c>
      <c r="AC21" s="311">
        <f>ROUND(SUM(AC9:AC20)/Z21,0)</f>
        <v>0</v>
      </c>
      <c r="AD21">
        <f>IFERROR(COUNTIF(AD9:AD20,"&lt;0.001")+COUNTIF(AD9:AD20,"&gt;"&amp;Y20),0)</f>
        <v>0</v>
      </c>
    </row>
    <row r="22" spans="25:34" x14ac:dyDescent="0.25">
      <c r="AD22">
        <f>Z21-AD21</f>
        <v>4</v>
      </c>
    </row>
    <row r="23" spans="25:34" x14ac:dyDescent="0.25">
      <c r="AD23" s="311">
        <f>IFERROR(SUM(AD9:AD20)/AD21,0)</f>
        <v>0</v>
      </c>
    </row>
    <row r="26" spans="25:34" x14ac:dyDescent="0.25">
      <c r="AB26" s="29"/>
      <c r="AC26" s="29"/>
      <c r="AD26" s="29"/>
    </row>
    <row r="30" spans="25:34" x14ac:dyDescent="0.25">
      <c r="AF30" s="21" t="s">
        <v>10</v>
      </c>
      <c r="AG30" t="s" vm="1">
        <v>14</v>
      </c>
    </row>
    <row r="32" spans="25:34" x14ac:dyDescent="0.25">
      <c r="AF32" s="21" t="s">
        <v>18</v>
      </c>
      <c r="AG32" t="s">
        <v>143</v>
      </c>
      <c r="AH32" t="s">
        <v>176</v>
      </c>
    </row>
    <row r="33" spans="32:34" x14ac:dyDescent="0.25">
      <c r="AF33" s="7" t="s">
        <v>1401</v>
      </c>
      <c r="AG33" s="115">
        <v>4.0000000000000001E-3</v>
      </c>
      <c r="AH33">
        <v>4.0000000000000001E-3</v>
      </c>
    </row>
    <row r="34" spans="32:34" x14ac:dyDescent="0.25">
      <c r="AF34" s="7" t="s">
        <v>1402</v>
      </c>
      <c r="AG34" s="115">
        <v>4.0000000000000001E-3</v>
      </c>
      <c r="AH34">
        <v>4.0000000000000001E-3</v>
      </c>
    </row>
    <row r="35" spans="32:34" x14ac:dyDescent="0.25">
      <c r="AF35" s="7" t="s">
        <v>1403</v>
      </c>
      <c r="AG35" s="115">
        <v>4.0000000000000001E-3</v>
      </c>
      <c r="AH35">
        <v>4.0000000000000001E-3</v>
      </c>
    </row>
    <row r="36" spans="32:34" x14ac:dyDescent="0.25">
      <c r="AF36" s="7" t="s">
        <v>1404</v>
      </c>
      <c r="AG36" s="115">
        <v>4.0000000000000001E-3</v>
      </c>
      <c r="AH36">
        <v>4.0000000000000001E-3</v>
      </c>
    </row>
    <row r="37" spans="32:34" x14ac:dyDescent="0.25">
      <c r="AF37" s="7" t="s">
        <v>1405</v>
      </c>
      <c r="AG37" s="115">
        <v>4.0000000000000001E-3</v>
      </c>
      <c r="AH37">
        <v>4.0000000000000001E-3</v>
      </c>
    </row>
    <row r="38" spans="32:34" x14ac:dyDescent="0.25">
      <c r="AF38" s="7" t="s">
        <v>1406</v>
      </c>
      <c r="AG38" s="115">
        <v>4.0000000000000001E-3</v>
      </c>
      <c r="AH38">
        <v>4.0000000000000001E-3</v>
      </c>
    </row>
    <row r="39" spans="32:34" x14ac:dyDescent="0.25">
      <c r="AF39" s="7" t="s">
        <v>1407</v>
      </c>
      <c r="AG39" s="115">
        <v>4.0000000000000001E-3</v>
      </c>
      <c r="AH39">
        <v>4.0000000000000001E-3</v>
      </c>
    </row>
    <row r="40" spans="32:34" x14ac:dyDescent="0.25">
      <c r="AF40" s="7" t="s">
        <v>19</v>
      </c>
      <c r="AG40" s="115">
        <v>2.8000000000000018E-2</v>
      </c>
      <c r="AH40">
        <v>2.8000000000000018E-2</v>
      </c>
    </row>
    <row r="50" spans="1:17" x14ac:dyDescent="0.25">
      <c r="B50" s="21" t="s">
        <v>69</v>
      </c>
    </row>
    <row r="51" spans="1:17" x14ac:dyDescent="0.25">
      <c r="B51" t="s">
        <v>1401</v>
      </c>
      <c r="D51" t="s">
        <v>1402</v>
      </c>
      <c r="F51" t="s">
        <v>1403</v>
      </c>
      <c r="H51" t="s">
        <v>1404</v>
      </c>
      <c r="J51" t="s">
        <v>1405</v>
      </c>
      <c r="L51" t="s">
        <v>1406</v>
      </c>
      <c r="N51" t="s">
        <v>1407</v>
      </c>
      <c r="P51" t="s">
        <v>142</v>
      </c>
      <c r="Q51" t="s">
        <v>192</v>
      </c>
    </row>
    <row r="52" spans="1:17" x14ac:dyDescent="0.25">
      <c r="A52" s="21" t="s">
        <v>18</v>
      </c>
      <c r="B52" t="s">
        <v>143</v>
      </c>
      <c r="C52" t="s">
        <v>193</v>
      </c>
      <c r="D52" t="s">
        <v>143</v>
      </c>
      <c r="E52" t="s">
        <v>193</v>
      </c>
      <c r="F52" t="s">
        <v>143</v>
      </c>
      <c r="G52" t="s">
        <v>193</v>
      </c>
      <c r="H52" t="s">
        <v>143</v>
      </c>
      <c r="I52" t="s">
        <v>193</v>
      </c>
      <c r="J52" t="s">
        <v>143</v>
      </c>
      <c r="K52" t="s">
        <v>193</v>
      </c>
      <c r="L52" t="s">
        <v>143</v>
      </c>
      <c r="M52" t="s">
        <v>193</v>
      </c>
      <c r="N52" t="s">
        <v>143</v>
      </c>
      <c r="O52" t="s">
        <v>193</v>
      </c>
    </row>
    <row r="53" spans="1:17" x14ac:dyDescent="0.25">
      <c r="A53" s="7">
        <v>2025</v>
      </c>
    </row>
    <row r="54" spans="1:17" x14ac:dyDescent="0.25">
      <c r="A54" s="7" t="s">
        <v>141</v>
      </c>
      <c r="B54" s="115">
        <v>2E-3</v>
      </c>
      <c r="C54">
        <v>2.0000000000000001E-4</v>
      </c>
      <c r="D54" s="115">
        <v>2E-3</v>
      </c>
      <c r="E54">
        <v>2.0000000000000001E-4</v>
      </c>
      <c r="F54" s="115">
        <v>2E-3</v>
      </c>
      <c r="G54">
        <v>2.0000000000000001E-4</v>
      </c>
      <c r="H54" s="115">
        <v>2E-3</v>
      </c>
      <c r="I54">
        <v>2.0000000000000001E-4</v>
      </c>
      <c r="J54" s="115">
        <v>2E-3</v>
      </c>
      <c r="K54">
        <v>2.0000000000000001E-4</v>
      </c>
      <c r="L54" s="115">
        <v>2E-3</v>
      </c>
      <c r="M54">
        <v>2.0000000000000001E-4</v>
      </c>
      <c r="N54" s="115">
        <v>2E-3</v>
      </c>
      <c r="O54">
        <v>2.0000000000000001E-4</v>
      </c>
      <c r="P54" s="115">
        <v>1.4000000000000005E-2</v>
      </c>
      <c r="Q54">
        <v>1.4000000000000004E-3</v>
      </c>
    </row>
    <row r="55" spans="1:17" x14ac:dyDescent="0.25">
      <c r="A55" s="7">
        <v>2026</v>
      </c>
    </row>
    <row r="56" spans="1:17" x14ac:dyDescent="0.25">
      <c r="A56" s="7" t="s">
        <v>141</v>
      </c>
      <c r="B56" s="115">
        <v>2E-3</v>
      </c>
      <c r="C56">
        <v>2.0000000000000001E-4</v>
      </c>
      <c r="D56" s="115">
        <v>2E-3</v>
      </c>
      <c r="E56">
        <v>2.0000000000000001E-4</v>
      </c>
      <c r="F56" s="115">
        <v>2E-3</v>
      </c>
      <c r="G56">
        <v>2.0000000000000001E-4</v>
      </c>
      <c r="H56" s="115">
        <v>2E-3</v>
      </c>
      <c r="I56">
        <v>2.0000000000000001E-4</v>
      </c>
      <c r="J56" s="115">
        <v>2E-3</v>
      </c>
      <c r="K56">
        <v>2.0000000000000001E-4</v>
      </c>
      <c r="L56" s="115">
        <v>2E-3</v>
      </c>
      <c r="M56">
        <v>2.0000000000000001E-4</v>
      </c>
      <c r="N56" s="115">
        <v>2E-3</v>
      </c>
      <c r="O56">
        <v>2.0000000000000001E-4</v>
      </c>
      <c r="P56" s="115">
        <v>1.4000000000000005E-2</v>
      </c>
      <c r="Q56">
        <v>1.4000000000000004E-3</v>
      </c>
    </row>
    <row r="57" spans="1:17" x14ac:dyDescent="0.25">
      <c r="A57" s="7" t="s">
        <v>19</v>
      </c>
      <c r="B57" s="115">
        <v>4.0000000000000001E-3</v>
      </c>
      <c r="C57">
        <v>4.0000000000000002E-4</v>
      </c>
      <c r="D57" s="115">
        <v>4.0000000000000001E-3</v>
      </c>
      <c r="E57">
        <v>4.0000000000000002E-4</v>
      </c>
      <c r="F57" s="115">
        <v>4.0000000000000001E-3</v>
      </c>
      <c r="G57">
        <v>4.0000000000000002E-4</v>
      </c>
      <c r="H57" s="115">
        <v>4.0000000000000001E-3</v>
      </c>
      <c r="I57">
        <v>4.0000000000000002E-4</v>
      </c>
      <c r="J57" s="115">
        <v>4.0000000000000001E-3</v>
      </c>
      <c r="K57">
        <v>4.0000000000000002E-4</v>
      </c>
      <c r="L57" s="115">
        <v>4.0000000000000001E-3</v>
      </c>
      <c r="M57">
        <v>4.0000000000000002E-4</v>
      </c>
      <c r="N57" s="115">
        <v>4.0000000000000001E-3</v>
      </c>
      <c r="O57">
        <v>4.0000000000000002E-4</v>
      </c>
      <c r="P57" s="115">
        <v>2.8000000000000018E-2</v>
      </c>
      <c r="Q57">
        <v>2.7999999999999991E-3</v>
      </c>
    </row>
  </sheetData>
  <pageMargins left="0.7" right="0.7" top="0.75" bottom="0.75" header="0.3" footer="0.3"/>
  <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B108D-04DE-4253-840C-00A38CE560E1}">
  <sheetPr codeName="Sheet12">
    <tabColor theme="5" tint="0.59999389629810485"/>
  </sheetPr>
  <dimension ref="A1:FQ175"/>
  <sheetViews>
    <sheetView showGridLines="0" showRowColHeaders="0" topLeftCell="CM1" zoomScaleNormal="100" workbookViewId="0">
      <selection activeCell="CV23" sqref="CV23"/>
    </sheetView>
  </sheetViews>
  <sheetFormatPr defaultRowHeight="11.5" x14ac:dyDescent="0.25"/>
  <cols>
    <col min="2" max="2" width="10.09765625" bestFit="1" customWidth="1"/>
    <col min="3" max="3" width="16.5" customWidth="1"/>
    <col min="4" max="4" width="10.09765625" customWidth="1"/>
    <col min="11" max="11" width="10.09765625" bestFit="1" customWidth="1"/>
    <col min="29" max="29" width="8.8984375" style="5"/>
    <col min="30" max="31" width="8.796875" style="5"/>
    <col min="32" max="32" width="9" style="5" bestFit="1" customWidth="1"/>
    <col min="33" max="35" width="8.796875" style="5"/>
    <col min="36" max="36" width="11.8984375" customWidth="1"/>
    <col min="37" max="37" width="11.69921875" customWidth="1"/>
    <col min="38" max="39" width="9.8984375" customWidth="1"/>
    <col min="41" max="42" width="10.296875" customWidth="1"/>
    <col min="46" max="46" width="10.09765625" customWidth="1"/>
    <col min="47" max="47" width="11.09765625" customWidth="1"/>
    <col min="56" max="57" width="11.8984375" customWidth="1"/>
    <col min="58" max="58" width="9.296875" customWidth="1"/>
    <col min="60" max="60" width="11.296875" customWidth="1"/>
    <col min="62" max="62" width="15.8984375" customWidth="1"/>
    <col min="63" max="63" width="13.296875" customWidth="1"/>
    <col min="64" max="64" width="19.8984375" customWidth="1"/>
    <col min="65" max="65" width="11.8984375" customWidth="1"/>
    <col min="99" max="99" width="9.3984375" bestFit="1" customWidth="1"/>
    <col min="105" max="105" width="11.3984375" customWidth="1"/>
    <col min="106" max="106" width="10.3984375" customWidth="1"/>
    <col min="120" max="120" width="12.09765625" bestFit="1" customWidth="1"/>
    <col min="123" max="123" width="10.3984375" customWidth="1"/>
    <col min="124" max="124" width="12.296875" customWidth="1"/>
    <col min="125" max="125" width="11.3984375" bestFit="1" customWidth="1"/>
    <col min="127" max="127" width="13" customWidth="1"/>
    <col min="131" max="131" width="12.09765625" bestFit="1" customWidth="1"/>
    <col min="133" max="133" width="12.09765625" bestFit="1" customWidth="1"/>
    <col min="144" max="144" width="15.296875" customWidth="1"/>
    <col min="147" max="147" width="10.3984375" customWidth="1"/>
    <col min="148" max="148" width="11.09765625" customWidth="1"/>
    <col min="149" max="149" width="12.09765625" customWidth="1"/>
    <col min="150" max="150" width="11.3984375" customWidth="1"/>
    <col min="164" max="164" width="12.09765625" customWidth="1"/>
    <col min="167" max="167" width="13.8984375" customWidth="1"/>
  </cols>
  <sheetData>
    <row r="1" spans="1:173" x14ac:dyDescent="0.25">
      <c r="A1" t="str" cm="1">
        <f t="array" ref="A1">TbHead[GrandT]</f>
        <v>Grand Total</v>
      </c>
      <c r="AJ1" s="5"/>
      <c r="AK1" s="209">
        <f>J17</f>
        <v>2E-3</v>
      </c>
      <c r="AL1" s="209">
        <f>L17</f>
        <v>2E-3</v>
      </c>
      <c r="AM1" s="209">
        <f>N17</f>
        <v>2E-3</v>
      </c>
      <c r="AN1" s="209">
        <f>P17</f>
        <v>2E-3</v>
      </c>
      <c r="AO1" s="209">
        <f>R17</f>
        <v>2E-3</v>
      </c>
      <c r="AP1" s="209">
        <f>T17</f>
        <v>2E-3</v>
      </c>
      <c r="AQ1" s="209">
        <f>V17</f>
        <v>2E-3</v>
      </c>
      <c r="CX1" t="str">
        <f ca="1">Library!$A$209</f>
        <v>We are here</v>
      </c>
      <c r="CY1" s="9"/>
      <c r="CZ1" s="9"/>
      <c r="DA1" s="9" t="s">
        <v>14</v>
      </c>
      <c r="DB1" s="9">
        <f>IFERROR(CS4,0)</f>
        <v>-1.4000000000000002E-3</v>
      </c>
      <c r="DC1" s="5"/>
      <c r="DN1" s="9">
        <f>IFERROR(IF(DO1&lt;&gt;"",1,""),"")</f>
        <v>1</v>
      </c>
      <c r="DO1" s="9" t="str" cm="1">
        <f t="array" ref="DO1">_xlfn.IFS(RIGHT(A_Budget1!AJ9,5)="Total","",A_Budget1!AJ9="","",A_Budget1!AJ9&lt;&gt;"",A_Budget1!AJ9)</f>
        <v>Sub-Category3</v>
      </c>
      <c r="DP1" s="9">
        <f>IFERROR(GETPIVOTDATA("[Measures].["&amp;A_Budget1!$AK$7&amp;"]",A_Budget1!$AJ$7,"[Budget1Data].[Cat_2]","[Budget1Data].[Cat_2].&amp;["&amp;A_Budget1!$AJ$8&amp;"]","[Budget1Data].[Cat_3]","[Budget1Data].[Cat_3].&amp;["&amp;DO1&amp;"]")/GETPIVOTDATA("[Measures].[Sum of Montant_Extrap 3]",A_Budget1!$AF$7,"[Budget1Data].[Cat_2]","[Budget1Data].[Cat_2].&amp;["&amp;WB_Data!$J$2&amp;"]"),"")</f>
        <v>1</v>
      </c>
      <c r="DQ1" s="9" t="str" cm="1">
        <f t="array" ref="DQ1">IFERROR(INDEX($DO$1:$DO$16,SMALL(IF($DP$1:$DP$16=DR1,ROW($DP$1:$DP$16)),COUNTIF($DR$1:DR1,DR1))),"")</f>
        <v>Sub-Category3</v>
      </c>
      <c r="DR1" s="104">
        <f>IFERROR(LARGE($DP$1:$DP$16,DN1),"")</f>
        <v>1</v>
      </c>
      <c r="DS1" s="103">
        <f>IFERROR(GETPIVOTDATA("[Measures].["&amp;A_Budget1!$AK$7&amp;"]",A_Budget1!$AJ$7,"[Budget1Data].[Cat_2]","[Budget1Data].[Cat_2].&amp;["&amp;A_Budget1!$AJ$8&amp;"]","[Budget1Data].[Cat_3]","[Budget1Data].[Cat_3].&amp;["&amp;DQ1&amp;"]"),"")</f>
        <v>4.0000000000000001E-3</v>
      </c>
      <c r="DT1" s="154">
        <f>IFERROR(GETPIVOTDATA("[Measures].["&amp;A_Budget1!$AL$7&amp;"]",A_Budget1!$AJ$7,"[Budget1Data].[Cat_2]","[Budget1Data].[Cat_2].&amp;["&amp;A_Budget1!$AJ$8&amp;"]","[Budget1Data].[Cat_3]","[Budget1Data].[Cat_3].&amp;["&amp;DQ1&amp;"]")/GETPIVOTDATA("[Measures].[Sum of Last_Montant]",A_Budget1!$AF$7,"[Budget1Data].[Cat_2]","[Budget1Data].[Cat_2].&amp;["&amp;WB_Data!$J$2&amp;"]"),"")</f>
        <v>1</v>
      </c>
      <c r="DU1" s="155">
        <f>IFERROR(GETPIVOTDATA("[Measures].["&amp;A_Budget1!$AL$7&amp;"]",A_Budget1!$AJ$7,"[Budget1Data].[Cat_2]","[Budget1Data].[Cat_2].&amp;["&amp;A_Budget1!$AJ$8&amp;"]","[Budget1Data].[Cat_3]","[Budget1Data].[Cat_3].&amp;["&amp;DQ1&amp;"]"),"")</f>
        <v>4.0000000000000001E-3</v>
      </c>
      <c r="DV1" s="9" t="str">
        <f t="shared" ref="DV1:DV16" si="0">DO1</f>
        <v>Sub-Category3</v>
      </c>
      <c r="DW1" s="9"/>
      <c r="DX1" s="9"/>
      <c r="DY1" s="97">
        <f>DN1</f>
        <v>1</v>
      </c>
      <c r="DZ1" s="9" t="str" cm="1">
        <f t="array" ref="DZ1">_xlfn.IFS(RIGHT(A_Budget1!AJ9,5)="Total","",A_Budget1!AJ9="","",A_Budget1!AJ9&lt;&gt;"",A_Budget1!AJ9)</f>
        <v>Sub-Category3</v>
      </c>
      <c r="EA1" s="9">
        <f>IFERROR(GETPIVOTDATA("[Measures].["&amp;A_Budget1!$AL$7&amp;"]",A_Budget1!$AJ$7,"[Budget1Data].[Cat_2]","[Budget1Data].[Cat_2].&amp;["&amp;A_Budget1!$AJ$8&amp;"]","[Budget1Data].[Cat_3]","[Budget1Data].[Cat_3].&amp;["&amp;DZ1&amp;"]")/GETPIVOTDATA("[Measures].[Sum of Last_Montant]",A_Budget1!$AF$7,"[Budget1Data].[Cat_2]","[Budget1Data].[Cat_2].&amp;["&amp;WB_Data!$J$2&amp;"]"),"")</f>
        <v>1</v>
      </c>
      <c r="EB1" s="9" t="str" cm="1">
        <f t="array" ref="EB1">IFERROR(INDEX($DZ$1:$DZ$16,SMALL(IF($EA$1:$EA$16=EC1,ROW($EA$1:$EA$16)),COUNTIF($EC$1:EC1,EC1))),"")</f>
        <v>Sub-Category3</v>
      </c>
      <c r="EC1" s="154">
        <f>IFERROR(LARGE($EA$1:$EA$16,DY1),"")</f>
        <v>1</v>
      </c>
      <c r="ED1" s="154">
        <f>IFERROR(GETPIVOTDATA("[Measures].["&amp;A_Budget1!$AL$7&amp;"]",A_Budget1!$AJ$7,"[Budget1Data].[Cat_2]","[Budget1Data].[Cat_2].&amp;["&amp;A_Budget1!$AJ$8&amp;"]","[Budget1Data].[Cat_3]","[Budget1Data].[Cat_3].&amp;["&amp;EB1&amp;"]"),"")</f>
        <v>4.0000000000000001E-3</v>
      </c>
      <c r="EE1" s="139">
        <f>IFERROR(GETPIVOTDATA("[Measures].["&amp;A_Budget1!$AK$7&amp;"]",A_Budget1!$AJ$7,"[Budget1Data].[Cat_2]","[Budget1Data].[Cat_2].&amp;["&amp;A_Budget1!$AJ$8&amp;"]","[Budget1Data].[Cat_3]","[Budget1Data].[Cat_3].&amp;["&amp;EB1&amp;"]")/GETPIVOTDATA("[Measures].[Sum of Montant_Extrap 3]",A_Budget1!$AF$7,"[Budget1Data].[Cat_2]","[Budget1Data].[Cat_2].&amp;["&amp;WB_Data!$J$2&amp;"]"),"")</f>
        <v>1</v>
      </c>
      <c r="EF1" s="105">
        <f>IFERROR(GETPIVOTDATA("[Measures].["&amp;A_Budget1!$AK$7&amp;"]",A_Budget1!$AJ$7,"[Budget1Data].[Cat_2]","[Budget1Data].[Cat_2].&amp;["&amp;A_Budget1!$AJ$8&amp;"]","[Budget1Data].[Cat_3]","[Budget1Data].[Cat_3].&amp;["&amp;EB1&amp;"]"),"")</f>
        <v>4.0000000000000001E-3</v>
      </c>
      <c r="EL1" s="165">
        <f>ControlChart_Budget1!I6</f>
        <v>2025</v>
      </c>
      <c r="EM1" s="165">
        <f>G5</f>
        <v>2026</v>
      </c>
      <c r="EN1" s="22">
        <f>IFERROR(IF(EL1=EM1,1,2),1)</f>
        <v>2</v>
      </c>
      <c r="ER1" s="9" t="str">
        <f>A_Budget1!AQ8</f>
        <v>Sub-Category5</v>
      </c>
      <c r="ES1" t="str">
        <f>A_Budget1!AU7</f>
        <v>ABSB1M</v>
      </c>
      <c r="ET1" s="165" t="str">
        <f>A_Budget1!AS7</f>
        <v>ABSMontantE</v>
      </c>
      <c r="EU1" t="str">
        <f>A_Budget1!AT7</f>
        <v>ABS_LastM</v>
      </c>
      <c r="EV1" t="s">
        <v>1118</v>
      </c>
      <c r="EY1" s="5"/>
      <c r="EZ1" s="5"/>
      <c r="FA1" s="5"/>
      <c r="FB1" s="5"/>
      <c r="FC1" s="5"/>
      <c r="FD1" s="5"/>
      <c r="FE1">
        <v>1</v>
      </c>
      <c r="FF1" s="105">
        <f>GETPIVOTDATA("[Measures].[Sum of Montant_Extrap 3]",A_Budget1!$AF$7,"[Budget1Data].[Cat_2]","[Budget1Data].[Cat_2].&amp;["&amp;WB_Data!J2&amp;"]")</f>
        <v>4.0000000000000001E-3</v>
      </c>
      <c r="FG1" s="173">
        <f>GETPIVOTDATA("[Measures].[Sum of Last_Montant]",A_Budget1!$AF$7,"[Budget1Data].[Cat_2]","[Budget1Data].[Cat_2].&amp;["&amp;WB_Data!J2&amp;"]")</f>
        <v>4.0000000000000001E-3</v>
      </c>
      <c r="FH1" t="str">
        <f>A_Budget1!AF33</f>
        <v>Category1</v>
      </c>
      <c r="FI1" s="174">
        <f>IFERROR(FF2/$FF$1,0)</f>
        <v>1</v>
      </c>
      <c r="FJ1" s="175">
        <f>IFERROR(FG2/$FG$1,0)</f>
        <v>1</v>
      </c>
      <c r="FK1" t="str" cm="1">
        <f t="array" ref="FK1">IFERROR(INDEX($FH$1:$FH$18,SMALL(IF($FI$1:$FI$18=FL1,ROW($FI$1:$FI$18)),COUNTIF($FL$1:FL1,FL1))),"")</f>
        <v>Category1</v>
      </c>
      <c r="FL1" s="174">
        <f>IFERROR(LARGE($FI$1:$FI$18,FE1),0)</f>
        <v>1</v>
      </c>
      <c r="FM1" s="176">
        <f>IFERROR(VLOOKUP(FK1,$FH$1:$FJ$18,3,FALSE),"")</f>
        <v>1</v>
      </c>
      <c r="FN1" t="str" cm="1">
        <f t="array" ref="FN1">_xlfn.IFS(FK1=0,"",FK1=$A$1,"",FK1&lt;&gt;"",FK1)</f>
        <v>Category1</v>
      </c>
      <c r="FO1">
        <f>IF(FN1&lt;&gt;"",-5%,"")</f>
        <v>-0.05</v>
      </c>
      <c r="FP1" s="177">
        <f>IF(FN1&lt;&gt;"",FL1,"")</f>
        <v>1</v>
      </c>
      <c r="FQ1" s="178">
        <f>IF(FN1&lt;&gt;"",FM1,"")</f>
        <v>1</v>
      </c>
    </row>
    <row r="2" spans="1:173" ht="12" thickBot="1" x14ac:dyDescent="0.3">
      <c r="AC2" s="119"/>
      <c r="AD2" s="119"/>
      <c r="AE2" s="119"/>
      <c r="AF2" s="119"/>
      <c r="AG2" s="119"/>
      <c r="AH2" s="119"/>
      <c r="AI2" s="119"/>
      <c r="AJ2" s="5"/>
      <c r="AK2" s="209">
        <f>K17</f>
        <v>2.0000000000000001E-4</v>
      </c>
      <c r="AL2" s="209">
        <f>M17</f>
        <v>2.0000000000000001E-4</v>
      </c>
      <c r="AM2" s="209">
        <f>O17</f>
        <v>2.0000000000000001E-4</v>
      </c>
      <c r="AN2" s="209">
        <f>Q17</f>
        <v>2.0000000000000001E-4</v>
      </c>
      <c r="AO2" s="209">
        <f>S17</f>
        <v>2.0000000000000001E-4</v>
      </c>
      <c r="AP2" s="209">
        <f>U17</f>
        <v>2.0000000000000001E-4</v>
      </c>
      <c r="AQ2" s="209">
        <f>W17</f>
        <v>2.0000000000000001E-4</v>
      </c>
      <c r="AT2" s="8" cm="1">
        <f t="array" ref="AT2">IFERROR(_xlfn.IFS($I$22=4,ROW(I20),$I$22=5,ROW(I21)),ROW(I20))</f>
        <v>20</v>
      </c>
      <c r="AU2" s="8" t="str">
        <f>CONCATENATE("G17:G"&amp;AT2)</f>
        <v>G17:G20</v>
      </c>
      <c r="AV2" s="9" t="str">
        <f>CONCATENATE("H17:H"&amp;AT2)</f>
        <v>H17:H20</v>
      </c>
      <c r="AW2" s="8" t="str">
        <f>CONCATENATE("I17:I"&amp;AT2)</f>
        <v>I17:I20</v>
      </c>
      <c r="AX2" s="127" t="s">
        <v>105</v>
      </c>
      <c r="AY2" s="129" t="s">
        <v>14</v>
      </c>
      <c r="AZ2" s="9" t="s">
        <v>153</v>
      </c>
      <c r="BA2" s="10" t="s">
        <v>152</v>
      </c>
      <c r="BB2" s="9" t="s">
        <v>154</v>
      </c>
      <c r="BC2" s="133" t="s">
        <v>155</v>
      </c>
      <c r="BD2" s="130" t="s">
        <v>156</v>
      </c>
      <c r="BE2" s="130" t="s">
        <v>151</v>
      </c>
      <c r="BF2" s="130" t="s">
        <v>151</v>
      </c>
      <c r="BG2" s="9" t="s">
        <v>147</v>
      </c>
      <c r="BH2" s="9" t="s">
        <v>148</v>
      </c>
      <c r="BI2" s="9" t="s">
        <v>149</v>
      </c>
      <c r="BJ2" s="130" t="s">
        <v>159</v>
      </c>
      <c r="BK2" s="130" t="s">
        <v>158</v>
      </c>
      <c r="BL2" s="127" t="s">
        <v>157</v>
      </c>
      <c r="BM2" s="132" t="s">
        <v>150</v>
      </c>
      <c r="CY2" s="9"/>
      <c r="CZ2" s="9"/>
      <c r="DA2" s="9" t="s">
        <v>168</v>
      </c>
      <c r="DB2" s="9">
        <f>IF(DB1&lt;0,ABS(DB1),0)</f>
        <v>1.4000000000000002E-3</v>
      </c>
      <c r="DC2" s="5"/>
      <c r="DN2" s="9" t="str">
        <f>IFERROR(IF(DO2&lt;&gt;"",DN1+1,""),"")</f>
        <v/>
      </c>
      <c r="DO2" s="9" t="str" cm="1">
        <f t="array" ref="DO2">_xlfn.IFS(RIGHT(A_Budget1!AJ10,5)="Total","",A_Budget1!AJ10="","",A_Budget1!AJ10&lt;&gt;"",A_Budget1!AJ10)</f>
        <v/>
      </c>
      <c r="DP2" s="9" t="str">
        <f>IFERROR(GETPIVOTDATA("[Measures].["&amp;A_Budget1!$AK$7&amp;"]",A_Budget1!$AJ$7,"[Budget1Data].[Cat_2]","[Budget1Data].[Cat_2].&amp;["&amp;A_Budget1!$AJ$8&amp;"]","[Budget1Data].[Cat_3]","[Budget1Data].[Cat_3].&amp;["&amp;DO2&amp;"]")/GETPIVOTDATA("[Measures].[Sum of Montant_Extrap 3]",A_Budget1!$AF$7,"[Budget1Data].[Cat_2]","[Budget1Data].[Cat_2].&amp;["&amp;WB_Data!$J$2&amp;"]"),"")</f>
        <v/>
      </c>
      <c r="DQ2" s="9" t="str" cm="1">
        <f t="array" ref="DQ2">IFERROR(INDEX($DO$1:$DO$16,SMALL(IF($DP$1:$DP$16=DR2,ROW($DP$1:$DP$16)),COUNTIF($DR$1:DR2,DR2))),"")</f>
        <v/>
      </c>
      <c r="DR2" s="104" t="str">
        <f t="shared" ref="DR2:DR16" si="1">IFERROR(LARGE($DP$1:$DP$16,DN2),"")</f>
        <v/>
      </c>
      <c r="DS2" s="103" t="str">
        <f>IFERROR(GETPIVOTDATA("[Measures].["&amp;A_Budget1!$AK$7&amp;"]",A_Budget1!$AJ$7,"[Budget1Data].[Cat_2]","[Budget1Data].[Cat_2].&amp;["&amp;A_Budget1!$AJ$8&amp;"]","[Budget1Data].[Cat_3]","[Budget1Data].[Cat_3].&amp;["&amp;DQ2&amp;"]"),"")</f>
        <v/>
      </c>
      <c r="DT2" s="154" t="str">
        <f>IFERROR(GETPIVOTDATA("[Measures].["&amp;A_Budget1!$AL$7&amp;"]",A_Budget1!$AJ$7,"[Budget1Data].[Cat_2]","[Budget1Data].[Cat_2].&amp;["&amp;A_Budget1!$AJ$8&amp;"]","[Budget1Data].[Cat_3]","[Budget1Data].[Cat_3].&amp;["&amp;DQ2&amp;"]")/GETPIVOTDATA("[Measures].[Sum of Last_Montant]",A_Budget1!$AF$7,"[Budget1Data].[Cat_2]","[Budget1Data].[Cat_2].&amp;["&amp;WB_Data!$J$2&amp;"]"),"")</f>
        <v/>
      </c>
      <c r="DU2" s="155" t="str">
        <f>IFERROR(GETPIVOTDATA("[Measures].["&amp;A_Budget1!$AL$7&amp;"]",A_Budget1!$AJ$7,"[Budget1Data].[Cat_2]","[Budget1Data].[Cat_2].&amp;["&amp;A_Budget1!$AJ$8&amp;"]","[Budget1Data].[Cat_3]","[Budget1Data].[Cat_3].&amp;["&amp;DQ2&amp;"]"),"")</f>
        <v/>
      </c>
      <c r="DV2" s="9" t="str">
        <f t="shared" si="0"/>
        <v/>
      </c>
      <c r="DW2" s="9"/>
      <c r="DX2" s="9"/>
      <c r="DY2" s="97" t="str">
        <f>DN2</f>
        <v/>
      </c>
      <c r="DZ2" s="9" t="str" cm="1">
        <f t="array" ref="DZ2">_xlfn.IFS(RIGHT(A_Budget1!AJ10,5)="Total","",A_Budget1!AJ10="","",A_Budget1!AJ10&lt;&gt;"",A_Budget1!AJ10)</f>
        <v/>
      </c>
      <c r="EA2" s="9" t="str">
        <f>IFERROR(GETPIVOTDATA("[Measures].["&amp;A_Budget1!$AL$7&amp;"]",A_Budget1!$AJ$7,"[Budget1Data].[Cat_2]","[Budget1Data].[Cat_2].&amp;["&amp;A_Budget1!$AJ$8&amp;"]","[Budget1Data].[Cat_3]","[Budget1Data].[Cat_3].&amp;["&amp;DZ2&amp;"]")/GETPIVOTDATA("[Measures].[Sum of Last_Montant]",A_Budget1!$AF$7,"[Budget1Data].[Cat_2]","[Budget1Data].[Cat_2].&amp;["&amp;WB_Data!$J$2&amp;"]"),"")</f>
        <v/>
      </c>
      <c r="EB2" s="9" t="str" cm="1">
        <f t="array" ref="EB2">IFERROR(INDEX($DZ$1:$DZ$16,SMALL(IF($EA$1:$EA$16=EC2,ROW($EA$1:$EA$16)),COUNTIF($EC$1:EC2,EC2))),"")</f>
        <v/>
      </c>
      <c r="EC2" s="154" t="str">
        <f t="shared" ref="EC2:EC16" si="2">IFERROR(LARGE($EA$1:$EA$16,DY2),"")</f>
        <v/>
      </c>
      <c r="ED2" s="154" t="str">
        <f>IFERROR(GETPIVOTDATA("[Measures].["&amp;A_Budget1!$AL$7&amp;"]",A_Budget1!$AJ$7,"[Budget1Data].[Cat_2]","[Budget1Data].[Cat_2].&amp;["&amp;A_Budget1!$AJ$8&amp;"]","[Budget1Data].[Cat_3]","[Budget1Data].[Cat_3].&amp;["&amp;EB2&amp;"]"),"")</f>
        <v/>
      </c>
      <c r="EE2" s="139" t="str">
        <f>IFERROR(GETPIVOTDATA("[Measures].["&amp;A_Budget1!$AK$7&amp;"]",A_Budget1!$AJ$7,"[Budget1Data].[Cat_2]","[Budget1Data].[Cat_2].&amp;["&amp;A_Budget1!$AJ$8&amp;"]","[Budget1Data].[Cat_3]","[Budget1Data].[Cat_3].&amp;["&amp;EB2&amp;"]")/GETPIVOTDATA("[Measures].[Sum of Montant_Extrap 3]",A_Budget1!$AF$7,"[Budget1Data].[Cat_2]","[Budget1Data].[Cat_2].&amp;["&amp;WB_Data!$J$2&amp;"]"),"")</f>
        <v/>
      </c>
      <c r="EF2" s="105" t="str">
        <f>IFERROR(GETPIVOTDATA("[Measures].["&amp;A_Budget1!$AK$7&amp;"]",A_Budget1!$AJ$7,"[Budget1Data].[Cat_2]","[Budget1Data].[Cat_2].&amp;["&amp;A_Budget1!$AJ$8&amp;"]","[Budget1Data].[Cat_3]","[Budget1Data].[Cat_3].&amp;["&amp;EB2&amp;"]"),"")</f>
        <v/>
      </c>
      <c r="EL2" s="166">
        <f ca="1">IFERROR(GETPIVOTDATA("[Measures].["&amp;A_Budget1!$AS$7&amp;"]",A_Budget1!$AQ$7,"[Budget1Data].[Cat_3]","[Budget1Data].[Cat_3].&amp;["&amp;ControlChart_Budget1!$ER$1&amp;"]","[Budget1Data].[Mois (Month)]","[Budget1Data].[Mois (Month)].&amp;["&amp;EV2&amp;"]","[Budget1Data].[Mois (Year)]","[Budget1Data].[Mois (Year)].&amp;["&amp;$EL$1&amp;"]"),0)</f>
        <v>2E-3</v>
      </c>
      <c r="EM2" s="165">
        <f ca="1">IFERROR(IF($EN$1=1,0,GETPIVOTDATA("[Measures].["&amp;A_Budget1!$AS$7&amp;"]",A_Budget1!$AQ$7,"[Budget1Data].[Cat_3]","[Budget1Data].[Cat_3].&amp;["&amp;ControlChart_Budget1!$ER$1&amp;"]","[Budget1Data].[Mois (Month)]","[Budget1Data].[Mois (Month)].&amp;["&amp;EV2&amp;"]","[Budget1Data].[Mois (Year)]","[Budget1Data].[Mois (Year)].&amp;["&amp;$EM$1&amp;"]")),0)</f>
        <v>0</v>
      </c>
      <c r="EN2" s="139">
        <f ca="1">IFERROR(GETPIVOTDATA("[Measures].["&amp;A_Budget1!$AT$7&amp;"]",A_Budget1!$AQ$7,"[Budget1Data].[Cat_3]","[Budget1Data].[Cat_3].&amp;["&amp;ControlChart_Budget1!$ER$1&amp;"]","[Budget1Data].[Mois (Month)]","[Budget1Data].[Mois (Month)].&amp;["&amp;EV2&amp;"]","[Budget1Data].[Mois (Year)]","[Budget1Data].[Mois (Year)].&amp;["&amp;$EL$1&amp;"]"),0)</f>
        <v>2E-3</v>
      </c>
      <c r="EO2" s="139">
        <f ca="1">IFERROR(IF($EN$1=1,0,GETPIVOTDATA("[Measures].["&amp;A_Budget1!$AT$7&amp;"]",A_Budget1!$AQ$7,"[Budget1Data].[Cat_3]","[Budget1Data].[Cat_3].&amp;["&amp;ControlChart_Budget1!$ER$1&amp;"]","[Budget1Data].[Mois (Month)]","[Budget1Data].[Mois (Month)].&amp;["&amp;EV2&amp;"]","[Budget1Data].[Mois (Year)]","[Budget1Data].[Mois (Year)].&amp;["&amp;$EM$1&amp;"]")),0)</f>
        <v>0</v>
      </c>
      <c r="EP2" s="167">
        <f ca="1">IFERROR(GETPIVOTDATA("[Measures].["&amp;A_Budget1!$AU$7&amp;"]",A_Budget1!$AQ$7,"[Budget1Data].[Cat_3]","[Budget1Data].[Cat_3].&amp;["&amp;ControlChart_Budget1!$ER$1&amp;"]","[Budget1Data].[Mois (Month)]","[Budget1Data].[Mois (Month)].&amp;["&amp;EV2&amp;"]","[Budget1Data].[Mois (Year)]","[Budget1Data].[Mois (Year)].&amp;["&amp;$EL$1&amp;"]"),0)</f>
        <v>2.0000000000000001E-4</v>
      </c>
      <c r="EQ2" s="167">
        <f ca="1">IFERROR(IF($EN$1=1,0,GETPIVOTDATA("[Measures].["&amp;A_Budget1!$AU$7&amp;"]",A_Budget1!$AQ$7,"[Budget1Data].[Cat_3]","[Budget1Data].[Cat_3].&amp;["&amp;ControlChart_Budget1!$ER$1&amp;"]","[Budget1Data].[Mois (Month)]","[Budget1Data].[Mois (Month)].&amp;["&amp;EV2&amp;"]","[Budget1Data].[Mois (Year)]","[Budget1Data].[Mois (Year)].&amp;["&amp;$EM$1&amp;"]")),0)</f>
        <v>0</v>
      </c>
      <c r="ER2" s="9" t="str">
        <f>IFERROR(IF(A_Budget1!AR9=0,"",A_Budget1!AR9),"")</f>
        <v>janv</v>
      </c>
      <c r="ES2" s="312">
        <f t="shared" ref="ES2:ES13" ca="1" si="3">EP2+EQ2</f>
        <v>2.0000000000000001E-4</v>
      </c>
      <c r="ET2" s="313">
        <f t="shared" ref="ET2:ET13" ca="1" si="4">EL2+EM2</f>
        <v>2E-3</v>
      </c>
      <c r="EU2" s="314">
        <f t="shared" ref="EU2:EU13" ca="1" si="5">EN2+EO2</f>
        <v>2E-3</v>
      </c>
      <c r="EV2" t="str">
        <f ca="1">IFERROR(VLOOKUP(ER2,Library!$R$18:$S$29,2,FALSE),Library!S18)</f>
        <v>janv</v>
      </c>
      <c r="EY2" s="168"/>
      <c r="EZ2" s="168"/>
      <c r="FA2" s="168"/>
      <c r="FB2" s="168"/>
      <c r="FC2" s="168"/>
      <c r="FD2" s="168"/>
      <c r="FE2">
        <f>IF(FH2&lt;&gt;0,FE1+1,"")</f>
        <v>2</v>
      </c>
      <c r="FF2" s="105">
        <f>GETPIVOTDATA("[Measures].[ABSMontantE]",A_Budget1!$AF$32,"[Budget1Data].[Cat_2]","[Budget1Data].[Cat_2].&amp;["&amp;ControlChart_Budget1!FH1&amp;"]")</f>
        <v>4.0000000000000001E-3</v>
      </c>
      <c r="FG2" s="172">
        <f>GETPIVOTDATA("[Measures].[ABS_LastM]",A_Budget1!$AF$32,"[Budget1Data].[Cat_2]","[Budget1Data].[Cat_2].&amp;["&amp;ControlChart_Budget1!FH1&amp;"]")</f>
        <v>4.0000000000000001E-3</v>
      </c>
      <c r="FH2" t="str">
        <f>A_Budget1!AF34</f>
        <v>Category2</v>
      </c>
      <c r="FI2" s="174">
        <f t="shared" ref="FI2:FI18" si="6">IFERROR(FF3/$FF$1,0)</f>
        <v>1</v>
      </c>
      <c r="FJ2" s="175">
        <f t="shared" ref="FJ2:FJ18" si="7">IFERROR(FG3/$FG$1,0)</f>
        <v>1</v>
      </c>
      <c r="FK2" t="str" cm="1">
        <f t="array" ref="FK2">IFERROR(INDEX($FH$1:$FH$18,SMALL(IF($FI$1:$FI$18=FL2,ROW($FI$1:$FI$18)),COUNTIF($FL$1:FL2,FL2))),"")</f>
        <v>Category2</v>
      </c>
      <c r="FL2" s="174">
        <f t="shared" ref="FL2:FL18" si="8">IFERROR(LARGE($FI$1:$FI$18,FE2),0)</f>
        <v>1</v>
      </c>
      <c r="FM2" s="176">
        <f t="shared" ref="FM2:FM18" si="9">IFERROR(VLOOKUP(FK2,$FH$1:$FJ$18,3,FALSE),"")</f>
        <v>1</v>
      </c>
      <c r="FN2" t="str" cm="1">
        <f t="array" ref="FN2">_xlfn.IFS(FK2=0,"",FK2=$A$1,"",FK2&lt;&gt;"",FK2)</f>
        <v>Category2</v>
      </c>
      <c r="FO2">
        <f t="shared" ref="FO2:FO18" si="10">IF(FN2&lt;&gt;"",-5%,"")</f>
        <v>-0.05</v>
      </c>
      <c r="FP2" s="177">
        <f t="shared" ref="FP2:FP18" si="11">IF(FN2&lt;&gt;"",FL2,"")</f>
        <v>1</v>
      </c>
      <c r="FQ2" s="178">
        <f t="shared" ref="FQ2:FQ18" si="12">IF(FN2&lt;&gt;"",FM2,"")</f>
        <v>1</v>
      </c>
    </row>
    <row r="3" spans="1:173" ht="12" thickBot="1" x14ac:dyDescent="0.3">
      <c r="AB3" s="35" t="s">
        <v>162</v>
      </c>
      <c r="AC3" s="35">
        <f>IF(I22&gt;1,1,0)</f>
        <v>1</v>
      </c>
      <c r="AD3" s="36" t="s">
        <v>163</v>
      </c>
      <c r="AE3" s="36">
        <f>IF(I22&gt;2,1,0)</f>
        <v>0</v>
      </c>
      <c r="AF3" s="37" t="s">
        <v>164</v>
      </c>
      <c r="AG3" s="37">
        <f>IF(I22&gt;3,1,0)</f>
        <v>0</v>
      </c>
      <c r="AH3" s="198" t="s">
        <v>165</v>
      </c>
      <c r="AI3" s="198">
        <f>IF(I22&gt;4,1,0)</f>
        <v>0</v>
      </c>
      <c r="AJ3" s="204">
        <f>IF(I22-1&lt;0,0,I22-1)</f>
        <v>1</v>
      </c>
      <c r="AK3" s="123" t="str">
        <f>$J$4</f>
        <v>Category1</v>
      </c>
      <c r="AL3" s="123" t="str">
        <f>$L$4</f>
        <v>Category2</v>
      </c>
      <c r="AM3" s="123" t="str">
        <f>$N$4</f>
        <v>Category3</v>
      </c>
      <c r="AN3" s="123" t="str">
        <f>$P$4</f>
        <v>Category4</v>
      </c>
      <c r="AO3" s="123" t="str">
        <f>$R$4</f>
        <v>Category5</v>
      </c>
      <c r="AP3" s="123" t="str">
        <f>$T$4</f>
        <v>Category6</v>
      </c>
      <c r="AQ3" s="123" t="str">
        <f>$V$4</f>
        <v>Category7</v>
      </c>
      <c r="AR3" s="123" t="s">
        <v>144</v>
      </c>
      <c r="AT3" s="193">
        <v>3</v>
      </c>
      <c r="AU3" s="9" cm="1">
        <f t="array" aca="1" ref="AU3:AU6" ca="1">INDIRECT(AU2)</f>
        <v>11</v>
      </c>
      <c r="AV3" s="9" cm="1">
        <f t="array" aca="1" ref="AV3:AV6" ca="1">INDIRECT(AV2)</f>
        <v>2025</v>
      </c>
      <c r="AW3" s="9" t="str" cm="1">
        <f t="array" aca="1" ref="AW3:AW6" ca="1">INDIRECT(AW2)</f>
        <v>Qtr1</v>
      </c>
      <c r="AX3" s="179">
        <f>J17</f>
        <v>2E-3</v>
      </c>
      <c r="AY3" s="129">
        <f>ABS(AK2)</f>
        <v>2.0000000000000001E-4</v>
      </c>
      <c r="AZ3" s="9"/>
      <c r="BA3" s="180">
        <f>IFERROR(AY3+AZ3,NA())</f>
        <v>2.0000000000000001E-4</v>
      </c>
      <c r="BB3" s="9"/>
      <c r="BC3" s="133">
        <f>IF(BB3-BA3&lt;0,0,BB3-BA3)</f>
        <v>0</v>
      </c>
      <c r="BD3" s="211">
        <f>BC3+AX3</f>
        <v>2E-3</v>
      </c>
      <c r="BE3" s="130">
        <f>IF(BD3-BA3&lt;0,0,BD3-BA3)</f>
        <v>1.8E-3</v>
      </c>
      <c r="BF3" s="131">
        <f>BE3/BD3</f>
        <v>0.89999999999999991</v>
      </c>
      <c r="BG3" s="126">
        <f>IFERROR((0.1*BD3)/BD3,NA())</f>
        <v>0.1</v>
      </c>
      <c r="BH3" s="126">
        <f>IFERROR((0.1*BD3)/BD3,NA())</f>
        <v>0.1</v>
      </c>
      <c r="BI3" s="126">
        <f>IFERROR((0.2*BD3)/BD3,NA())</f>
        <v>0.2</v>
      </c>
      <c r="BJ3" s="131">
        <f>IFERROR(IF($AT$4&gt;1,0,BF3),NA())</f>
        <v>0.89999999999999991</v>
      </c>
      <c r="BK3" s="131">
        <f>IFERROR(IF($AT$4&gt;1,BF3,0),NA())</f>
        <v>0</v>
      </c>
      <c r="BL3" s="128">
        <f>IF(BK3&gt;0,0,BC3/AX3)</f>
        <v>0</v>
      </c>
      <c r="BM3" s="135">
        <f>IF((BD3-BE3)=0,0,(BD3-BE3)/BD3)</f>
        <v>0.10000000000000005</v>
      </c>
      <c r="BN3" s="126">
        <f>IFERROR(BF3,"")</f>
        <v>0.89999999999999991</v>
      </c>
      <c r="BO3" s="8">
        <f>IFERROR(BA3,"")</f>
        <v>2.0000000000000001E-4</v>
      </c>
      <c r="BP3" s="8">
        <f>IFERROR(AX3,"")</f>
        <v>2E-3</v>
      </c>
      <c r="BQ3" s="117"/>
      <c r="CL3" t="str">
        <f>AK$3</f>
        <v>Category1</v>
      </c>
      <c r="CM3" t="str">
        <f t="shared" ref="CM3:CR3" si="13">AL$3</f>
        <v>Category2</v>
      </c>
      <c r="CN3" t="str">
        <f t="shared" si="13"/>
        <v>Category3</v>
      </c>
      <c r="CO3" t="str">
        <f t="shared" si="13"/>
        <v>Category4</v>
      </c>
      <c r="CP3" t="str">
        <f t="shared" si="13"/>
        <v>Category5</v>
      </c>
      <c r="CQ3" t="str">
        <f t="shared" si="13"/>
        <v>Category6</v>
      </c>
      <c r="CR3" t="str">
        <f t="shared" si="13"/>
        <v>Category7</v>
      </c>
      <c r="CS3" s="5" t="s">
        <v>166</v>
      </c>
      <c r="CU3" s="114"/>
      <c r="CV3" s="114"/>
      <c r="CW3" s="114"/>
      <c r="CX3" s="189" t="str">
        <f ca="1">IF(CY3&lt;&gt;"",CX1,"")</f>
        <v/>
      </c>
      <c r="CY3" s="144" t="str">
        <f ca="1">E17</f>
        <v/>
      </c>
      <c r="CZ3" s="9"/>
      <c r="DA3" s="9" t="s">
        <v>167</v>
      </c>
      <c r="DB3" s="9">
        <f>IF(DB1&gt;0,DB1,0)</f>
        <v>0</v>
      </c>
      <c r="DC3" s="5"/>
      <c r="DN3" s="9" t="str">
        <f t="shared" ref="DN3:DN16" si="14">IFERROR(IF(DO3&lt;&gt;"",DN2+1,""),"")</f>
        <v/>
      </c>
      <c r="DO3" s="9" t="str" cm="1">
        <f t="array" ref="DO3">_xlfn.IFS(RIGHT(A_Budget1!AJ11,5)="Total","",A_Budget1!AJ11="","",A_Budget1!AJ11&lt;&gt;"",A_Budget1!AJ11)</f>
        <v/>
      </c>
      <c r="DP3" s="9" t="str">
        <f>IFERROR(GETPIVOTDATA("[Measures].["&amp;A_Budget1!$AK$7&amp;"]",A_Budget1!$AJ$7,"[Budget1Data].[Cat_2]","[Budget1Data].[Cat_2].&amp;["&amp;A_Budget1!$AJ$8&amp;"]","[Budget1Data].[Cat_3]","[Budget1Data].[Cat_3].&amp;["&amp;DO3&amp;"]")/GETPIVOTDATA("[Measures].[Sum of Montant_Extrap 3]",A_Budget1!$AF$7,"[Budget1Data].[Cat_2]","[Budget1Data].[Cat_2].&amp;["&amp;WB_Data!$J$2&amp;"]"),"")</f>
        <v/>
      </c>
      <c r="DQ3" s="9" t="str" cm="1">
        <f t="array" ref="DQ3">IFERROR(INDEX($DO$1:$DO$16,SMALL(IF($DP$1:$DP$16=DR3,ROW($DP$1:$DP$16)),COUNTIF($DR$1:DR3,DR3))),"")</f>
        <v/>
      </c>
      <c r="DR3" s="104" t="str">
        <f t="shared" si="1"/>
        <v/>
      </c>
      <c r="DS3" s="103" t="str">
        <f>IFERROR(GETPIVOTDATA("[Measures].["&amp;A_Budget1!$AK$7&amp;"]",A_Budget1!$AJ$7,"[Budget1Data].[Cat_2]","[Budget1Data].[Cat_2].&amp;["&amp;A_Budget1!$AJ$8&amp;"]","[Budget1Data].[Cat_3]","[Budget1Data].[Cat_3].&amp;["&amp;DQ3&amp;"]"),"")</f>
        <v/>
      </c>
      <c r="DT3" s="154" t="str">
        <f>IFERROR(GETPIVOTDATA("[Measures].["&amp;A_Budget1!$AL$7&amp;"]",A_Budget1!$AJ$7,"[Budget1Data].[Cat_2]","[Budget1Data].[Cat_2].&amp;["&amp;A_Budget1!$AJ$8&amp;"]","[Budget1Data].[Cat_3]","[Budget1Data].[Cat_3].&amp;["&amp;DQ3&amp;"]")/GETPIVOTDATA("[Measures].[Sum of Last_Montant]",A_Budget1!$AF$7,"[Budget1Data].[Cat_2]","[Budget1Data].[Cat_2].&amp;["&amp;WB_Data!$J$2&amp;"]"),"")</f>
        <v/>
      </c>
      <c r="DU3" s="155" t="str">
        <f>IFERROR(GETPIVOTDATA("[Measures].["&amp;A_Budget1!$AL$7&amp;"]",A_Budget1!$AJ$7,"[Budget1Data].[Cat_2]","[Budget1Data].[Cat_2].&amp;["&amp;A_Budget1!$AJ$8&amp;"]","[Budget1Data].[Cat_3]","[Budget1Data].[Cat_3].&amp;["&amp;DQ3&amp;"]"),"")</f>
        <v/>
      </c>
      <c r="DV3" s="9" t="str">
        <f t="shared" si="0"/>
        <v/>
      </c>
      <c r="DW3" s="9"/>
      <c r="DX3" s="9"/>
      <c r="DY3" s="97" t="str">
        <f t="shared" ref="DY3:DY16" si="15">DN3</f>
        <v/>
      </c>
      <c r="DZ3" s="9" t="str" cm="1">
        <f t="array" ref="DZ3">_xlfn.IFS(RIGHT(A_Budget1!AJ11,5)="Total","",A_Budget1!AJ11="","",A_Budget1!AJ11&lt;&gt;"",A_Budget1!AJ11)</f>
        <v/>
      </c>
      <c r="EA3" s="9" t="str">
        <f>IFERROR(GETPIVOTDATA("[Measures].["&amp;A_Budget1!$AL$7&amp;"]",A_Budget1!$AJ$7,"[Budget1Data].[Cat_2]","[Budget1Data].[Cat_2].&amp;["&amp;A_Budget1!$AJ$8&amp;"]","[Budget1Data].[Cat_3]","[Budget1Data].[Cat_3].&amp;["&amp;DZ3&amp;"]")/GETPIVOTDATA("[Measures].[Sum of Last_Montant]",A_Budget1!$AF$7,"[Budget1Data].[Cat_2]","[Budget1Data].[Cat_2].&amp;["&amp;WB_Data!$J$2&amp;"]"),"")</f>
        <v/>
      </c>
      <c r="EB3" s="9" t="str" cm="1">
        <f t="array" ref="EB3">IFERROR(INDEX($DZ$1:$DZ$16,SMALL(IF($EA$1:$EA$16=EC3,ROW($EA$1:$EA$16)),COUNTIF($EC$1:EC3,EC3))),"")</f>
        <v/>
      </c>
      <c r="EC3" s="154" t="str">
        <f t="shared" si="2"/>
        <v/>
      </c>
      <c r="ED3" s="154" t="str">
        <f>IFERROR(GETPIVOTDATA("[Measures].["&amp;A_Budget1!$AL$7&amp;"]",A_Budget1!$AJ$7,"[Budget1Data].[Cat_2]","[Budget1Data].[Cat_2].&amp;["&amp;A_Budget1!$AJ$8&amp;"]","[Budget1Data].[Cat_3]","[Budget1Data].[Cat_3].&amp;["&amp;EB3&amp;"]"),"")</f>
        <v/>
      </c>
      <c r="EE3" s="139" t="str">
        <f>IFERROR(GETPIVOTDATA("[Measures].["&amp;A_Budget1!$AK$7&amp;"]",A_Budget1!$AJ$7,"[Budget1Data].[Cat_2]","[Budget1Data].[Cat_2].&amp;["&amp;A_Budget1!$AJ$8&amp;"]","[Budget1Data].[Cat_3]","[Budget1Data].[Cat_3].&amp;["&amp;EB3&amp;"]")/GETPIVOTDATA("[Measures].[Sum of Montant_Extrap 3]",A_Budget1!$AF$7,"[Budget1Data].[Cat_2]","[Budget1Data].[Cat_2].&amp;["&amp;WB_Data!$J$2&amp;"]"),"")</f>
        <v/>
      </c>
      <c r="EF3" s="105" t="str">
        <f>IFERROR(GETPIVOTDATA("[Measures].["&amp;A_Budget1!$AK$7&amp;"]",A_Budget1!$AJ$7,"[Budget1Data].[Cat_2]","[Budget1Data].[Cat_2].&amp;["&amp;A_Budget1!$AJ$8&amp;"]","[Budget1Data].[Cat_3]","[Budget1Data].[Cat_3].&amp;["&amp;EB3&amp;"]"),"")</f>
        <v/>
      </c>
      <c r="EL3" s="166">
        <f ca="1">IFERROR(GETPIVOTDATA("[Measures].["&amp;A_Budget1!$AS$7&amp;"]",A_Budget1!$AQ$7,"[Budget1Data].[Cat_3]","[Budget1Data].[Cat_3].&amp;["&amp;ControlChart_Budget1!$ER$1&amp;"]","[Budget1Data].[Mois (Month)]","[Budget1Data].[Mois (Month)].&amp;["&amp;EV3&amp;"]","[Budget1Data].[Mois (Year)]","[Budget1Data].[Mois (Year)].&amp;["&amp;$EL$1&amp;"]"),0)</f>
        <v>2E-3</v>
      </c>
      <c r="EM3" s="165">
        <f ca="1">IFERROR(IF($EN$1=1,0,GETPIVOTDATA("[Measures].["&amp;A_Budget1!$AS$7&amp;"]",A_Budget1!$AQ$7,"[Budget1Data].[Cat_3]","[Budget1Data].[Cat_3].&amp;["&amp;ControlChart_Budget1!$ER$1&amp;"]","[Budget1Data].[Mois (Month)]","[Budget1Data].[Mois (Month)].&amp;["&amp;EV3&amp;"]","[Budget1Data].[Mois (Year)]","[Budget1Data].[Mois (Year)].&amp;["&amp;$EM$1&amp;"]")),0)</f>
        <v>0</v>
      </c>
      <c r="EN3" s="139">
        <f ca="1">IFERROR(GETPIVOTDATA("[Measures].["&amp;A_Budget1!$AT$7&amp;"]",A_Budget1!$AQ$7,"[Budget1Data].[Cat_3]","[Budget1Data].[Cat_3].&amp;["&amp;ControlChart_Budget1!$ER$1&amp;"]","[Budget1Data].[Mois (Month)]","[Budget1Data].[Mois (Month)].&amp;["&amp;EV3&amp;"]","[Budget1Data].[Mois (Year)]","[Budget1Data].[Mois (Year)].&amp;["&amp;$EL$1&amp;"]"),0)</f>
        <v>2E-3</v>
      </c>
      <c r="EO3" s="139">
        <f ca="1">IFERROR(IF($EN$1=1,0,GETPIVOTDATA("[Measures].["&amp;A_Budget1!$AT$7&amp;"]",A_Budget1!$AQ$7,"[Budget1Data].[Cat_3]","[Budget1Data].[Cat_3].&amp;["&amp;ControlChart_Budget1!$ER$1&amp;"]","[Budget1Data].[Mois (Month)]","[Budget1Data].[Mois (Month)].&amp;["&amp;EV3&amp;"]","[Budget1Data].[Mois (Year)]","[Budget1Data].[Mois (Year)].&amp;["&amp;$EM$1&amp;"]")),0)</f>
        <v>0</v>
      </c>
      <c r="EP3" s="167">
        <f ca="1">IFERROR(GETPIVOTDATA("[Measures].["&amp;A_Budget1!$AU$7&amp;"]",A_Budget1!$AQ$7,"[Budget1Data].[Cat_3]","[Budget1Data].[Cat_3].&amp;["&amp;ControlChart_Budget1!$ER$1&amp;"]","[Budget1Data].[Mois (Month)]","[Budget1Data].[Mois (Month)].&amp;["&amp;EV3&amp;"]","[Budget1Data].[Mois (Year)]","[Budget1Data].[Mois (Year)].&amp;["&amp;$EL$1&amp;"]"),0)</f>
        <v>2.0000000000000001E-4</v>
      </c>
      <c r="EQ3" s="167">
        <f ca="1">IFERROR(IF($EN$1=1,0,GETPIVOTDATA("[Measures].["&amp;A_Budget1!$AU$7&amp;"]",A_Budget1!$AQ$7,"[Budget1Data].[Cat_3]","[Budget1Data].[Cat_3].&amp;["&amp;ControlChart_Budget1!$ER$1&amp;"]","[Budget1Data].[Mois (Month)]","[Budget1Data].[Mois (Month)].&amp;["&amp;EV3&amp;"]","[Budget1Data].[Mois (Year)]","[Budget1Data].[Mois (Year)].&amp;["&amp;$EM$1&amp;"]")),0)</f>
        <v>0</v>
      </c>
      <c r="ER3" s="9" t="str">
        <f>IFERROR(IF(A_Budget1!AR10=0,"",A_Budget1!AR10),"")</f>
        <v>févr</v>
      </c>
      <c r="ES3" s="312">
        <f t="shared" ca="1" si="3"/>
        <v>2.0000000000000001E-4</v>
      </c>
      <c r="ET3" s="313">
        <f t="shared" ca="1" si="4"/>
        <v>2E-3</v>
      </c>
      <c r="EU3" s="314">
        <f t="shared" ca="1" si="5"/>
        <v>2E-3</v>
      </c>
      <c r="EV3" t="str">
        <f ca="1">IFERROR(VLOOKUP(ER3,Library!$R$18:$S$29,2,FALSE),Library!S19)</f>
        <v>févr</v>
      </c>
      <c r="EY3" s="168"/>
      <c r="EZ3" s="168"/>
      <c r="FA3" s="168"/>
      <c r="FB3" s="168"/>
      <c r="FC3" s="168"/>
      <c r="FD3" s="168"/>
      <c r="FE3">
        <f t="shared" ref="FE3:FE19" si="16">IF(FH3&lt;&gt;0,FE2+1,"")</f>
        <v>3</v>
      </c>
      <c r="FF3" s="105">
        <f>GETPIVOTDATA("[Measures].[ABSMontantE]",A_Budget1!$AF$32,"[Budget1Data].[Cat_2]","[Budget1Data].[Cat_2].&amp;["&amp;ControlChart_Budget1!FH2&amp;"]")</f>
        <v>4.0000000000000001E-3</v>
      </c>
      <c r="FG3" s="172">
        <f>GETPIVOTDATA("[Measures].[ABS_LastM]",A_Budget1!$AF$32,"[Budget1Data].[Cat_2]","[Budget1Data].[Cat_2].&amp;["&amp;ControlChart_Budget1!FH2&amp;"]")</f>
        <v>4.0000000000000001E-3</v>
      </c>
      <c r="FH3" t="str">
        <f>A_Budget1!AF35</f>
        <v>Category3</v>
      </c>
      <c r="FI3" s="174">
        <f t="shared" si="6"/>
        <v>1</v>
      </c>
      <c r="FJ3" s="175">
        <f t="shared" si="7"/>
        <v>1</v>
      </c>
      <c r="FK3" t="str" cm="1">
        <f t="array" ref="FK3">IFERROR(INDEX($FH$1:$FH$18,SMALL(IF($FI$1:$FI$18=FL3,ROW($FI$1:$FI$18)),COUNTIF($FL$1:FL3,FL3))),"")</f>
        <v>Category3</v>
      </c>
      <c r="FL3" s="174">
        <f t="shared" si="8"/>
        <v>1</v>
      </c>
      <c r="FM3" s="176">
        <f t="shared" si="9"/>
        <v>1</v>
      </c>
      <c r="FN3" t="str" cm="1">
        <f t="array" ref="FN3">_xlfn.IFS(FK3=0,"",FK3=$A$1,"",FK3&lt;&gt;"",FK3)</f>
        <v>Category3</v>
      </c>
      <c r="FO3">
        <f t="shared" si="10"/>
        <v>-0.05</v>
      </c>
      <c r="FP3" s="177">
        <f t="shared" si="11"/>
        <v>1</v>
      </c>
      <c r="FQ3" s="178">
        <f t="shared" si="12"/>
        <v>1</v>
      </c>
    </row>
    <row r="4" spans="1:173" x14ac:dyDescent="0.25">
      <c r="A4" s="5"/>
      <c r="C4" s="118" t="str">
        <f>A_Budget1!T9</f>
        <v>Category1</v>
      </c>
      <c r="D4" s="116">
        <f>GETPIVOTDATA("[Measures].[ABSMontantE]",A_Budget1!$T$8,"[Budget1Data].[Cat_2]","[Budget1Data].[Cat_2].&amp;["&amp;ControlChart_Budget1!C4&amp;"]")</f>
        <v>0.14285714285714277</v>
      </c>
      <c r="E4" s="212">
        <v>1</v>
      </c>
      <c r="I4" s="5" cm="1">
        <f t="array" ref="I4:Y12">A_Budget1!A51:'A_Budget1'!Q59</f>
        <v>0</v>
      </c>
      <c r="J4" s="5" t="str">
        <v>Category1</v>
      </c>
      <c r="K4" s="5">
        <v>0</v>
      </c>
      <c r="L4" s="5" t="str">
        <v>Category2</v>
      </c>
      <c r="M4" s="5">
        <v>0</v>
      </c>
      <c r="N4" s="5" t="str">
        <v>Category3</v>
      </c>
      <c r="O4" s="5">
        <v>0</v>
      </c>
      <c r="P4" s="5" t="str">
        <v>Category4</v>
      </c>
      <c r="Q4" s="5">
        <v>0</v>
      </c>
      <c r="R4" s="5" t="str">
        <v>Category5</v>
      </c>
      <c r="S4" s="5">
        <v>0</v>
      </c>
      <c r="T4" s="5" t="str">
        <v>Category6</v>
      </c>
      <c r="U4" s="5">
        <v>0</v>
      </c>
      <c r="V4" s="5" t="str">
        <v>Category7</v>
      </c>
      <c r="W4" s="5">
        <v>0</v>
      </c>
      <c r="X4" s="5" t="str">
        <v>Total ABSMontantE</v>
      </c>
      <c r="Y4" s="5" t="str">
        <v>Total ABSB1M</v>
      </c>
      <c r="AA4">
        <f>IF(ISBLANK(E4),"",E4)</f>
        <v>1</v>
      </c>
      <c r="AB4" s="195">
        <f>IF(OR(AA4=1,AA4=3),AK$42,0)</f>
        <v>2E-3</v>
      </c>
      <c r="AC4" s="196">
        <f>IF(OR(AA4=1,AA4=3),0,IF(AJ4&lt;&gt;"",AK$42/$AC$15,0))</f>
        <v>0</v>
      </c>
      <c r="AD4" s="200" t="str">
        <f>IF(OR($AA4=1,AA4=3),AK$81,0)</f>
        <v/>
      </c>
      <c r="AE4" s="201">
        <f>IF(OR($AA4=1,AA4=3),0,IF($AJ4&lt;&gt;"",AK$81/AE$15,0))</f>
        <v>0</v>
      </c>
      <c r="AF4" s="37">
        <f>IF(OR($AA4=1,AA4=3),AK$117,0)</f>
        <v>0</v>
      </c>
      <c r="AG4" s="197">
        <f>IF(OR($AA4=1,AA4=3),0,IF($AJ4&lt;&gt;"",AK$117/AG$15,0))</f>
        <v>0</v>
      </c>
      <c r="AH4" s="199">
        <f>IF(OR($AA4=1,AA4=3),AK$150,0)</f>
        <v>0</v>
      </c>
      <c r="AI4" s="199">
        <f>IF(OR($AA4=1,AA4=3),0,IF($AJ4&lt;&gt;"",AK$150/AI$15,0))</f>
        <v>0</v>
      </c>
      <c r="AJ4" s="120" t="str">
        <f>IF(ISBLANK($C$4),"",$C$4)</f>
        <v>Category1</v>
      </c>
      <c r="AK4" s="120">
        <f>IFERROR(IF($AK$2&gt;$AK$1,IF(AND(AJ4=$AK$3,AA4=3),($AK$2-$AK$1),IF(AND(AA4=2,$AA$4&lt;&gt;3),$AK$2-$AK$1)),0),0)</f>
        <v>0</v>
      </c>
      <c r="AL4" s="120">
        <f>IFERROR(IF($AL$2&gt;$AL$1,IF(AND(AJ4=$AL$3,AA4=3),($AL$2-$AL$1),IF(AND(AA4=2,$AA$5&lt;&gt;3),$AL$2-$AL$1)),0),0)</f>
        <v>0</v>
      </c>
      <c r="AM4" s="120">
        <f>IFERROR(IF($AM$2&gt;$AM$1,IF(AND(AJ4=$AM$3,AA4=3),($AM$2-$AM$1),IF(AND(AA4=2,$AA$6&lt;&gt;3),$AM$2-$AM$1)),0),0)</f>
        <v>0</v>
      </c>
      <c r="AN4" s="120">
        <f>IFERROR(IF($AN$2&gt;$AN$1,IF(AND(AJ4=$AN$3,AA4=3),($AN$2-$AN$1),IF(AND(AA4=2,$AA$7&lt;&gt;3),$AN$2-$AN$1)),0),0)</f>
        <v>0</v>
      </c>
      <c r="AO4" s="120">
        <f>IFERROR(IF($AO$2&gt;$AO$1,IF(AND(AJ4=$AO$3,AA4=3),($AO$2-$AO$1),IF(AND(AA4=2,$AA$8&lt;&gt;3),$AO$2-$AO$1)),0),0)</f>
        <v>0</v>
      </c>
      <c r="AP4" s="120">
        <f>IFERROR(IF($AP$2&gt;$AP$1,IF(AND(AJ4=$AP$3,AA4=3),($AP$2-$AP$1),IF(AND(AA4=2,$AA$9&lt;&gt;3),$AP$2-$AP$1)),0),0)</f>
        <v>0</v>
      </c>
      <c r="AQ4" s="120">
        <f>IFERROR(IF($AQ$2&gt;$AQ$1,IF(AND(AJ4=$AQ$3,AA4=3),($AQ$2-$AQ$1),IF(AND(AA4=2,$AA$10&lt;&gt;3),$AQ$2-$AQ$1)),0),0)</f>
        <v>0</v>
      </c>
      <c r="AR4" s="202">
        <f>SUM(AK4:AQ4)</f>
        <v>0</v>
      </c>
      <c r="AT4" s="193">
        <v>1</v>
      </c>
      <c r="AU4" s="9">
        <f ca="1"/>
        <v>21</v>
      </c>
      <c r="AV4" s="9">
        <f ca="1"/>
        <v>2026</v>
      </c>
      <c r="AW4" s="9" t="str">
        <f ca="1"/>
        <v>Qtr1</v>
      </c>
      <c r="AX4" s="179">
        <f>J18</f>
        <v>2E-3</v>
      </c>
      <c r="AY4" s="129">
        <f>ABS(AK43)</f>
        <v>0</v>
      </c>
      <c r="AZ4" s="132">
        <f>IFERROR(IF(AND($AT$4&gt;=2,ABS($AK$41)&lt;0),ABS($AK$41),0),NA())</f>
        <v>0</v>
      </c>
      <c r="BA4" s="180">
        <f>IFERROR(AY4+AZ4,NA())</f>
        <v>0</v>
      </c>
      <c r="BB4" s="127">
        <f>IFERROR(IF(AND($AT$4&gt;=2,$AK$40&gt;0),$AK$40,0),NA())</f>
        <v>0</v>
      </c>
      <c r="BC4" s="133">
        <f>IF(BB4-BA4&lt;0,0,BB4-BA4)</f>
        <v>0</v>
      </c>
      <c r="BD4" s="130">
        <f>BC4+AX4</f>
        <v>2E-3</v>
      </c>
      <c r="BE4" s="130">
        <f>IF(BD4-BA4&lt;0,0,BD4-BA4)</f>
        <v>2E-3</v>
      </c>
      <c r="BF4" s="131">
        <f>BE4/BD4</f>
        <v>1</v>
      </c>
      <c r="BG4" s="126">
        <f>IFERROR((0.1*BD4)/BD4,NA())</f>
        <v>0.1</v>
      </c>
      <c r="BH4" s="126">
        <f>IFERROR((0.1*BD4)/BD4,NA())</f>
        <v>0.1</v>
      </c>
      <c r="BI4" s="126">
        <f>IFERROR((0.2*BD4)/BD4,NA())</f>
        <v>0.2</v>
      </c>
      <c r="BJ4" s="131">
        <f>IFERROR(IF($AT$4&gt;2,0,BF4),NA())</f>
        <v>1</v>
      </c>
      <c r="BK4" s="131">
        <f>IFERROR(IF($AT$4&gt;2,BF4,0),NA())</f>
        <v>0</v>
      </c>
      <c r="BL4" s="128">
        <f>IF(BK4&gt;0,0,BC4/AX4)</f>
        <v>0</v>
      </c>
      <c r="BM4" s="135">
        <f>IF((BD4-BE4)=0,0,(BD4-BE4)/BD4)</f>
        <v>0</v>
      </c>
      <c r="BN4" s="126">
        <f>IFERROR(BF4,"")</f>
        <v>1</v>
      </c>
      <c r="BO4" s="8">
        <f>IFERROR(BA4,"")</f>
        <v>0</v>
      </c>
      <c r="BP4" s="8">
        <f>IFERROR(AX4,"")</f>
        <v>2E-3</v>
      </c>
      <c r="BQ4" s="8" t="str">
        <f>IFERROR(IF(BC4=0,"",BC4),"")</f>
        <v/>
      </c>
      <c r="CL4" s="139">
        <f>AK$2*(-1)</f>
        <v>-2.0000000000000001E-4</v>
      </c>
      <c r="CM4" s="139">
        <f t="shared" ref="CM4:CR4" si="17">AL$2*(-1)</f>
        <v>-2.0000000000000001E-4</v>
      </c>
      <c r="CN4" s="139">
        <f t="shared" si="17"/>
        <v>-2.0000000000000001E-4</v>
      </c>
      <c r="CO4" s="139">
        <f t="shared" si="17"/>
        <v>-2.0000000000000001E-4</v>
      </c>
      <c r="CP4" s="139">
        <f t="shared" si="17"/>
        <v>-2.0000000000000001E-4</v>
      </c>
      <c r="CQ4" s="139">
        <f t="shared" si="17"/>
        <v>-2.0000000000000001E-4</v>
      </c>
      <c r="CR4" s="139">
        <f t="shared" si="17"/>
        <v>-2.0000000000000001E-4</v>
      </c>
      <c r="CS4" s="31">
        <f>SUM($CL4:$CR4)</f>
        <v>-1.4000000000000002E-3</v>
      </c>
      <c r="CU4" s="83"/>
      <c r="CV4" s="5"/>
      <c r="CY4" s="9" t="s">
        <v>14</v>
      </c>
      <c r="CZ4" s="9" cm="1">
        <f t="array" ref="CZ4">IFERROR(_xlfn.IFS(DB3&gt;0,0%,(DB2/CZ5)&gt;1.4,1.4,DB2&gt;=0,(DB2/CZ5)),0)</f>
        <v>0.1</v>
      </c>
      <c r="DA4" s="9"/>
      <c r="DB4" s="9" t="s">
        <v>169</v>
      </c>
      <c r="DC4" s="5"/>
      <c r="DN4" s="9" t="str">
        <f t="shared" si="14"/>
        <v/>
      </c>
      <c r="DO4" s="9" t="str" cm="1">
        <f t="array" ref="DO4">_xlfn.IFS(RIGHT(A_Budget1!AJ12,5)="Total","",A_Budget1!AJ12="","",A_Budget1!AJ12&lt;&gt;"",A_Budget1!AJ12)</f>
        <v/>
      </c>
      <c r="DP4" s="9" t="str">
        <f>IFERROR(GETPIVOTDATA("[Measures].["&amp;A_Budget1!$AK$7&amp;"]",A_Budget1!$AJ$7,"[Budget1Data].[Cat_2]","[Budget1Data].[Cat_2].&amp;["&amp;A_Budget1!$AJ$8&amp;"]","[Budget1Data].[Cat_3]","[Budget1Data].[Cat_3].&amp;["&amp;DO4&amp;"]")/GETPIVOTDATA("[Measures].[Sum of Montant_Extrap 3]",A_Budget1!$AF$7,"[Budget1Data].[Cat_2]","[Budget1Data].[Cat_2].&amp;["&amp;WB_Data!$J$2&amp;"]"),"")</f>
        <v/>
      </c>
      <c r="DQ4" s="9" t="str" cm="1">
        <f t="array" ref="DQ4">IFERROR(INDEX($DO$1:$DO$16,SMALL(IF($DP$1:$DP$16=DR4,ROW($DP$1:$DP$16)),COUNTIF($DR$1:DR4,DR4))),"")</f>
        <v/>
      </c>
      <c r="DR4" s="104" t="str">
        <f t="shared" si="1"/>
        <v/>
      </c>
      <c r="DS4" s="103" t="str">
        <f>IFERROR(GETPIVOTDATA("[Measures].["&amp;A_Budget1!$AK$7&amp;"]",A_Budget1!$AJ$7,"[Budget1Data].[Cat_2]","[Budget1Data].[Cat_2].&amp;["&amp;A_Budget1!$AJ$8&amp;"]","[Budget1Data].[Cat_3]","[Budget1Data].[Cat_3].&amp;["&amp;DQ4&amp;"]"),"")</f>
        <v/>
      </c>
      <c r="DT4" s="154" t="str">
        <f>IFERROR(GETPIVOTDATA("[Measures].["&amp;A_Budget1!$AL$7&amp;"]",A_Budget1!$AJ$7,"[Budget1Data].[Cat_2]","[Budget1Data].[Cat_2].&amp;["&amp;A_Budget1!$AJ$8&amp;"]","[Budget1Data].[Cat_3]","[Budget1Data].[Cat_3].&amp;["&amp;DQ4&amp;"]")/GETPIVOTDATA("[Measures].[Sum of Last_Montant]",A_Budget1!$AF$7,"[Budget1Data].[Cat_2]","[Budget1Data].[Cat_2].&amp;["&amp;WB_Data!$J$2&amp;"]"),"")</f>
        <v/>
      </c>
      <c r="DU4" s="155" t="str">
        <f>IFERROR(GETPIVOTDATA("[Measures].["&amp;A_Budget1!$AL$7&amp;"]",A_Budget1!$AJ$7,"[Budget1Data].[Cat_2]","[Budget1Data].[Cat_2].&amp;["&amp;A_Budget1!$AJ$8&amp;"]","[Budget1Data].[Cat_3]","[Budget1Data].[Cat_3].&amp;["&amp;DQ4&amp;"]"),"")</f>
        <v/>
      </c>
      <c r="DV4" s="9" t="str">
        <f t="shared" si="0"/>
        <v/>
      </c>
      <c r="DW4" s="9"/>
      <c r="DX4" s="9"/>
      <c r="DY4" s="97" t="str">
        <f t="shared" si="15"/>
        <v/>
      </c>
      <c r="DZ4" s="9" t="str" cm="1">
        <f t="array" ref="DZ4">_xlfn.IFS(RIGHT(A_Budget1!AJ12,5)="Total","",A_Budget1!AJ12="","",A_Budget1!AJ12&lt;&gt;"",A_Budget1!AJ12)</f>
        <v/>
      </c>
      <c r="EA4" s="9" t="str">
        <f>IFERROR(GETPIVOTDATA("[Measures].["&amp;A_Budget1!$AL$7&amp;"]",A_Budget1!$AJ$7,"[Budget1Data].[Cat_2]","[Budget1Data].[Cat_2].&amp;["&amp;A_Budget1!$AJ$8&amp;"]","[Budget1Data].[Cat_3]","[Budget1Data].[Cat_3].&amp;["&amp;DZ4&amp;"]")/GETPIVOTDATA("[Measures].[Sum of Last_Montant]",A_Budget1!$AF$7,"[Budget1Data].[Cat_2]","[Budget1Data].[Cat_2].&amp;["&amp;WB_Data!$J$2&amp;"]"),"")</f>
        <v/>
      </c>
      <c r="EB4" s="9" t="str" cm="1">
        <f t="array" ref="EB4">IFERROR(INDEX($DZ$1:$DZ$16,SMALL(IF($EA$1:$EA$16=EC4,ROW($EA$1:$EA$16)),COUNTIF($EC$1:EC4,EC4))),"")</f>
        <v/>
      </c>
      <c r="EC4" s="154" t="str">
        <f t="shared" si="2"/>
        <v/>
      </c>
      <c r="ED4" s="154" t="str">
        <f>IFERROR(GETPIVOTDATA("[Measures].["&amp;A_Budget1!$AL$7&amp;"]",A_Budget1!$AJ$7,"[Budget1Data].[Cat_2]","[Budget1Data].[Cat_2].&amp;["&amp;A_Budget1!$AJ$8&amp;"]","[Budget1Data].[Cat_3]","[Budget1Data].[Cat_3].&amp;["&amp;EB4&amp;"]"),"")</f>
        <v/>
      </c>
      <c r="EE4" s="139" t="str">
        <f>IFERROR(GETPIVOTDATA("[Measures].["&amp;A_Budget1!$AK$7&amp;"]",A_Budget1!$AJ$7,"[Budget1Data].[Cat_2]","[Budget1Data].[Cat_2].&amp;["&amp;A_Budget1!$AJ$8&amp;"]","[Budget1Data].[Cat_3]","[Budget1Data].[Cat_3].&amp;["&amp;EB4&amp;"]")/GETPIVOTDATA("[Measures].[Sum of Montant_Extrap 3]",A_Budget1!$AF$7,"[Budget1Data].[Cat_2]","[Budget1Data].[Cat_2].&amp;["&amp;WB_Data!$J$2&amp;"]"),"")</f>
        <v/>
      </c>
      <c r="EF4" s="105" t="str">
        <f>IFERROR(GETPIVOTDATA("[Measures].["&amp;A_Budget1!$AK$7&amp;"]",A_Budget1!$AJ$7,"[Budget1Data].[Cat_2]","[Budget1Data].[Cat_2].&amp;["&amp;A_Budget1!$AJ$8&amp;"]","[Budget1Data].[Cat_3]","[Budget1Data].[Cat_3].&amp;["&amp;EB4&amp;"]"),"")</f>
        <v/>
      </c>
      <c r="EL4" s="166">
        <f ca="1">IFERROR(GETPIVOTDATA("[Measures].["&amp;A_Budget1!$AS$7&amp;"]",A_Budget1!$AQ$7,"[Budget1Data].[Cat_3]","[Budget1Data].[Cat_3].&amp;["&amp;ControlChart_Budget1!$ER$1&amp;"]","[Budget1Data].[Mois (Month)]","[Budget1Data].[Mois (Month)].&amp;["&amp;EV4&amp;"]","[Budget1Data].[Mois (Year)]","[Budget1Data].[Mois (Year)].&amp;["&amp;$EL$1&amp;"]"),0)</f>
        <v>0</v>
      </c>
      <c r="EM4" s="165">
        <f ca="1">IFERROR(IF($EN$1=1,0,GETPIVOTDATA("[Measures].["&amp;A_Budget1!$AS$7&amp;"]",A_Budget1!$AQ$7,"[Budget1Data].[Cat_3]","[Budget1Data].[Cat_3].&amp;["&amp;ControlChart_Budget1!$ER$1&amp;"]","[Budget1Data].[Mois (Month)]","[Budget1Data].[Mois (Month)].&amp;["&amp;EV4&amp;"]","[Budget1Data].[Mois (Year)]","[Budget1Data].[Mois (Year)].&amp;["&amp;$EM$1&amp;"]")),0)</f>
        <v>0</v>
      </c>
      <c r="EN4" s="139">
        <f ca="1">IFERROR(GETPIVOTDATA("[Measures].["&amp;A_Budget1!$AT$7&amp;"]",A_Budget1!$AQ$7,"[Budget1Data].[Cat_3]","[Budget1Data].[Cat_3].&amp;["&amp;ControlChart_Budget1!$ER$1&amp;"]","[Budget1Data].[Mois (Month)]","[Budget1Data].[Mois (Month)].&amp;["&amp;EV4&amp;"]","[Budget1Data].[Mois (Year)]","[Budget1Data].[Mois (Year)].&amp;["&amp;$EL$1&amp;"]"),0)</f>
        <v>0</v>
      </c>
      <c r="EO4" s="139">
        <f ca="1">IFERROR(IF($EN$1=1,0,GETPIVOTDATA("[Measures].["&amp;A_Budget1!$AT$7&amp;"]",A_Budget1!$AQ$7,"[Budget1Data].[Cat_3]","[Budget1Data].[Cat_3].&amp;["&amp;ControlChart_Budget1!$ER$1&amp;"]","[Budget1Data].[Mois (Month)]","[Budget1Data].[Mois (Month)].&amp;["&amp;EV4&amp;"]","[Budget1Data].[Mois (Year)]","[Budget1Data].[Mois (Year)].&amp;["&amp;$EM$1&amp;"]")),0)</f>
        <v>0</v>
      </c>
      <c r="EP4" s="167">
        <f ca="1">IFERROR(GETPIVOTDATA("[Measures].["&amp;A_Budget1!$AU$7&amp;"]",A_Budget1!$AQ$7,"[Budget1Data].[Cat_3]","[Budget1Data].[Cat_3].&amp;["&amp;ControlChart_Budget1!$ER$1&amp;"]","[Budget1Data].[Mois (Month)]","[Budget1Data].[Mois (Month)].&amp;["&amp;EV4&amp;"]","[Budget1Data].[Mois (Year)]","[Budget1Data].[Mois (Year)].&amp;["&amp;$EL$1&amp;"]"),0)</f>
        <v>0</v>
      </c>
      <c r="EQ4" s="167">
        <f ca="1">IFERROR(IF($EN$1=1,0,GETPIVOTDATA("[Measures].["&amp;A_Budget1!$AU$7&amp;"]",A_Budget1!$AQ$7,"[Budget1Data].[Cat_3]","[Budget1Data].[Cat_3].&amp;["&amp;ControlChart_Budget1!$ER$1&amp;"]","[Budget1Data].[Mois (Month)]","[Budget1Data].[Mois (Month)].&amp;["&amp;EV4&amp;"]","[Budget1Data].[Mois (Year)]","[Budget1Data].[Mois (Year)].&amp;["&amp;$EM$1&amp;"]")),0)</f>
        <v>0</v>
      </c>
      <c r="ER4" s="9" t="str">
        <f>IFERROR(IF(A_Budget1!AR11=0,"",A_Budget1!AR11),"")</f>
        <v/>
      </c>
      <c r="ES4" s="312">
        <f t="shared" ca="1" si="3"/>
        <v>0</v>
      </c>
      <c r="ET4" s="313">
        <f t="shared" ca="1" si="4"/>
        <v>0</v>
      </c>
      <c r="EU4" s="314">
        <f t="shared" ca="1" si="5"/>
        <v>0</v>
      </c>
      <c r="EV4" t="str">
        <f ca="1">IFERROR(VLOOKUP(ER4,Library!$R$18:$S$29,2,FALSE),Library!S20)</f>
        <v>mars</v>
      </c>
      <c r="EY4" s="168"/>
      <c r="EZ4" s="168"/>
      <c r="FA4" s="168"/>
      <c r="FB4" s="168"/>
      <c r="FC4" s="168"/>
      <c r="FD4" s="168"/>
      <c r="FE4">
        <f t="shared" si="16"/>
        <v>4</v>
      </c>
      <c r="FF4" s="105">
        <f>GETPIVOTDATA("[Measures].[ABSMontantE]",A_Budget1!$AF$32,"[Budget1Data].[Cat_2]","[Budget1Data].[Cat_2].&amp;["&amp;ControlChart_Budget1!FH3&amp;"]")</f>
        <v>4.0000000000000001E-3</v>
      </c>
      <c r="FG4" s="172">
        <f>GETPIVOTDATA("[Measures].[ABS_LastM]",A_Budget1!$AF$32,"[Budget1Data].[Cat_2]","[Budget1Data].[Cat_2].&amp;["&amp;ControlChart_Budget1!FH3&amp;"]")</f>
        <v>4.0000000000000001E-3</v>
      </c>
      <c r="FH4" t="str">
        <f>A_Budget1!AF36</f>
        <v>Category4</v>
      </c>
      <c r="FI4" s="174">
        <f t="shared" si="6"/>
        <v>1</v>
      </c>
      <c r="FJ4" s="175">
        <f t="shared" si="7"/>
        <v>1</v>
      </c>
      <c r="FK4" t="str" cm="1">
        <f t="array" ref="FK4">IFERROR(INDEX($FH$1:$FH$18,SMALL(IF($FI$1:$FI$18=FL4,ROW($FI$1:$FI$18)),COUNTIF($FL$1:FL4,FL4))),"")</f>
        <v>Category4</v>
      </c>
      <c r="FL4" s="174">
        <f t="shared" si="8"/>
        <v>1</v>
      </c>
      <c r="FM4" s="176">
        <f t="shared" si="9"/>
        <v>1</v>
      </c>
      <c r="FN4" t="str" cm="1">
        <f t="array" ref="FN4">_xlfn.IFS(FK4=0,"",FK4=$A$1,"",FK4&lt;&gt;"",FK4)</f>
        <v>Category4</v>
      </c>
      <c r="FO4">
        <f t="shared" si="10"/>
        <v>-0.05</v>
      </c>
      <c r="FP4" s="177">
        <f t="shared" si="11"/>
        <v>1</v>
      </c>
      <c r="FQ4" s="178">
        <f t="shared" si="12"/>
        <v>1</v>
      </c>
    </row>
    <row r="5" spans="1:173" x14ac:dyDescent="0.25">
      <c r="A5" s="5"/>
      <c r="C5" s="118" t="str">
        <f>A_Budget1!T10</f>
        <v>Category2</v>
      </c>
      <c r="D5" s="116">
        <f>GETPIVOTDATA("[Measures].[ABSMontantE]",A_Budget1!$T$8,"[Budget1Data].[Cat_2]","[Budget1Data].[Cat_2].&amp;["&amp;ControlChart_Budget1!C5&amp;"]")</f>
        <v>0.14285714285714277</v>
      </c>
      <c r="E5" s="212">
        <v>2</v>
      </c>
      <c r="G5">
        <f>MAX(I6:I12)</f>
        <v>2026</v>
      </c>
      <c r="H5" s="5" t="s">
        <v>146</v>
      </c>
      <c r="I5" s="5" t="str">
        <v>Row Labels</v>
      </c>
      <c r="J5" s="5" t="str">
        <v>ABSMontantE</v>
      </c>
      <c r="K5" s="5" t="str">
        <v>ABSB1M</v>
      </c>
      <c r="L5" s="5" t="str">
        <v>ABSMontantE</v>
      </c>
      <c r="M5" s="5" t="str">
        <v>ABSB1M</v>
      </c>
      <c r="N5" s="5" t="str">
        <v>ABSMontantE</v>
      </c>
      <c r="O5" s="5" t="str">
        <v>ABSB1M</v>
      </c>
      <c r="P5" s="5" t="str">
        <v>ABSMontantE</v>
      </c>
      <c r="Q5" s="5" t="str">
        <v>ABSB1M</v>
      </c>
      <c r="R5" s="5" t="str">
        <v>ABSMontantE</v>
      </c>
      <c r="S5" s="5" t="str">
        <v>ABSB1M</v>
      </c>
      <c r="T5" s="5" t="str">
        <v>ABSMontantE</v>
      </c>
      <c r="U5" s="5" t="str">
        <v>ABSB1M</v>
      </c>
      <c r="V5" s="5" t="str">
        <v>ABSMontantE</v>
      </c>
      <c r="W5" s="5" t="str">
        <v>ABSB1M</v>
      </c>
      <c r="X5" s="5">
        <v>0</v>
      </c>
      <c r="Y5" s="5">
        <v>0</v>
      </c>
      <c r="AA5">
        <f t="shared" ref="AA5:AA14" si="18">IF(ISBLANK(E5),"",E5)</f>
        <v>2</v>
      </c>
      <c r="AB5" s="195">
        <f>IF(OR(AA5=1,AA5=3),AL$42,0)</f>
        <v>0</v>
      </c>
      <c r="AC5" s="196">
        <f>IF(OR(AA5=1,AA5=3),0,IF(AJ5&lt;&gt;"",AL$42/$AC$15,0))</f>
        <v>0.33333333333333331</v>
      </c>
      <c r="AD5" s="200">
        <f>IF(OR($AA5=1,AA5=3),AL$81,0)</f>
        <v>0</v>
      </c>
      <c r="AE5" s="201" t="e">
        <f>IF(OR($AA5=1,AA5=3),0,IF($AJ5&lt;&gt;"",AL$81/AE$15,0))</f>
        <v>#VALUE!</v>
      </c>
      <c r="AF5" s="37">
        <f>IF(OR($AA5=1,AA5=3),AL$117,0)</f>
        <v>0</v>
      </c>
      <c r="AG5" s="197" t="e">
        <f>IF(OR($AA5=1,AA5=3),0,IF($AJ5&lt;&gt;"",AL$117/AG$15,0))</f>
        <v>#DIV/0!</v>
      </c>
      <c r="AH5" s="199">
        <f>IF(OR($AA5=1,AA5=3),AL$150,0)</f>
        <v>0</v>
      </c>
      <c r="AI5" s="199" t="e">
        <f>IF(OR($AA5=1,AA5=3),0,IF($AJ5&lt;&gt;"",AL$150/AI$15,0))</f>
        <v>#DIV/0!</v>
      </c>
      <c r="AJ5" s="120" t="str">
        <f>IF(ISBLANK($C$5),"",$C$5)</f>
        <v>Category2</v>
      </c>
      <c r="AK5" s="120">
        <f t="shared" ref="AK5:AK14" si="19">IFERROR(IF($AK$2&gt;$AK$1,IF(AND(AJ5=$AK$3,AA5=3),($AK$2-$AK$1),IF(AND(AA5=2,$AA$4&lt;&gt;3),$AK$2-$AK$1)),0),0)</f>
        <v>0</v>
      </c>
      <c r="AL5" s="120">
        <f t="shared" ref="AL5:AL14" si="20">IFERROR(IF($AL$2&gt;$AL$1,IF(AND(AJ5=$AL$3,AA5=3),($AL$2-$AL$1),IF(AND(AA5=2,$AA$5&lt;&gt;3),$AL$2-$AL$1)),0),0)</f>
        <v>0</v>
      </c>
      <c r="AM5" s="120">
        <f t="shared" ref="AM5:AM14" si="21">IFERROR(IF($AM$2&gt;$AM$1,IF(AND(AJ5=$AM$3,AA5=3),($AM$2-$AM$1),IF(AND(AA5=2,$AA$6&lt;&gt;3),$AM$2-$AM$1)),0),0)</f>
        <v>0</v>
      </c>
      <c r="AN5" s="120">
        <f t="shared" ref="AN5:AN14" si="22">IFERROR(IF($AN$2&gt;$AN$1,IF(AND(AJ5=$AN$3,AA5=3),($AN$2-$AN$1),IF(AND(AA5=2,$AA$7&lt;&gt;3),$AN$2-$AN$1)),0),0)</f>
        <v>0</v>
      </c>
      <c r="AO5" s="120">
        <f t="shared" ref="AO5:AO14" si="23">IFERROR(IF($AO$2&gt;$AO$1,IF(AND(AJ5=$AO$3,AA5=3),($AO$2-$AO$1),IF(AND(AA5=2,$AA$8&lt;&gt;3),$AO$2-$AO$1)),0),0)</f>
        <v>0</v>
      </c>
      <c r="AP5" s="120">
        <f t="shared" ref="AP5:AP14" si="24">IFERROR(IF($AP$2&gt;$AP$1,IF(AND(AJ5=$AP$3,AA5=3),($AP$2-$AP$1),IF(AND(AA5=2,$AA$9&lt;&gt;3),$AP$2-$AP$1)),0),0)</f>
        <v>0</v>
      </c>
      <c r="AQ5" s="120">
        <f t="shared" ref="AQ5:AQ14" si="25">IFERROR(IF($AQ$2&gt;$AQ$1,IF(AND(AJ5=$AQ$3,AA5=3),($AQ$2-$AQ$1),IF(AND(AA5=2,$AA$10&lt;&gt;3),$AQ$2-$AQ$1)),0),0)</f>
        <v>0</v>
      </c>
      <c r="AR5" s="202">
        <f t="shared" ref="AR5:AR14" si="26">SUM(AK5:AQ5)</f>
        <v>0</v>
      </c>
      <c r="AT5" s="8"/>
      <c r="AU5" s="9">
        <f ca="1"/>
        <v>22</v>
      </c>
      <c r="AV5" s="9">
        <f ca="1"/>
        <v>2026</v>
      </c>
      <c r="AW5" s="9" t="str">
        <f ca="1"/>
        <v>Grand Total</v>
      </c>
      <c r="AX5" s="179" t="str">
        <f>J19</f>
        <v/>
      </c>
      <c r="AY5" s="129">
        <f>ABS(AK82)</f>
        <v>0</v>
      </c>
      <c r="AZ5" s="132">
        <f>IFERROR(IF(AND($AT$4&gt;=3,ABS($AK$80)&lt;0),ABS($AK$80),0),NA())</f>
        <v>0</v>
      </c>
      <c r="BA5" s="180">
        <f>IFERROR(AY5+AZ5,NA())</f>
        <v>0</v>
      </c>
      <c r="BB5" s="127">
        <f>IFERROR(IF(AND($AT$4&gt;=3,$AK$79&gt;0),$AK$79,0),NA())</f>
        <v>0</v>
      </c>
      <c r="BC5" s="133">
        <f>IF(BB5-BA5&lt;0,0,BB5-BA5)</f>
        <v>0</v>
      </c>
      <c r="BD5" s="130" t="e">
        <f>BC5+AX5</f>
        <v>#VALUE!</v>
      </c>
      <c r="BE5" s="130" t="e">
        <f>IF(BD5-BA5&lt;0,0,BD5-BA5)</f>
        <v>#VALUE!</v>
      </c>
      <c r="BF5" s="131" t="e">
        <f>BE5/BD5</f>
        <v>#VALUE!</v>
      </c>
      <c r="BG5" s="126" t="e">
        <f>IFERROR((0.1*BD5)/BD5,NA())</f>
        <v>#N/A</v>
      </c>
      <c r="BH5" s="126" t="e">
        <f>IFERROR((0.1*BD5)/BD5,NA())</f>
        <v>#N/A</v>
      </c>
      <c r="BI5" s="126" t="e">
        <f>IFERROR((0.2*BD5)/BD5,NA())</f>
        <v>#N/A</v>
      </c>
      <c r="BJ5" s="131" t="e">
        <f>IFERROR(IF($AT$4&gt;3,0,BF5),NA())</f>
        <v>#N/A</v>
      </c>
      <c r="BK5" s="131">
        <f>IFERROR(IF($AT$4&gt;3,BF5,0),NA())</f>
        <v>0</v>
      </c>
      <c r="BL5" s="128" t="e">
        <f>IF(BK5&gt;0,0,BC5/AX5)</f>
        <v>#VALUE!</v>
      </c>
      <c r="BM5" s="135" t="e">
        <f>IF((BD5-BE5)=0,0,(BD5-BE5)/BD5)</f>
        <v>#VALUE!</v>
      </c>
      <c r="BN5" s="126" t="str">
        <f>IFERROR(BF5,"")</f>
        <v/>
      </c>
      <c r="BO5" s="8">
        <f>IFERROR(BA5,"")</f>
        <v>0</v>
      </c>
      <c r="BP5" s="8" t="str">
        <f>IFERROR(AX5,"")</f>
        <v/>
      </c>
      <c r="BQ5" s="8" t="str">
        <f>IFERROR(IF(BC5=0,"",BC5),"")</f>
        <v/>
      </c>
      <c r="CL5" s="139">
        <f t="shared" ref="CL5:CR5" si="27">AK$43*(-1)</f>
        <v>0</v>
      </c>
      <c r="CM5" s="139">
        <f t="shared" si="27"/>
        <v>0</v>
      </c>
      <c r="CN5" s="139">
        <f t="shared" si="27"/>
        <v>0</v>
      </c>
      <c r="CO5" s="139">
        <f t="shared" si="27"/>
        <v>0</v>
      </c>
      <c r="CP5" s="139">
        <f t="shared" si="27"/>
        <v>0</v>
      </c>
      <c r="CQ5" s="139">
        <f t="shared" si="27"/>
        <v>0</v>
      </c>
      <c r="CR5" s="139">
        <f t="shared" si="27"/>
        <v>0</v>
      </c>
      <c r="CS5" s="31">
        <f t="shared" ref="CS5:CS12" si="28">SUM($CL5:$CR5)</f>
        <v>0</v>
      </c>
      <c r="CU5" s="83"/>
      <c r="CV5" s="5"/>
      <c r="CX5" s="5"/>
      <c r="CY5" s="9" t="str">
        <f>CK15</f>
        <v>Q1</v>
      </c>
      <c r="CZ5" s="9">
        <f>CT15</f>
        <v>1.4E-2</v>
      </c>
      <c r="DA5" s="126">
        <v>0</v>
      </c>
      <c r="DB5" s="126">
        <f>CZ4</f>
        <v>0.1</v>
      </c>
      <c r="DC5" s="140"/>
      <c r="DE5" s="114"/>
      <c r="DN5" s="9" t="str">
        <f t="shared" si="14"/>
        <v/>
      </c>
      <c r="DO5" s="9" t="str" cm="1">
        <f t="array" ref="DO5">_xlfn.IFS(RIGHT(A_Budget1!AJ13,5)="Total","",A_Budget1!AJ13="","",A_Budget1!AJ13&lt;&gt;"",A_Budget1!AJ13)</f>
        <v/>
      </c>
      <c r="DP5" s="9" t="str">
        <f>IFERROR(GETPIVOTDATA("[Measures].["&amp;A_Budget1!$AK$7&amp;"]",A_Budget1!$AJ$7,"[Budget1Data].[Cat_2]","[Budget1Data].[Cat_2].&amp;["&amp;A_Budget1!$AJ$8&amp;"]","[Budget1Data].[Cat_3]","[Budget1Data].[Cat_3].&amp;["&amp;DO5&amp;"]")/GETPIVOTDATA("[Measures].[Sum of Montant_Extrap 3]",A_Budget1!$AF$7,"[Budget1Data].[Cat_2]","[Budget1Data].[Cat_2].&amp;["&amp;WB_Data!$J$2&amp;"]"),"")</f>
        <v/>
      </c>
      <c r="DQ5" s="9" t="str" cm="1">
        <f t="array" ref="DQ5">IFERROR(INDEX($DO$1:$DO$16,SMALL(IF($DP$1:$DP$16=DR5,ROW($DP$1:$DP$16)),COUNTIF($DR$1:DR5,DR5))),"")</f>
        <v/>
      </c>
      <c r="DR5" s="104" t="str">
        <f t="shared" si="1"/>
        <v/>
      </c>
      <c r="DS5" s="103" t="str">
        <f>IFERROR(GETPIVOTDATA("[Measures].["&amp;A_Budget1!$AK$7&amp;"]",A_Budget1!$AJ$7,"[Budget1Data].[Cat_2]","[Budget1Data].[Cat_2].&amp;["&amp;A_Budget1!$AJ$8&amp;"]","[Budget1Data].[Cat_3]","[Budget1Data].[Cat_3].&amp;["&amp;DQ5&amp;"]"),"")</f>
        <v/>
      </c>
      <c r="DT5" s="154" t="str">
        <f>IFERROR(GETPIVOTDATA("[Measures].["&amp;A_Budget1!$AL$7&amp;"]",A_Budget1!$AJ$7,"[Budget1Data].[Cat_2]","[Budget1Data].[Cat_2].&amp;["&amp;A_Budget1!$AJ$8&amp;"]","[Budget1Data].[Cat_3]","[Budget1Data].[Cat_3].&amp;["&amp;DQ5&amp;"]")/GETPIVOTDATA("[Measures].[Sum of Last_Montant]",A_Budget1!$AF$7,"[Budget1Data].[Cat_2]","[Budget1Data].[Cat_2].&amp;["&amp;WB_Data!$J$2&amp;"]"),"")</f>
        <v/>
      </c>
      <c r="DU5" s="155" t="str">
        <f>IFERROR(GETPIVOTDATA("[Measures].["&amp;A_Budget1!$AL$7&amp;"]",A_Budget1!$AJ$7,"[Budget1Data].[Cat_2]","[Budget1Data].[Cat_2].&amp;["&amp;A_Budget1!$AJ$8&amp;"]","[Budget1Data].[Cat_3]","[Budget1Data].[Cat_3].&amp;["&amp;DQ5&amp;"]"),"")</f>
        <v/>
      </c>
      <c r="DV5" s="9" t="str">
        <f t="shared" si="0"/>
        <v/>
      </c>
      <c r="DW5" s="9"/>
      <c r="DX5" s="9"/>
      <c r="DY5" s="97" t="str">
        <f t="shared" si="15"/>
        <v/>
      </c>
      <c r="DZ5" s="9" t="str" cm="1">
        <f t="array" ref="DZ5">_xlfn.IFS(RIGHT(A_Budget1!AJ13,5)="Total","",A_Budget1!AJ13="","",A_Budget1!AJ13&lt;&gt;"",A_Budget1!AJ13)</f>
        <v/>
      </c>
      <c r="EA5" s="9" t="str">
        <f>IFERROR(GETPIVOTDATA("[Measures].["&amp;A_Budget1!$AL$7&amp;"]",A_Budget1!$AJ$7,"[Budget1Data].[Cat_2]","[Budget1Data].[Cat_2].&amp;["&amp;A_Budget1!$AJ$8&amp;"]","[Budget1Data].[Cat_3]","[Budget1Data].[Cat_3].&amp;["&amp;DZ5&amp;"]")/GETPIVOTDATA("[Measures].[Sum of Last_Montant]",A_Budget1!$AF$7,"[Budget1Data].[Cat_2]","[Budget1Data].[Cat_2].&amp;["&amp;WB_Data!$J$2&amp;"]"),"")</f>
        <v/>
      </c>
      <c r="EB5" s="9" t="str" cm="1">
        <f t="array" ref="EB5">IFERROR(INDEX($DZ$1:$DZ$16,SMALL(IF($EA$1:$EA$16=EC5,ROW($EA$1:$EA$16)),COUNTIF($EC$1:EC5,EC5))),"")</f>
        <v/>
      </c>
      <c r="EC5" s="154" t="str">
        <f t="shared" si="2"/>
        <v/>
      </c>
      <c r="ED5" s="154" t="str">
        <f>IFERROR(GETPIVOTDATA("[Measures].["&amp;A_Budget1!$AL$7&amp;"]",A_Budget1!$AJ$7,"[Budget1Data].[Cat_2]","[Budget1Data].[Cat_2].&amp;["&amp;A_Budget1!$AJ$8&amp;"]","[Budget1Data].[Cat_3]","[Budget1Data].[Cat_3].&amp;["&amp;EB5&amp;"]"),"")</f>
        <v/>
      </c>
      <c r="EE5" s="139" t="str">
        <f>IFERROR(GETPIVOTDATA("[Measures].["&amp;A_Budget1!$AK$7&amp;"]",A_Budget1!$AJ$7,"[Budget1Data].[Cat_2]","[Budget1Data].[Cat_2].&amp;["&amp;A_Budget1!$AJ$8&amp;"]","[Budget1Data].[Cat_3]","[Budget1Data].[Cat_3].&amp;["&amp;EB5&amp;"]")/GETPIVOTDATA("[Measures].[Sum of Montant_Extrap 3]",A_Budget1!$AF$7,"[Budget1Data].[Cat_2]","[Budget1Data].[Cat_2].&amp;["&amp;WB_Data!$J$2&amp;"]"),"")</f>
        <v/>
      </c>
      <c r="EF5" s="105" t="str">
        <f>IFERROR(GETPIVOTDATA("[Measures].["&amp;A_Budget1!$AK$7&amp;"]",A_Budget1!$AJ$7,"[Budget1Data].[Cat_2]","[Budget1Data].[Cat_2].&amp;["&amp;A_Budget1!$AJ$8&amp;"]","[Budget1Data].[Cat_3]","[Budget1Data].[Cat_3].&amp;["&amp;EB5&amp;"]"),"")</f>
        <v/>
      </c>
      <c r="EL5" s="166">
        <f ca="1">IFERROR(GETPIVOTDATA("[Measures].["&amp;A_Budget1!$AS$7&amp;"]",A_Budget1!$AQ$7,"[Budget1Data].[Cat_3]","[Budget1Data].[Cat_3].&amp;["&amp;ControlChart_Budget1!$ER$1&amp;"]","[Budget1Data].[Mois (Month)]","[Budget1Data].[Mois (Month)].&amp;["&amp;EV5&amp;"]","[Budget1Data].[Mois (Year)]","[Budget1Data].[Mois (Year)].&amp;["&amp;$EL$1&amp;"]"),0)</f>
        <v>0</v>
      </c>
      <c r="EM5" s="165">
        <f ca="1">IFERROR(IF($EN$1=1,0,GETPIVOTDATA("[Measures].["&amp;A_Budget1!$AS$7&amp;"]",A_Budget1!$AQ$7,"[Budget1Data].[Cat_3]","[Budget1Data].[Cat_3].&amp;["&amp;ControlChart_Budget1!$ER$1&amp;"]","[Budget1Data].[Mois (Month)]","[Budget1Data].[Mois (Month)].&amp;["&amp;EV5&amp;"]","[Budget1Data].[Mois (Year)]","[Budget1Data].[Mois (Year)].&amp;["&amp;$EM$1&amp;"]")),0)</f>
        <v>0</v>
      </c>
      <c r="EN5" s="139">
        <f ca="1">IFERROR(GETPIVOTDATA("[Measures].["&amp;A_Budget1!$AT$7&amp;"]",A_Budget1!$AQ$7,"[Budget1Data].[Cat_3]","[Budget1Data].[Cat_3].&amp;["&amp;ControlChart_Budget1!$ER$1&amp;"]","[Budget1Data].[Mois (Month)]","[Budget1Data].[Mois (Month)].&amp;["&amp;EV5&amp;"]","[Budget1Data].[Mois (Year)]","[Budget1Data].[Mois (Year)].&amp;["&amp;$EL$1&amp;"]"),0)</f>
        <v>0</v>
      </c>
      <c r="EO5" s="139">
        <f ca="1">IFERROR(IF($EN$1=1,0,GETPIVOTDATA("[Measures].["&amp;A_Budget1!$AT$7&amp;"]",A_Budget1!$AQ$7,"[Budget1Data].[Cat_3]","[Budget1Data].[Cat_3].&amp;["&amp;ControlChart_Budget1!$ER$1&amp;"]","[Budget1Data].[Mois (Month)]","[Budget1Data].[Mois (Month)].&amp;["&amp;EV5&amp;"]","[Budget1Data].[Mois (Year)]","[Budget1Data].[Mois (Year)].&amp;["&amp;$EM$1&amp;"]")),0)</f>
        <v>0</v>
      </c>
      <c r="EP5" s="167">
        <f ca="1">IFERROR(GETPIVOTDATA("[Measures].["&amp;A_Budget1!$AU$7&amp;"]",A_Budget1!$AQ$7,"[Budget1Data].[Cat_3]","[Budget1Data].[Cat_3].&amp;["&amp;ControlChart_Budget1!$ER$1&amp;"]","[Budget1Data].[Mois (Month)]","[Budget1Data].[Mois (Month)].&amp;["&amp;EV5&amp;"]","[Budget1Data].[Mois (Year)]","[Budget1Data].[Mois (Year)].&amp;["&amp;$EL$1&amp;"]"),0)</f>
        <v>0</v>
      </c>
      <c r="EQ5" s="167">
        <f ca="1">IFERROR(IF($EN$1=1,0,GETPIVOTDATA("[Measures].["&amp;A_Budget1!$AU$7&amp;"]",A_Budget1!$AQ$7,"[Budget1Data].[Cat_3]","[Budget1Data].[Cat_3].&amp;["&amp;ControlChart_Budget1!$ER$1&amp;"]","[Budget1Data].[Mois (Month)]","[Budget1Data].[Mois (Month)].&amp;["&amp;EV5&amp;"]","[Budget1Data].[Mois (Year)]","[Budget1Data].[Mois (Year)].&amp;["&amp;$EM$1&amp;"]")),0)</f>
        <v>0</v>
      </c>
      <c r="ER5" s="9" t="str">
        <f>IFERROR(IF(A_Budget1!AR12=0,"",A_Budget1!AR12),"")</f>
        <v/>
      </c>
      <c r="ES5" s="312">
        <f t="shared" ca="1" si="3"/>
        <v>0</v>
      </c>
      <c r="ET5" s="313">
        <f t="shared" ca="1" si="4"/>
        <v>0</v>
      </c>
      <c r="EU5" s="314">
        <f t="shared" ca="1" si="5"/>
        <v>0</v>
      </c>
      <c r="EV5" t="str">
        <f ca="1">IFERROR(VLOOKUP(ER5,Library!$R$18:$S$29,2,FALSE),Library!S21)</f>
        <v>avr</v>
      </c>
      <c r="EY5" s="168"/>
      <c r="EZ5" s="168"/>
      <c r="FA5" s="168"/>
      <c r="FB5" s="168"/>
      <c r="FC5" s="168"/>
      <c r="FD5" s="168"/>
      <c r="FE5">
        <f t="shared" si="16"/>
        <v>5</v>
      </c>
      <c r="FF5" s="105">
        <f>GETPIVOTDATA("[Measures].[ABSMontantE]",A_Budget1!$AF$32,"[Budget1Data].[Cat_2]","[Budget1Data].[Cat_2].&amp;["&amp;ControlChart_Budget1!FH4&amp;"]")</f>
        <v>4.0000000000000001E-3</v>
      </c>
      <c r="FG5" s="172">
        <f>GETPIVOTDATA("[Measures].[ABS_LastM]",A_Budget1!$AF$32,"[Budget1Data].[Cat_2]","[Budget1Data].[Cat_2].&amp;["&amp;ControlChart_Budget1!FH4&amp;"]")</f>
        <v>4.0000000000000001E-3</v>
      </c>
      <c r="FH5" t="str">
        <f>A_Budget1!AF37</f>
        <v>Category5</v>
      </c>
      <c r="FI5" s="174">
        <f t="shared" si="6"/>
        <v>1</v>
      </c>
      <c r="FJ5" s="175">
        <f t="shared" si="7"/>
        <v>1</v>
      </c>
      <c r="FK5" t="str" cm="1">
        <f t="array" ref="FK5">IFERROR(INDEX($FH$1:$FH$18,SMALL(IF($FI$1:$FI$18=FL5,ROW($FI$1:$FI$18)),COUNTIF($FL$1:FL5,FL5))),"")</f>
        <v>Category5</v>
      </c>
      <c r="FL5" s="174">
        <f t="shared" si="8"/>
        <v>1</v>
      </c>
      <c r="FM5" s="176">
        <f t="shared" si="9"/>
        <v>1</v>
      </c>
      <c r="FN5" t="str" cm="1">
        <f t="array" ref="FN5">_xlfn.IFS(FK5=0,"",FK5=$A$1,"",FK5&lt;&gt;"",FK5)</f>
        <v>Category5</v>
      </c>
      <c r="FO5">
        <f t="shared" si="10"/>
        <v>-0.05</v>
      </c>
      <c r="FP5" s="177">
        <f t="shared" si="11"/>
        <v>1</v>
      </c>
      <c r="FQ5" s="178">
        <f t="shared" si="12"/>
        <v>1</v>
      </c>
    </row>
    <row r="6" spans="1:173" x14ac:dyDescent="0.25">
      <c r="A6" s="5"/>
      <c r="C6" s="118" t="str">
        <f>A_Budget1!T11</f>
        <v>Category3</v>
      </c>
      <c r="D6" s="116">
        <f>GETPIVOTDATA("[Measures].[ABSMontantE]",A_Budget1!$T$8,"[Budget1Data].[Cat_2]","[Budget1Data].[Cat_2].&amp;["&amp;ControlChart_Budget1!C6&amp;"]")</f>
        <v>0.14285714285714277</v>
      </c>
      <c r="E6" s="212">
        <v>1</v>
      </c>
      <c r="G6">
        <f>IFERROR(ROW(G6)+MATCH($G$5,I7:I12,0),ROW(G6)+MATCH($G$5,I7:I12))</f>
        <v>8</v>
      </c>
      <c r="I6" s="5">
        <v>2025</v>
      </c>
      <c r="J6" s="5">
        <v>0</v>
      </c>
      <c r="K6" s="5">
        <v>0</v>
      </c>
      <c r="L6" s="5">
        <v>0</v>
      </c>
      <c r="M6" s="5">
        <v>0</v>
      </c>
      <c r="N6" s="5">
        <v>0</v>
      </c>
      <c r="O6" s="5">
        <v>0</v>
      </c>
      <c r="P6" s="5">
        <v>0</v>
      </c>
      <c r="Q6" s="5">
        <v>0</v>
      </c>
      <c r="R6" s="5">
        <v>0</v>
      </c>
      <c r="S6" s="5">
        <v>0</v>
      </c>
      <c r="T6" s="5">
        <v>0</v>
      </c>
      <c r="U6" s="5">
        <v>0</v>
      </c>
      <c r="V6" s="5">
        <v>0</v>
      </c>
      <c r="W6" s="5">
        <v>0</v>
      </c>
      <c r="X6" s="5">
        <v>0</v>
      </c>
      <c r="Y6" s="5">
        <v>0</v>
      </c>
      <c r="AA6">
        <f t="shared" si="18"/>
        <v>1</v>
      </c>
      <c r="AB6" s="195">
        <f>IF(OR(AA6=1,AA6=3),AM$42,0)</f>
        <v>2E-3</v>
      </c>
      <c r="AC6" s="196">
        <f>IF(OR(AA6=1,AA6=3),0,IF(AJ6&lt;&gt;"",AM$42/$AC$15,0))</f>
        <v>0</v>
      </c>
      <c r="AD6" s="200" t="str">
        <f>IF(OR($AA6=1,AA6=3),AM$81,0)</f>
        <v/>
      </c>
      <c r="AE6" s="201">
        <f>IF(OR($AA6=1,AA6=3),0,IF($AJ6&lt;&gt;"",AM$81/AE$15,0))</f>
        <v>0</v>
      </c>
      <c r="AF6" s="37">
        <f>IF(OR($AA6=1,AA6=3),AM$117,0)</f>
        <v>0</v>
      </c>
      <c r="AG6" s="197">
        <f>IF(OR($AA6=1,AA6=3),0,IF($AJ6&lt;&gt;"",AM$117/AG$15,0))</f>
        <v>0</v>
      </c>
      <c r="AH6" s="199">
        <f>IF(OR($AA6=1,AA6=3),AM$150,0)</f>
        <v>0</v>
      </c>
      <c r="AI6" s="199">
        <f>IF(OR($AA6=1,AA6=3),0,IF($AJ6&lt;&gt;"",AM$150/AI$15,0))</f>
        <v>0</v>
      </c>
      <c r="AJ6" s="120" t="str">
        <f>IF(ISBLANK($C$6),"",$C$6)</f>
        <v>Category3</v>
      </c>
      <c r="AK6" s="120">
        <f t="shared" si="19"/>
        <v>0</v>
      </c>
      <c r="AL6" s="120">
        <f t="shared" si="20"/>
        <v>0</v>
      </c>
      <c r="AM6" s="120">
        <f t="shared" si="21"/>
        <v>0</v>
      </c>
      <c r="AN6" s="120">
        <f t="shared" si="22"/>
        <v>0</v>
      </c>
      <c r="AO6" s="120">
        <f t="shared" si="23"/>
        <v>0</v>
      </c>
      <c r="AP6" s="120">
        <f t="shared" si="24"/>
        <v>0</v>
      </c>
      <c r="AQ6" s="120">
        <f t="shared" si="25"/>
        <v>0</v>
      </c>
      <c r="AR6" s="202">
        <f t="shared" si="26"/>
        <v>0</v>
      </c>
      <c r="AT6" s="8" t="str" cm="1">
        <f t="array" ref="AT6">_xlfn.IFS(AT4=1,F17,AT4=2,F18,AT4=3,F19,AT4=4,F20,AT4=5,F21)</f>
        <v>2025 Qtr1</v>
      </c>
      <c r="AU6" s="9">
        <f ca="1"/>
        <v>23</v>
      </c>
      <c r="AV6" s="9">
        <f ca="1"/>
        <v>2026</v>
      </c>
      <c r="AW6" s="9">
        <f ca="1"/>
        <v>0</v>
      </c>
      <c r="AX6" s="179">
        <f>J20</f>
        <v>0</v>
      </c>
      <c r="AY6" s="129">
        <f>ABS(AK118)</f>
        <v>0</v>
      </c>
      <c r="AZ6" s="132">
        <f>IFERROR(IF(AND($AT$4&gt;=4,ABS($AK$116)&lt;0),ABS($AK$116),0),NA())</f>
        <v>0</v>
      </c>
      <c r="BA6" s="180">
        <f>IFERROR(AY6+AZ6,NA())</f>
        <v>0</v>
      </c>
      <c r="BB6" s="127">
        <f>IFERROR(IF(AND($AT$4&gt;=4,$AK$115&gt;0),$AK$115,0),NA())</f>
        <v>0</v>
      </c>
      <c r="BC6" s="133">
        <f>IF(BB6-BA6&lt;0,0,BB6-BA6)</f>
        <v>0</v>
      </c>
      <c r="BD6" s="130">
        <f>BC6+AX6</f>
        <v>0</v>
      </c>
      <c r="BE6" s="130">
        <f>IF(BD6-BA6&lt;0,0,BD6-BA6)</f>
        <v>0</v>
      </c>
      <c r="BF6" s="131" t="e">
        <f>BE6/BD6</f>
        <v>#DIV/0!</v>
      </c>
      <c r="BG6" s="126" t="e">
        <f>IFERROR((0.1*BD6)/BD6,NA())</f>
        <v>#N/A</v>
      </c>
      <c r="BH6" s="126" t="e">
        <f>IFERROR((0.1*BD6)/BD6,NA())</f>
        <v>#N/A</v>
      </c>
      <c r="BI6" s="126" t="e">
        <f>IFERROR((0.2*BD6)/BD6,NA())</f>
        <v>#N/A</v>
      </c>
      <c r="BJ6" s="131" t="e">
        <f>IFERROR(IF($AT$4&gt;4,0,BF6),NA())</f>
        <v>#N/A</v>
      </c>
      <c r="BK6" s="131">
        <f>IFERROR(IF($AT$4&gt;4,BF6,0),NA())</f>
        <v>0</v>
      </c>
      <c r="BL6" s="128" t="e">
        <f>IF(BK6&gt;0,0,BC6/AX6)</f>
        <v>#DIV/0!</v>
      </c>
      <c r="BM6" s="135">
        <f>IF((BD6-BE6)=0,0,(BD6-BE6)/BD6)</f>
        <v>0</v>
      </c>
      <c r="BN6" s="126" t="str">
        <f>IFERROR(BF6,"")</f>
        <v/>
      </c>
      <c r="BO6" s="8">
        <f>IFERROR(BA6,"")</f>
        <v>0</v>
      </c>
      <c r="BP6" s="8">
        <f>IFERROR(AX6,"")</f>
        <v>0</v>
      </c>
      <c r="BQ6" s="8" t="str">
        <f>IFERROR(IF(BC6=0,"",BC6),"")</f>
        <v/>
      </c>
      <c r="CL6" s="139">
        <f t="shared" ref="CL6:CR6" si="29">AK$82*(-1)</f>
        <v>0</v>
      </c>
      <c r="CM6" s="139">
        <f t="shared" si="29"/>
        <v>0</v>
      </c>
      <c r="CN6" s="139">
        <f t="shared" si="29"/>
        <v>0</v>
      </c>
      <c r="CO6" s="139">
        <f t="shared" si="29"/>
        <v>0</v>
      </c>
      <c r="CP6" s="139">
        <f t="shared" si="29"/>
        <v>0</v>
      </c>
      <c r="CQ6" s="139">
        <f t="shared" si="29"/>
        <v>0</v>
      </c>
      <c r="CR6" s="139">
        <f t="shared" si="29"/>
        <v>0</v>
      </c>
      <c r="CS6" s="31">
        <f t="shared" si="28"/>
        <v>0</v>
      </c>
      <c r="CU6" s="83"/>
      <c r="CV6" s="5"/>
      <c r="CY6" s="9" t="s">
        <v>184</v>
      </c>
      <c r="CZ6" s="9"/>
      <c r="DA6" s="126">
        <v>1</v>
      </c>
      <c r="DB6" s="126">
        <v>0.01</v>
      </c>
      <c r="DC6" s="5"/>
      <c r="DD6" s="114"/>
      <c r="DE6" s="114"/>
      <c r="DN6" s="9" t="str">
        <f t="shared" si="14"/>
        <v/>
      </c>
      <c r="DO6" s="9" t="str" cm="1">
        <f t="array" ref="DO6">_xlfn.IFS(RIGHT(A_Budget1!AJ14,5)="Total","",A_Budget1!AJ14="","",A_Budget1!AJ14&lt;&gt;"",A_Budget1!AJ14)</f>
        <v/>
      </c>
      <c r="DP6" s="9" t="str">
        <f>IFERROR(GETPIVOTDATA("[Measures].["&amp;A_Budget1!$AK$7&amp;"]",A_Budget1!$AJ$7,"[Budget1Data].[Cat_2]","[Budget1Data].[Cat_2].&amp;["&amp;A_Budget1!$AJ$8&amp;"]","[Budget1Data].[Cat_3]","[Budget1Data].[Cat_3].&amp;["&amp;DO6&amp;"]")/GETPIVOTDATA("[Measures].[Sum of Montant_Extrap 3]",A_Budget1!$AF$7,"[Budget1Data].[Cat_2]","[Budget1Data].[Cat_2].&amp;["&amp;WB_Data!$J$2&amp;"]"),"")</f>
        <v/>
      </c>
      <c r="DQ6" s="9" t="str" cm="1">
        <f t="array" ref="DQ6">IFERROR(INDEX($DO$1:$DO$16,SMALL(IF($DP$1:$DP$16=DR6,ROW($DP$1:$DP$16)),COUNTIF($DR$1:DR6,DR6))),"")</f>
        <v/>
      </c>
      <c r="DR6" s="104" t="str">
        <f t="shared" si="1"/>
        <v/>
      </c>
      <c r="DS6" s="103" t="str">
        <f>IFERROR(GETPIVOTDATA("[Measures].["&amp;A_Budget1!$AK$7&amp;"]",A_Budget1!$AJ$7,"[Budget1Data].[Cat_2]","[Budget1Data].[Cat_2].&amp;["&amp;A_Budget1!$AJ$8&amp;"]","[Budget1Data].[Cat_3]","[Budget1Data].[Cat_3].&amp;["&amp;DQ6&amp;"]"),"")</f>
        <v/>
      </c>
      <c r="DT6" s="154" t="str">
        <f>IFERROR(GETPIVOTDATA("[Measures].["&amp;A_Budget1!$AL$7&amp;"]",A_Budget1!$AJ$7,"[Budget1Data].[Cat_2]","[Budget1Data].[Cat_2].&amp;["&amp;A_Budget1!$AJ$8&amp;"]","[Budget1Data].[Cat_3]","[Budget1Data].[Cat_3].&amp;["&amp;DQ6&amp;"]")/GETPIVOTDATA("[Measures].[Sum of Last_Montant]",A_Budget1!$AF$7,"[Budget1Data].[Cat_2]","[Budget1Data].[Cat_2].&amp;["&amp;WB_Data!$J$2&amp;"]"),"")</f>
        <v/>
      </c>
      <c r="DU6" s="155" t="str">
        <f>IFERROR(GETPIVOTDATA("[Measures].["&amp;A_Budget1!$AL$7&amp;"]",A_Budget1!$AJ$7,"[Budget1Data].[Cat_2]","[Budget1Data].[Cat_2].&amp;["&amp;A_Budget1!$AJ$8&amp;"]","[Budget1Data].[Cat_3]","[Budget1Data].[Cat_3].&amp;["&amp;DQ6&amp;"]"),"")</f>
        <v/>
      </c>
      <c r="DV6" s="9" t="str">
        <f t="shared" si="0"/>
        <v/>
      </c>
      <c r="DW6" s="9"/>
      <c r="DX6" s="9"/>
      <c r="DY6" s="97" t="str">
        <f t="shared" si="15"/>
        <v/>
      </c>
      <c r="DZ6" s="9" t="str" cm="1">
        <f t="array" ref="DZ6">_xlfn.IFS(RIGHT(A_Budget1!AJ14,5)="Total","",A_Budget1!AJ14="","",A_Budget1!AJ14&lt;&gt;"",A_Budget1!AJ14)</f>
        <v/>
      </c>
      <c r="EA6" s="9" t="str">
        <f>IFERROR(GETPIVOTDATA("[Measures].["&amp;A_Budget1!$AL$7&amp;"]",A_Budget1!$AJ$7,"[Budget1Data].[Cat_2]","[Budget1Data].[Cat_2].&amp;["&amp;A_Budget1!$AJ$8&amp;"]","[Budget1Data].[Cat_3]","[Budget1Data].[Cat_3].&amp;["&amp;DZ6&amp;"]")/GETPIVOTDATA("[Measures].[Sum of Last_Montant]",A_Budget1!$AF$7,"[Budget1Data].[Cat_2]","[Budget1Data].[Cat_2].&amp;["&amp;WB_Data!$J$2&amp;"]"),"")</f>
        <v/>
      </c>
      <c r="EB6" s="9" t="str" cm="1">
        <f t="array" ref="EB6">IFERROR(INDEX($DZ$1:$DZ$16,SMALL(IF($EA$1:$EA$16=EC6,ROW($EA$1:$EA$16)),COUNTIF($EC$1:EC6,EC6))),"")</f>
        <v/>
      </c>
      <c r="EC6" s="154" t="str">
        <f t="shared" si="2"/>
        <v/>
      </c>
      <c r="ED6" s="154" t="str">
        <f>IFERROR(GETPIVOTDATA("[Measures].["&amp;A_Budget1!$AL$7&amp;"]",A_Budget1!$AJ$7,"[Budget1Data].[Cat_2]","[Budget1Data].[Cat_2].&amp;["&amp;A_Budget1!$AJ$8&amp;"]","[Budget1Data].[Cat_3]","[Budget1Data].[Cat_3].&amp;["&amp;EB6&amp;"]"),"")</f>
        <v/>
      </c>
      <c r="EE6" s="139" t="str">
        <f>IFERROR(GETPIVOTDATA("[Measures].["&amp;A_Budget1!$AK$7&amp;"]",A_Budget1!$AJ$7,"[Budget1Data].[Cat_2]","[Budget1Data].[Cat_2].&amp;["&amp;A_Budget1!$AJ$8&amp;"]","[Budget1Data].[Cat_3]","[Budget1Data].[Cat_3].&amp;["&amp;EB6&amp;"]")/GETPIVOTDATA("[Measures].[Sum of Montant_Extrap 3]",A_Budget1!$AF$7,"[Budget1Data].[Cat_2]","[Budget1Data].[Cat_2].&amp;["&amp;WB_Data!$J$2&amp;"]"),"")</f>
        <v/>
      </c>
      <c r="EF6" s="105" t="str">
        <f>IFERROR(GETPIVOTDATA("[Measures].["&amp;A_Budget1!$AK$7&amp;"]",A_Budget1!$AJ$7,"[Budget1Data].[Cat_2]","[Budget1Data].[Cat_2].&amp;["&amp;A_Budget1!$AJ$8&amp;"]","[Budget1Data].[Cat_3]","[Budget1Data].[Cat_3].&amp;["&amp;EB6&amp;"]"),"")</f>
        <v/>
      </c>
      <c r="EL6" s="166">
        <f ca="1">IFERROR(GETPIVOTDATA("[Measures].["&amp;A_Budget1!$AS$7&amp;"]",A_Budget1!$AQ$7,"[Budget1Data].[Cat_3]","[Budget1Data].[Cat_3].&amp;["&amp;ControlChart_Budget1!$ER$1&amp;"]","[Budget1Data].[Mois (Month)]","[Budget1Data].[Mois (Month)].&amp;["&amp;EV6&amp;"]","[Budget1Data].[Mois (Year)]","[Budget1Data].[Mois (Year)].&amp;["&amp;$EL$1&amp;"]"),0)</f>
        <v>0</v>
      </c>
      <c r="EM6" s="165">
        <f ca="1">IFERROR(IF($EN$1=1,0,GETPIVOTDATA("[Measures].["&amp;A_Budget1!$AS$7&amp;"]",A_Budget1!$AQ$7,"[Budget1Data].[Cat_3]","[Budget1Data].[Cat_3].&amp;["&amp;ControlChart_Budget1!$ER$1&amp;"]","[Budget1Data].[Mois (Month)]","[Budget1Data].[Mois (Month)].&amp;["&amp;EV6&amp;"]","[Budget1Data].[Mois (Year)]","[Budget1Data].[Mois (Year)].&amp;["&amp;$EM$1&amp;"]")),0)</f>
        <v>0</v>
      </c>
      <c r="EN6" s="139">
        <f ca="1">IFERROR(GETPIVOTDATA("[Measures].["&amp;A_Budget1!$AT$7&amp;"]",A_Budget1!$AQ$7,"[Budget1Data].[Cat_3]","[Budget1Data].[Cat_3].&amp;["&amp;ControlChart_Budget1!$ER$1&amp;"]","[Budget1Data].[Mois (Month)]","[Budget1Data].[Mois (Month)].&amp;["&amp;EV6&amp;"]","[Budget1Data].[Mois (Year)]","[Budget1Data].[Mois (Year)].&amp;["&amp;$EL$1&amp;"]"),0)</f>
        <v>0</v>
      </c>
      <c r="EO6" s="139">
        <f ca="1">IFERROR(IF($EN$1=1,0,GETPIVOTDATA("[Measures].["&amp;A_Budget1!$AT$7&amp;"]",A_Budget1!$AQ$7,"[Budget1Data].[Cat_3]","[Budget1Data].[Cat_3].&amp;["&amp;ControlChart_Budget1!$ER$1&amp;"]","[Budget1Data].[Mois (Month)]","[Budget1Data].[Mois (Month)].&amp;["&amp;EV6&amp;"]","[Budget1Data].[Mois (Year)]","[Budget1Data].[Mois (Year)].&amp;["&amp;$EM$1&amp;"]")),0)</f>
        <v>0</v>
      </c>
      <c r="EP6" s="167">
        <f ca="1">IFERROR(GETPIVOTDATA("[Measures].["&amp;A_Budget1!$AU$7&amp;"]",A_Budget1!$AQ$7,"[Budget1Data].[Cat_3]","[Budget1Data].[Cat_3].&amp;["&amp;ControlChart_Budget1!$ER$1&amp;"]","[Budget1Data].[Mois (Month)]","[Budget1Data].[Mois (Month)].&amp;["&amp;EV6&amp;"]","[Budget1Data].[Mois (Year)]","[Budget1Data].[Mois (Year)].&amp;["&amp;$EL$1&amp;"]"),0)</f>
        <v>0</v>
      </c>
      <c r="EQ6" s="167">
        <f ca="1">IFERROR(IF($EN$1=1,0,GETPIVOTDATA("[Measures].["&amp;A_Budget1!$AU$7&amp;"]",A_Budget1!$AQ$7,"[Budget1Data].[Cat_3]","[Budget1Data].[Cat_3].&amp;["&amp;ControlChart_Budget1!$ER$1&amp;"]","[Budget1Data].[Mois (Month)]","[Budget1Data].[Mois (Month)].&amp;["&amp;EV6&amp;"]","[Budget1Data].[Mois (Year)]","[Budget1Data].[Mois (Year)].&amp;["&amp;$EM$1&amp;"]")),0)</f>
        <v>0</v>
      </c>
      <c r="ER6" s="9" t="str">
        <f>IFERROR(IF(A_Budget1!AR13=0,"",A_Budget1!AR13),"")</f>
        <v/>
      </c>
      <c r="ES6" s="312">
        <f t="shared" ca="1" si="3"/>
        <v>0</v>
      </c>
      <c r="ET6" s="313">
        <f t="shared" ca="1" si="4"/>
        <v>0</v>
      </c>
      <c r="EU6" s="314">
        <f t="shared" ca="1" si="5"/>
        <v>0</v>
      </c>
      <c r="EV6" t="str">
        <f ca="1">IFERROR(VLOOKUP(ER6,Library!$R$18:$S$29,2,FALSE),Library!S22)</f>
        <v>mai</v>
      </c>
      <c r="EY6" s="168"/>
      <c r="EZ6" s="168"/>
      <c r="FA6" s="168"/>
      <c r="FB6" s="168"/>
      <c r="FC6" s="168"/>
      <c r="FD6" s="168"/>
      <c r="FE6">
        <f t="shared" si="16"/>
        <v>6</v>
      </c>
      <c r="FF6" s="105">
        <f>GETPIVOTDATA("[Measures].[ABSMontantE]",A_Budget1!$AF$32,"[Budget1Data].[Cat_2]","[Budget1Data].[Cat_2].&amp;["&amp;ControlChart_Budget1!FH5&amp;"]")</f>
        <v>4.0000000000000001E-3</v>
      </c>
      <c r="FG6" s="172">
        <f>GETPIVOTDATA("[Measures].[ABS_LastM]",A_Budget1!$AF$32,"[Budget1Data].[Cat_2]","[Budget1Data].[Cat_2].&amp;["&amp;ControlChart_Budget1!FH5&amp;"]")</f>
        <v>4.0000000000000001E-3</v>
      </c>
      <c r="FH6" t="str">
        <f>A_Budget1!AF38</f>
        <v>Category6</v>
      </c>
      <c r="FI6" s="174">
        <f t="shared" si="6"/>
        <v>1</v>
      </c>
      <c r="FJ6" s="175">
        <f t="shared" si="7"/>
        <v>1</v>
      </c>
      <c r="FK6" t="str" cm="1">
        <f t="array" ref="FK6">IFERROR(INDEX($FH$1:$FH$18,SMALL(IF($FI$1:$FI$18=FL6,ROW($FI$1:$FI$18)),COUNTIF($FL$1:FL6,FL6))),"")</f>
        <v>Category6</v>
      </c>
      <c r="FL6" s="174">
        <f t="shared" si="8"/>
        <v>1</v>
      </c>
      <c r="FM6" s="176">
        <f t="shared" si="9"/>
        <v>1</v>
      </c>
      <c r="FN6" t="str" cm="1">
        <f t="array" ref="FN6">_xlfn.IFS(FK6=0,"",FK6=$A$1,"",FK6&lt;&gt;"",FK6)</f>
        <v>Category6</v>
      </c>
      <c r="FO6">
        <f t="shared" si="10"/>
        <v>-0.05</v>
      </c>
      <c r="FP6" s="177">
        <f t="shared" si="11"/>
        <v>1</v>
      </c>
      <c r="FQ6" s="178">
        <f t="shared" si="12"/>
        <v>1</v>
      </c>
    </row>
    <row r="7" spans="1:173" x14ac:dyDescent="0.25">
      <c r="C7" s="118" t="str">
        <f>A_Budget1!T12</f>
        <v>Category4</v>
      </c>
      <c r="D7" s="116">
        <f>GETPIVOTDATA("[Measures].[ABSMontantE]",A_Budget1!$T$8,"[Budget1Data].[Cat_2]","[Budget1Data].[Cat_2].&amp;["&amp;ControlChart_Budget1!C7&amp;"]")</f>
        <v>0.14285714285714277</v>
      </c>
      <c r="E7" s="212">
        <v>1</v>
      </c>
      <c r="F7" s="5">
        <f t="shared" ref="F7:F12" si="30">IF(ISNA(G7),100,(G7*10)+H7)</f>
        <v>11</v>
      </c>
      <c r="G7" cm="1">
        <f t="array" ref="G7">_xlfn.IFS(ROW(G7)&gt;$G$6,2,I7&lt;&gt;($I$6+1),COUNT(1))</f>
        <v>1</v>
      </c>
      <c r="H7" cm="1">
        <f t="array" ref="H7">_xlfn.IFS(ISNA(G7),"",G7=1,COUNTIF($G$7:G7,1),G7=2,COUNTIF($G$7:G7,2))</f>
        <v>1</v>
      </c>
      <c r="I7" s="5" t="str">
        <v>Qtr1</v>
      </c>
      <c r="J7" s="5">
        <v>2E-3</v>
      </c>
      <c r="K7" s="5">
        <v>2.0000000000000001E-4</v>
      </c>
      <c r="L7" s="5">
        <v>2E-3</v>
      </c>
      <c r="M7" s="5">
        <v>2.0000000000000001E-4</v>
      </c>
      <c r="N7" s="5">
        <v>2E-3</v>
      </c>
      <c r="O7" s="5">
        <v>2.0000000000000001E-4</v>
      </c>
      <c r="P7" s="5">
        <v>2E-3</v>
      </c>
      <c r="Q7" s="5">
        <v>2.0000000000000001E-4</v>
      </c>
      <c r="R7" s="5">
        <v>2E-3</v>
      </c>
      <c r="S7" s="5">
        <v>2.0000000000000001E-4</v>
      </c>
      <c r="T7" s="5">
        <v>2E-3</v>
      </c>
      <c r="U7" s="5">
        <v>2.0000000000000001E-4</v>
      </c>
      <c r="V7" s="5">
        <v>2E-3</v>
      </c>
      <c r="W7" s="5">
        <v>2.0000000000000001E-4</v>
      </c>
      <c r="X7" s="5">
        <v>1.4000000000000005E-2</v>
      </c>
      <c r="Y7" s="5">
        <v>1.4000000000000004E-3</v>
      </c>
      <c r="AA7">
        <f t="shared" si="18"/>
        <v>1</v>
      </c>
      <c r="AB7" s="195">
        <f>IF(OR(AA7=1,AA7=3),AN$42,0)</f>
        <v>2E-3</v>
      </c>
      <c r="AC7" s="196">
        <f>IF(OR(AA7=1,AA7=3),0,IF(AJ7&lt;&gt;"",AN$42/$AC$15,0))</f>
        <v>0</v>
      </c>
      <c r="AD7" s="200" t="str">
        <f>IF(OR($AA7=1,AA7=3),AN$81,0)</f>
        <v/>
      </c>
      <c r="AE7" s="201">
        <f>IF(OR($AA7=1,AA7=3),0,IF($AJ7&lt;&gt;"",AN$81/AE$15,0))</f>
        <v>0</v>
      </c>
      <c r="AF7" s="37">
        <f>IF(OR($AA7=1,AA7=3),AN$117,0)</f>
        <v>0</v>
      </c>
      <c r="AG7" s="197">
        <f>IF(OR($AA7=1,AA7=3),0,IF($AJ7&lt;&gt;"",AN$117/AG$15,0))</f>
        <v>0</v>
      </c>
      <c r="AH7" s="199">
        <f>IF(OR($AA7=1,AA7=3),AN$150,0)</f>
        <v>0</v>
      </c>
      <c r="AI7" s="199">
        <f>IF(OR($AA7=1,AA7=3),0,IF($AJ7&lt;&gt;"",AN$150/AI$15,0))</f>
        <v>0</v>
      </c>
      <c r="AJ7" s="120" t="str">
        <f>IF(ISBLANK($C$7),"",$C$7)</f>
        <v>Category4</v>
      </c>
      <c r="AK7" s="120">
        <f t="shared" si="19"/>
        <v>0</v>
      </c>
      <c r="AL7" s="120">
        <f t="shared" si="20"/>
        <v>0</v>
      </c>
      <c r="AM7" s="120">
        <f t="shared" si="21"/>
        <v>0</v>
      </c>
      <c r="AN7" s="120">
        <f t="shared" si="22"/>
        <v>0</v>
      </c>
      <c r="AO7" s="120">
        <f t="shared" si="23"/>
        <v>0</v>
      </c>
      <c r="AP7" s="120">
        <f t="shared" si="24"/>
        <v>0</v>
      </c>
      <c r="AQ7" s="120">
        <f t="shared" si="25"/>
        <v>0</v>
      </c>
      <c r="AR7" s="202">
        <f t="shared" si="26"/>
        <v>0</v>
      </c>
      <c r="AT7" s="8"/>
      <c r="AU7" s="9"/>
      <c r="AV7" s="9"/>
      <c r="AW7" s="9"/>
      <c r="AX7" s="179">
        <f>J21</f>
        <v>0</v>
      </c>
      <c r="AY7" s="129">
        <f>ABS(AK151)</f>
        <v>0</v>
      </c>
      <c r="AZ7" s="132">
        <f>IFERROR(IF(AND($AT$4&gt;=5,ABS($AK$149)&lt;0),ABS($AK$149),0),NA())</f>
        <v>0</v>
      </c>
      <c r="BA7" s="180">
        <f>IFERROR(AY7+AZ7,NA())</f>
        <v>0</v>
      </c>
      <c r="BB7" s="127">
        <f>IFERROR(IF(AND($AT$4&gt;=5,$AK$148&gt;0),$AK$148,0),NA())</f>
        <v>0</v>
      </c>
      <c r="BC7" s="133">
        <f>IF(BB7-BA7&lt;0,0,BB7-BA7)</f>
        <v>0</v>
      </c>
      <c r="BD7" s="211">
        <f>BC7+AX7</f>
        <v>0</v>
      </c>
      <c r="BE7" s="130">
        <f>IF(BD7-BA7&lt;0,0,BD7-BA7)</f>
        <v>0</v>
      </c>
      <c r="BF7" s="131" t="e">
        <f>BE7/BD7</f>
        <v>#DIV/0!</v>
      </c>
      <c r="BG7" s="126" t="e">
        <f>IFERROR((0.1*BD7)/BD7,NA())</f>
        <v>#N/A</v>
      </c>
      <c r="BH7" s="126" t="e">
        <f>IFERROR((0.1*BD7)/BD7,NA())</f>
        <v>#N/A</v>
      </c>
      <c r="BI7" s="126" t="e">
        <f>IFERROR((0.2*BD7)/BD7,NA())</f>
        <v>#N/A</v>
      </c>
      <c r="BJ7" s="131" t="e">
        <f>IFERROR(IF($AT$4&gt;5,0,BF7),NA())</f>
        <v>#N/A</v>
      </c>
      <c r="BK7" s="131">
        <f>IFERROR(IF($AT$4&gt;5,BF7,0),NA())</f>
        <v>0</v>
      </c>
      <c r="BL7" s="128" t="e">
        <f>IF(BK7&gt;0,0,BC7/AX7)</f>
        <v>#DIV/0!</v>
      </c>
      <c r="BM7" s="135">
        <f>IF((BD7-BE7)=0,0,(BD7-BE7)/BD7)</f>
        <v>0</v>
      </c>
      <c r="BN7" s="126" t="str">
        <f>IFERROR(BF7,"")</f>
        <v/>
      </c>
      <c r="BO7" s="8">
        <f>IFERROR(BA7,"")</f>
        <v>0</v>
      </c>
      <c r="BP7" s="8">
        <f>IFERROR(AX7,"")</f>
        <v>0</v>
      </c>
      <c r="BQ7" s="8" t="str">
        <f>IFERROR(IF(BC7=0,"",BC7),"")</f>
        <v/>
      </c>
      <c r="CL7" s="139">
        <f t="shared" ref="CL7:CR7" si="31">AK$118*(-1)</f>
        <v>0</v>
      </c>
      <c r="CM7" s="139">
        <f t="shared" si="31"/>
        <v>0</v>
      </c>
      <c r="CN7" s="139">
        <f t="shared" si="31"/>
        <v>0</v>
      </c>
      <c r="CO7" s="139">
        <f t="shared" si="31"/>
        <v>0</v>
      </c>
      <c r="CP7" s="139">
        <f t="shared" si="31"/>
        <v>0</v>
      </c>
      <c r="CQ7" s="139">
        <f t="shared" si="31"/>
        <v>0</v>
      </c>
      <c r="CR7" s="139">
        <f t="shared" si="31"/>
        <v>0</v>
      </c>
      <c r="CS7" s="31">
        <f t="shared" si="28"/>
        <v>0</v>
      </c>
      <c r="CU7" s="83"/>
      <c r="CV7" s="5"/>
      <c r="CY7" s="9" t="s">
        <v>185</v>
      </c>
      <c r="CZ7" s="9"/>
      <c r="DA7" s="126">
        <v>0.1</v>
      </c>
      <c r="DB7" s="126">
        <f>(SUM(DA5:DA10)-DB5)+DB8</f>
        <v>3.1</v>
      </c>
      <c r="DC7" s="5"/>
      <c r="DD7" s="184"/>
      <c r="DE7" s="114"/>
      <c r="DN7" s="9" t="str">
        <f t="shared" si="14"/>
        <v/>
      </c>
      <c r="DO7" s="9" t="str" cm="1">
        <f t="array" ref="DO7">_xlfn.IFS(RIGHT(A_Budget1!AJ15,5)="Total","",A_Budget1!AJ15="","",A_Budget1!AJ15&lt;&gt;"",A_Budget1!AJ15)</f>
        <v/>
      </c>
      <c r="DP7" s="9" t="str">
        <f>IFERROR(GETPIVOTDATA("[Measures].["&amp;A_Budget1!$AK$7&amp;"]",A_Budget1!$AJ$7,"[Budget1Data].[Cat_2]","[Budget1Data].[Cat_2].&amp;["&amp;A_Budget1!$AJ$8&amp;"]","[Budget1Data].[Cat_3]","[Budget1Data].[Cat_3].&amp;["&amp;DO7&amp;"]")/GETPIVOTDATA("[Measures].[Sum of Montant_Extrap 3]",A_Budget1!$AF$7,"[Budget1Data].[Cat_2]","[Budget1Data].[Cat_2].&amp;["&amp;WB_Data!$J$2&amp;"]"),"")</f>
        <v/>
      </c>
      <c r="DQ7" s="9" t="str" cm="1">
        <f t="array" ref="DQ7">IFERROR(INDEX($DO$1:$DO$16,SMALL(IF($DP$1:$DP$16=DR7,ROW($DP$1:$DP$16)),COUNTIF($DR$1:DR7,DR7))),"")</f>
        <v/>
      </c>
      <c r="DR7" s="104" t="str">
        <f t="shared" si="1"/>
        <v/>
      </c>
      <c r="DS7" s="103" t="str">
        <f>IFERROR(GETPIVOTDATA("[Measures].["&amp;A_Budget1!$AK$7&amp;"]",A_Budget1!$AJ$7,"[Budget1Data].[Cat_2]","[Budget1Data].[Cat_2].&amp;["&amp;A_Budget1!$AJ$8&amp;"]","[Budget1Data].[Cat_3]","[Budget1Data].[Cat_3].&amp;["&amp;DQ7&amp;"]"),"")</f>
        <v/>
      </c>
      <c r="DT7" s="154" t="str">
        <f>IFERROR(GETPIVOTDATA("[Measures].["&amp;A_Budget1!$AL$7&amp;"]",A_Budget1!$AJ$7,"[Budget1Data].[Cat_2]","[Budget1Data].[Cat_2].&amp;["&amp;A_Budget1!$AJ$8&amp;"]","[Budget1Data].[Cat_3]","[Budget1Data].[Cat_3].&amp;["&amp;DQ7&amp;"]")/GETPIVOTDATA("[Measures].[Sum of Last_Montant]",A_Budget1!$AF$7,"[Budget1Data].[Cat_2]","[Budget1Data].[Cat_2].&amp;["&amp;WB_Data!$J$2&amp;"]"),"")</f>
        <v/>
      </c>
      <c r="DU7" s="155" t="str">
        <f>IFERROR(GETPIVOTDATA("[Measures].["&amp;A_Budget1!$AL$7&amp;"]",A_Budget1!$AJ$7,"[Budget1Data].[Cat_2]","[Budget1Data].[Cat_2].&amp;["&amp;A_Budget1!$AJ$8&amp;"]","[Budget1Data].[Cat_3]","[Budget1Data].[Cat_3].&amp;["&amp;DQ7&amp;"]"),"")</f>
        <v/>
      </c>
      <c r="DV7" s="9" t="str">
        <f t="shared" si="0"/>
        <v/>
      </c>
      <c r="DW7" s="9"/>
      <c r="DX7" s="9"/>
      <c r="DY7" s="97" t="str">
        <f t="shared" si="15"/>
        <v/>
      </c>
      <c r="DZ7" s="9" t="str" cm="1">
        <f t="array" ref="DZ7">_xlfn.IFS(RIGHT(A_Budget1!AJ15,5)="Total","",A_Budget1!AJ15="","",A_Budget1!AJ15&lt;&gt;"",A_Budget1!AJ15)</f>
        <v/>
      </c>
      <c r="EA7" s="9" t="str">
        <f>IFERROR(GETPIVOTDATA("[Measures].["&amp;A_Budget1!$AL$7&amp;"]",A_Budget1!$AJ$7,"[Budget1Data].[Cat_2]","[Budget1Data].[Cat_2].&amp;["&amp;A_Budget1!$AJ$8&amp;"]","[Budget1Data].[Cat_3]","[Budget1Data].[Cat_3].&amp;["&amp;DZ7&amp;"]")/GETPIVOTDATA("[Measures].[Sum of Last_Montant]",A_Budget1!$AF$7,"[Budget1Data].[Cat_2]","[Budget1Data].[Cat_2].&amp;["&amp;WB_Data!$J$2&amp;"]"),"")</f>
        <v/>
      </c>
      <c r="EB7" s="9" t="str" cm="1">
        <f t="array" ref="EB7">IFERROR(INDEX($DZ$1:$DZ$16,SMALL(IF($EA$1:$EA$16=EC7,ROW($EA$1:$EA$16)),COUNTIF($EC$1:EC7,EC7))),"")</f>
        <v/>
      </c>
      <c r="EC7" s="154" t="str">
        <f t="shared" si="2"/>
        <v/>
      </c>
      <c r="ED7" s="154" t="str">
        <f>IFERROR(GETPIVOTDATA("[Measures].["&amp;A_Budget1!$AL$7&amp;"]",A_Budget1!$AJ$7,"[Budget1Data].[Cat_2]","[Budget1Data].[Cat_2].&amp;["&amp;A_Budget1!$AJ$8&amp;"]","[Budget1Data].[Cat_3]","[Budget1Data].[Cat_3].&amp;["&amp;EB7&amp;"]"),"")</f>
        <v/>
      </c>
      <c r="EE7" s="139" t="str">
        <f>IFERROR(GETPIVOTDATA("[Measures].["&amp;A_Budget1!$AK$7&amp;"]",A_Budget1!$AJ$7,"[Budget1Data].[Cat_2]","[Budget1Data].[Cat_2].&amp;["&amp;A_Budget1!$AJ$8&amp;"]","[Budget1Data].[Cat_3]","[Budget1Data].[Cat_3].&amp;["&amp;EB7&amp;"]")/GETPIVOTDATA("[Measures].[Sum of Montant_Extrap 3]",A_Budget1!$AF$7,"[Budget1Data].[Cat_2]","[Budget1Data].[Cat_2].&amp;["&amp;WB_Data!$J$2&amp;"]"),"")</f>
        <v/>
      </c>
      <c r="EF7" s="105" t="str">
        <f>IFERROR(GETPIVOTDATA("[Measures].["&amp;A_Budget1!$AK$7&amp;"]",A_Budget1!$AJ$7,"[Budget1Data].[Cat_2]","[Budget1Data].[Cat_2].&amp;["&amp;A_Budget1!$AJ$8&amp;"]","[Budget1Data].[Cat_3]","[Budget1Data].[Cat_3].&amp;["&amp;EB7&amp;"]"),"")</f>
        <v/>
      </c>
      <c r="EL7" s="166">
        <f ca="1">IFERROR(GETPIVOTDATA("[Measures].["&amp;A_Budget1!$AS$7&amp;"]",A_Budget1!$AQ$7,"[Budget1Data].[Cat_3]","[Budget1Data].[Cat_3].&amp;["&amp;ControlChart_Budget1!$ER$1&amp;"]","[Budget1Data].[Mois (Month)]","[Budget1Data].[Mois (Month)].&amp;["&amp;EV7&amp;"]","[Budget1Data].[Mois (Year)]","[Budget1Data].[Mois (Year)].&amp;["&amp;$EL$1&amp;"]"),0)</f>
        <v>0</v>
      </c>
      <c r="EM7" s="165">
        <f ca="1">IFERROR(IF($EN$1=1,0,GETPIVOTDATA("[Measures].["&amp;A_Budget1!$AS$7&amp;"]",A_Budget1!$AQ$7,"[Budget1Data].[Cat_3]","[Budget1Data].[Cat_3].&amp;["&amp;ControlChart_Budget1!$ER$1&amp;"]","[Budget1Data].[Mois (Month)]","[Budget1Data].[Mois (Month)].&amp;["&amp;EV7&amp;"]","[Budget1Data].[Mois (Year)]","[Budget1Data].[Mois (Year)].&amp;["&amp;$EM$1&amp;"]")),0)</f>
        <v>0</v>
      </c>
      <c r="EN7" s="139">
        <f ca="1">IFERROR(GETPIVOTDATA("[Measures].["&amp;A_Budget1!$AT$7&amp;"]",A_Budget1!$AQ$7,"[Budget1Data].[Cat_3]","[Budget1Data].[Cat_3].&amp;["&amp;ControlChart_Budget1!$ER$1&amp;"]","[Budget1Data].[Mois (Month)]","[Budget1Data].[Mois (Month)].&amp;["&amp;EV7&amp;"]","[Budget1Data].[Mois (Year)]","[Budget1Data].[Mois (Year)].&amp;["&amp;$EL$1&amp;"]"),0)</f>
        <v>0</v>
      </c>
      <c r="EO7" s="139">
        <f ca="1">IFERROR(IF($EN$1=1,0,GETPIVOTDATA("[Measures].["&amp;A_Budget1!$AT$7&amp;"]",A_Budget1!$AQ$7,"[Budget1Data].[Cat_3]","[Budget1Data].[Cat_3].&amp;["&amp;ControlChart_Budget1!$ER$1&amp;"]","[Budget1Data].[Mois (Month)]","[Budget1Data].[Mois (Month)].&amp;["&amp;EV7&amp;"]","[Budget1Data].[Mois (Year)]","[Budget1Data].[Mois (Year)].&amp;["&amp;$EM$1&amp;"]")),0)</f>
        <v>0</v>
      </c>
      <c r="EP7" s="167">
        <f ca="1">IFERROR(GETPIVOTDATA("[Measures].["&amp;A_Budget1!$AU$7&amp;"]",A_Budget1!$AQ$7,"[Budget1Data].[Cat_3]","[Budget1Data].[Cat_3].&amp;["&amp;ControlChart_Budget1!$ER$1&amp;"]","[Budget1Data].[Mois (Month)]","[Budget1Data].[Mois (Month)].&amp;["&amp;EV7&amp;"]","[Budget1Data].[Mois (Year)]","[Budget1Data].[Mois (Year)].&amp;["&amp;$EL$1&amp;"]"),0)</f>
        <v>0</v>
      </c>
      <c r="EQ7" s="167">
        <f ca="1">IFERROR(IF($EN$1=1,0,GETPIVOTDATA("[Measures].["&amp;A_Budget1!$AU$7&amp;"]",A_Budget1!$AQ$7,"[Budget1Data].[Cat_3]","[Budget1Data].[Cat_3].&amp;["&amp;ControlChart_Budget1!$ER$1&amp;"]","[Budget1Data].[Mois (Month)]","[Budget1Data].[Mois (Month)].&amp;["&amp;EV7&amp;"]","[Budget1Data].[Mois (Year)]","[Budget1Data].[Mois (Year)].&amp;["&amp;$EM$1&amp;"]")),0)</f>
        <v>0</v>
      </c>
      <c r="ER7" s="9" t="str">
        <f>IFERROR(IF(A_Budget1!AR14=0,"",A_Budget1!AR14),"")</f>
        <v/>
      </c>
      <c r="ES7" s="312">
        <f t="shared" ca="1" si="3"/>
        <v>0</v>
      </c>
      <c r="ET7" s="313">
        <f t="shared" ca="1" si="4"/>
        <v>0</v>
      </c>
      <c r="EU7" s="314">
        <f t="shared" ca="1" si="5"/>
        <v>0</v>
      </c>
      <c r="EV7" t="str">
        <f ca="1">IFERROR(VLOOKUP(ER7,Library!$R$18:$S$29,2,FALSE),Library!S23)</f>
        <v>juin</v>
      </c>
      <c r="EY7" s="168"/>
      <c r="EZ7" s="168"/>
      <c r="FA7" s="168"/>
      <c r="FB7" s="168"/>
      <c r="FC7" s="168"/>
      <c r="FD7" s="168"/>
      <c r="FE7">
        <f t="shared" si="16"/>
        <v>7</v>
      </c>
      <c r="FF7" s="105">
        <f>GETPIVOTDATA("[Measures].[ABSMontantE]",A_Budget1!$AF$32,"[Budget1Data].[Cat_2]","[Budget1Data].[Cat_2].&amp;["&amp;ControlChart_Budget1!FH6&amp;"]")</f>
        <v>4.0000000000000001E-3</v>
      </c>
      <c r="FG7" s="172">
        <f>GETPIVOTDATA("[Measures].[ABS_LastM]",A_Budget1!$AF$32,"[Budget1Data].[Cat_2]","[Budget1Data].[Cat_2].&amp;["&amp;ControlChart_Budget1!FH6&amp;"]")</f>
        <v>4.0000000000000001E-3</v>
      </c>
      <c r="FH7" t="str">
        <f>A_Budget1!AF39</f>
        <v>Category7</v>
      </c>
      <c r="FI7" s="174">
        <f t="shared" si="6"/>
        <v>1</v>
      </c>
      <c r="FJ7" s="175">
        <f t="shared" si="7"/>
        <v>1</v>
      </c>
      <c r="FK7" t="str" cm="1">
        <f t="array" ref="FK7">IFERROR(INDEX($FH$1:$FH$18,SMALL(IF($FI$1:$FI$18=FL7,ROW($FI$1:$FI$18)),COUNTIF($FL$1:FL7,FL7))),"")</f>
        <v>Category7</v>
      </c>
      <c r="FL7" s="174">
        <f t="shared" si="8"/>
        <v>1</v>
      </c>
      <c r="FM7" s="176">
        <f t="shared" si="9"/>
        <v>1</v>
      </c>
      <c r="FN7" t="str" cm="1">
        <f t="array" ref="FN7">_xlfn.IFS(FK7=0,"",FK7=$A$1,"",FK7&lt;&gt;"",FK7)</f>
        <v>Category7</v>
      </c>
      <c r="FO7">
        <f t="shared" si="10"/>
        <v>-0.05</v>
      </c>
      <c r="FP7" s="177">
        <f t="shared" si="11"/>
        <v>1</v>
      </c>
      <c r="FQ7" s="178">
        <f t="shared" si="12"/>
        <v>1</v>
      </c>
    </row>
    <row r="8" spans="1:173" x14ac:dyDescent="0.25">
      <c r="C8" s="118" t="str">
        <f>A_Budget1!T13</f>
        <v>Category5</v>
      </c>
      <c r="D8" s="116">
        <f>GETPIVOTDATA("[Measures].[ABSMontantE]",A_Budget1!$T$8,"[Budget1Data].[Cat_2]","[Budget1Data].[Cat_2].&amp;["&amp;ControlChart_Budget1!C8&amp;"]")</f>
        <v>0.14285714285714277</v>
      </c>
      <c r="E8" s="212">
        <v>2</v>
      </c>
      <c r="F8" s="5">
        <f t="shared" si="30"/>
        <v>100</v>
      </c>
      <c r="G8" s="5" t="e" cm="1">
        <f t="array" ref="G8">_xlfn.IFS(ROW(G8)&gt;$G$6,2,I8&lt;&gt;($I$6+1),COUNT(1))</f>
        <v>#N/A</v>
      </c>
      <c r="H8" t="str" cm="1">
        <f t="array" ref="H8">_xlfn.IFS(ISNA(G8),"",G8=1,COUNTIF($G$7:G8,1),G8=2,COUNTIF($G$7:G8,2))</f>
        <v/>
      </c>
      <c r="I8" s="5">
        <v>2026</v>
      </c>
      <c r="J8" s="5">
        <v>0</v>
      </c>
      <c r="K8" s="5">
        <v>0</v>
      </c>
      <c r="L8" s="5">
        <v>0</v>
      </c>
      <c r="M8" s="5">
        <v>0</v>
      </c>
      <c r="N8" s="5">
        <v>0</v>
      </c>
      <c r="O8" s="5">
        <v>0</v>
      </c>
      <c r="P8" s="5">
        <v>0</v>
      </c>
      <c r="Q8" s="5">
        <v>0</v>
      </c>
      <c r="R8" s="5">
        <v>0</v>
      </c>
      <c r="S8" s="5">
        <v>0</v>
      </c>
      <c r="T8" s="5">
        <v>0</v>
      </c>
      <c r="U8" s="5">
        <v>0</v>
      </c>
      <c r="V8" s="5">
        <v>0</v>
      </c>
      <c r="W8" s="5">
        <v>0</v>
      </c>
      <c r="X8" s="5">
        <v>0</v>
      </c>
      <c r="Y8" s="5">
        <v>0</v>
      </c>
      <c r="AA8">
        <f t="shared" si="18"/>
        <v>2</v>
      </c>
      <c r="AB8" s="195">
        <f>IF(OR(AA8=1,AA8=3),AO$42,0)</f>
        <v>0</v>
      </c>
      <c r="AC8" s="196">
        <f>IF(OR(AA8=1,AA8=3),0,IF(AJ8&lt;&gt;"",AO$42/$AC$15,0))</f>
        <v>0.33333333333333331</v>
      </c>
      <c r="AD8" s="200">
        <f>IF(OR($AA8=1,AA8=3),AO$81,0)</f>
        <v>0</v>
      </c>
      <c r="AE8" s="201" t="e">
        <f>IF(OR($AA8=1,AA8=3),0,IF($AJ8&lt;&gt;"",AO$81/AE$15,0))</f>
        <v>#VALUE!</v>
      </c>
      <c r="AF8" s="37">
        <f>IF(OR($AA8=1,AA8=3),AO$117,0)</f>
        <v>0</v>
      </c>
      <c r="AG8" s="197" t="e">
        <f>IF(OR($AA8=1,AA8=3),0,IF($AJ8&lt;&gt;"",AO$117/AG$15,0))</f>
        <v>#DIV/0!</v>
      </c>
      <c r="AH8" s="199">
        <f>IF(OR($AA8=1,AA8=3),AO$150,0)</f>
        <v>0</v>
      </c>
      <c r="AI8" s="199" t="e">
        <f>IF(OR($AA8=1,AA8=3),0,IF($AJ8&lt;&gt;"",AO$150/AI$15,0))</f>
        <v>#DIV/0!</v>
      </c>
      <c r="AJ8" s="120" t="str">
        <f>IF(ISBLANK($C$8),"",$C$8)</f>
        <v>Category5</v>
      </c>
      <c r="AK8" s="120">
        <f t="shared" si="19"/>
        <v>0</v>
      </c>
      <c r="AL8" s="120">
        <f t="shared" si="20"/>
        <v>0</v>
      </c>
      <c r="AM8" s="120">
        <f t="shared" si="21"/>
        <v>0</v>
      </c>
      <c r="AN8" s="120">
        <f t="shared" si="22"/>
        <v>0</v>
      </c>
      <c r="AO8" s="120">
        <f t="shared" si="23"/>
        <v>0</v>
      </c>
      <c r="AP8" s="120">
        <f t="shared" si="24"/>
        <v>0</v>
      </c>
      <c r="AQ8" s="120">
        <f t="shared" si="25"/>
        <v>0</v>
      </c>
      <c r="AR8" s="202">
        <f t="shared" si="26"/>
        <v>0</v>
      </c>
      <c r="AT8" s="304" cm="1">
        <f t="array" ref="AT8">_xlfn.IFS($AT$4=1,BO3,$AT$4=2,BO4,$AT$4=3,BO5,$AT$4=4,BO6,$AT$4=5,BO7)</f>
        <v>2.0000000000000001E-4</v>
      </c>
      <c r="AU8" s="304" cm="1">
        <f t="array" ref="AU8">_xlfn.IFS($AT$4=1,BP3,$AT$4=2,BP4,$AT$4=3,BP5,$AT$4=4,BP6,$AT$4=5,BP7)</f>
        <v>2E-3</v>
      </c>
      <c r="AV8" s="8" t="str">
        <f>IF(AU8&lt;&gt;"","/ "&amp;AU8&amp;WB_Data!EJ2,"")</f>
        <v>/ 0.002$</v>
      </c>
      <c r="AW8" s="303" cm="1">
        <f t="array" ref="AW8">_xlfn.IFS($AT$4=1,BQ3,$AT$4=2,BQ4,$AT$4=3,BQ5,$AT$4=4,BQ6,$AT$4=5,BQ7)</f>
        <v>0</v>
      </c>
      <c r="AX8" s="85" t="str">
        <f>IF(AW8="","","Extra")</f>
        <v>Extra</v>
      </c>
      <c r="BG8" s="181"/>
      <c r="BH8" s="181"/>
      <c r="BI8" s="181"/>
      <c r="CL8" s="139">
        <f t="shared" ref="CL8:CR8" si="32">AK$151*(-1)</f>
        <v>0</v>
      </c>
      <c r="CM8" s="139">
        <f t="shared" si="32"/>
        <v>0</v>
      </c>
      <c r="CN8" s="139">
        <f t="shared" si="32"/>
        <v>0</v>
      </c>
      <c r="CO8" s="139">
        <f t="shared" si="32"/>
        <v>0</v>
      </c>
      <c r="CP8" s="139">
        <f t="shared" si="32"/>
        <v>0</v>
      </c>
      <c r="CQ8" s="139">
        <f t="shared" si="32"/>
        <v>0</v>
      </c>
      <c r="CR8" s="139">
        <f t="shared" si="32"/>
        <v>0</v>
      </c>
      <c r="CS8" s="31">
        <f t="shared" si="28"/>
        <v>0</v>
      </c>
      <c r="CU8" s="83"/>
      <c r="CV8" s="5"/>
      <c r="CY8" s="9" t="s">
        <v>186</v>
      </c>
      <c r="CZ8" s="9"/>
      <c r="DA8" s="126">
        <v>0.2</v>
      </c>
      <c r="DB8" s="9" t="b">
        <f>IF(DB5&gt;1.1,(1-DB5))</f>
        <v>0</v>
      </c>
      <c r="DC8" s="5"/>
      <c r="DD8" s="114"/>
      <c r="DE8" s="114"/>
      <c r="DN8" s="9" t="str">
        <f t="shared" si="14"/>
        <v/>
      </c>
      <c r="DO8" s="9" t="str" cm="1">
        <f t="array" ref="DO8">_xlfn.IFS(RIGHT(A_Budget1!AJ16,5)="Total","",A_Budget1!AJ16="","",A_Budget1!AJ16&lt;&gt;"",A_Budget1!AJ16)</f>
        <v/>
      </c>
      <c r="DP8" s="9" t="str">
        <f>IFERROR(GETPIVOTDATA("[Measures].["&amp;A_Budget1!$AK$7&amp;"]",A_Budget1!$AJ$7,"[Budget1Data].[Cat_2]","[Budget1Data].[Cat_2].&amp;["&amp;A_Budget1!$AJ$8&amp;"]","[Budget1Data].[Cat_3]","[Budget1Data].[Cat_3].&amp;["&amp;DO8&amp;"]")/GETPIVOTDATA("[Measures].[Sum of Montant_Extrap 3]",A_Budget1!$AF$7,"[Budget1Data].[Cat_2]","[Budget1Data].[Cat_2].&amp;["&amp;WB_Data!$J$2&amp;"]"),"")</f>
        <v/>
      </c>
      <c r="DQ8" s="9" t="str" cm="1">
        <f t="array" ref="DQ8">IFERROR(INDEX($DO$1:$DO$16,SMALL(IF($DP$1:$DP$16=DR8,ROW($DP$1:$DP$16)),COUNTIF($DR$1:DR8,DR8))),"")</f>
        <v/>
      </c>
      <c r="DR8" s="104" t="str">
        <f t="shared" si="1"/>
        <v/>
      </c>
      <c r="DS8" s="103" t="str">
        <f>IFERROR(GETPIVOTDATA("[Measures].["&amp;A_Budget1!$AK$7&amp;"]",A_Budget1!$AJ$7,"[Budget1Data].[Cat_2]","[Budget1Data].[Cat_2].&amp;["&amp;A_Budget1!$AJ$8&amp;"]","[Budget1Data].[Cat_3]","[Budget1Data].[Cat_3].&amp;["&amp;DQ8&amp;"]"),"")</f>
        <v/>
      </c>
      <c r="DT8" s="154" t="str">
        <f>IFERROR(GETPIVOTDATA("[Measures].["&amp;A_Budget1!$AL$7&amp;"]",A_Budget1!$AJ$7,"[Budget1Data].[Cat_2]","[Budget1Data].[Cat_2].&amp;["&amp;A_Budget1!$AJ$8&amp;"]","[Budget1Data].[Cat_3]","[Budget1Data].[Cat_3].&amp;["&amp;DQ8&amp;"]")/GETPIVOTDATA("[Measures].[Sum of Last_Montant]",A_Budget1!$AF$7,"[Budget1Data].[Cat_2]","[Budget1Data].[Cat_2].&amp;["&amp;WB_Data!$J$2&amp;"]"),"")</f>
        <v/>
      </c>
      <c r="DU8" s="155" t="str">
        <f>IFERROR(GETPIVOTDATA("[Measures].["&amp;A_Budget1!$AL$7&amp;"]",A_Budget1!$AJ$7,"[Budget1Data].[Cat_2]","[Budget1Data].[Cat_2].&amp;["&amp;A_Budget1!$AJ$8&amp;"]","[Budget1Data].[Cat_3]","[Budget1Data].[Cat_3].&amp;["&amp;DQ8&amp;"]"),"")</f>
        <v/>
      </c>
      <c r="DV8" s="9" t="str">
        <f t="shared" si="0"/>
        <v/>
      </c>
      <c r="DW8" s="9"/>
      <c r="DX8" s="9"/>
      <c r="DY8" s="97" t="str">
        <f t="shared" si="15"/>
        <v/>
      </c>
      <c r="DZ8" s="9" t="str" cm="1">
        <f t="array" ref="DZ8">_xlfn.IFS(RIGHT(A_Budget1!AJ16,5)="Total","",A_Budget1!AJ16="","",A_Budget1!AJ16&lt;&gt;"",A_Budget1!AJ16)</f>
        <v/>
      </c>
      <c r="EA8" s="9" t="str">
        <f>IFERROR(GETPIVOTDATA("[Measures].["&amp;A_Budget1!$AL$7&amp;"]",A_Budget1!$AJ$7,"[Budget1Data].[Cat_2]","[Budget1Data].[Cat_2].&amp;["&amp;A_Budget1!$AJ$8&amp;"]","[Budget1Data].[Cat_3]","[Budget1Data].[Cat_3].&amp;["&amp;DZ8&amp;"]")/GETPIVOTDATA("[Measures].[Sum of Last_Montant]",A_Budget1!$AF$7,"[Budget1Data].[Cat_2]","[Budget1Data].[Cat_2].&amp;["&amp;WB_Data!$J$2&amp;"]"),"")</f>
        <v/>
      </c>
      <c r="EB8" s="9" t="str" cm="1">
        <f t="array" ref="EB8">IFERROR(INDEX($DZ$1:$DZ$16,SMALL(IF($EA$1:$EA$16=EC8,ROW($EA$1:$EA$16)),COUNTIF($EC$1:EC8,EC8))),"")</f>
        <v/>
      </c>
      <c r="EC8" s="154" t="str">
        <f t="shared" si="2"/>
        <v/>
      </c>
      <c r="ED8" s="154" t="str">
        <f>IFERROR(GETPIVOTDATA("[Measures].["&amp;A_Budget1!$AL$7&amp;"]",A_Budget1!$AJ$7,"[Budget1Data].[Cat_2]","[Budget1Data].[Cat_2].&amp;["&amp;A_Budget1!$AJ$8&amp;"]","[Budget1Data].[Cat_3]","[Budget1Data].[Cat_3].&amp;["&amp;EB8&amp;"]"),"")</f>
        <v/>
      </c>
      <c r="EE8" s="139" t="str">
        <f>IFERROR(GETPIVOTDATA("[Measures].["&amp;A_Budget1!$AK$7&amp;"]",A_Budget1!$AJ$7,"[Budget1Data].[Cat_2]","[Budget1Data].[Cat_2].&amp;["&amp;A_Budget1!$AJ$8&amp;"]","[Budget1Data].[Cat_3]","[Budget1Data].[Cat_3].&amp;["&amp;EB8&amp;"]")/GETPIVOTDATA("[Measures].[Sum of Montant_Extrap 3]",A_Budget1!$AF$7,"[Budget1Data].[Cat_2]","[Budget1Data].[Cat_2].&amp;["&amp;WB_Data!$J$2&amp;"]"),"")</f>
        <v/>
      </c>
      <c r="EF8" s="105" t="str">
        <f>IFERROR(GETPIVOTDATA("[Measures].["&amp;A_Budget1!$AK$7&amp;"]",A_Budget1!$AJ$7,"[Budget1Data].[Cat_2]","[Budget1Data].[Cat_2].&amp;["&amp;A_Budget1!$AJ$8&amp;"]","[Budget1Data].[Cat_3]","[Budget1Data].[Cat_3].&amp;["&amp;EB8&amp;"]"),"")</f>
        <v/>
      </c>
      <c r="EL8" s="166">
        <f ca="1">IFERROR(GETPIVOTDATA("[Measures].["&amp;A_Budget1!$AS$7&amp;"]",A_Budget1!$AQ$7,"[Budget1Data].[Cat_3]","[Budget1Data].[Cat_3].&amp;["&amp;ControlChart_Budget1!$ER$1&amp;"]","[Budget1Data].[Mois (Month)]","[Budget1Data].[Mois (Month)].&amp;["&amp;EV8&amp;"]","[Budget1Data].[Mois (Year)]","[Budget1Data].[Mois (Year)].&amp;["&amp;$EL$1&amp;"]"),0)</f>
        <v>0</v>
      </c>
      <c r="EM8" s="165">
        <f ca="1">IFERROR(IF($EN$1=1,0,GETPIVOTDATA("[Measures].["&amp;A_Budget1!$AS$7&amp;"]",A_Budget1!$AQ$7,"[Budget1Data].[Cat_3]","[Budget1Data].[Cat_3].&amp;["&amp;ControlChart_Budget1!$ER$1&amp;"]","[Budget1Data].[Mois (Month)]","[Budget1Data].[Mois (Month)].&amp;["&amp;EV8&amp;"]","[Budget1Data].[Mois (Year)]","[Budget1Data].[Mois (Year)].&amp;["&amp;$EM$1&amp;"]")),0)</f>
        <v>0</v>
      </c>
      <c r="EN8" s="139">
        <f ca="1">IFERROR(GETPIVOTDATA("[Measures].["&amp;A_Budget1!$AT$7&amp;"]",A_Budget1!$AQ$7,"[Budget1Data].[Cat_3]","[Budget1Data].[Cat_3].&amp;["&amp;ControlChart_Budget1!$ER$1&amp;"]","[Budget1Data].[Mois (Month)]","[Budget1Data].[Mois (Month)].&amp;["&amp;EV8&amp;"]","[Budget1Data].[Mois (Year)]","[Budget1Data].[Mois (Year)].&amp;["&amp;$EL$1&amp;"]"),0)</f>
        <v>0</v>
      </c>
      <c r="EO8" s="139">
        <f ca="1">IFERROR(IF($EN$1=1,0,GETPIVOTDATA("[Measures].["&amp;A_Budget1!$AT$7&amp;"]",A_Budget1!$AQ$7,"[Budget1Data].[Cat_3]","[Budget1Data].[Cat_3].&amp;["&amp;ControlChart_Budget1!$ER$1&amp;"]","[Budget1Data].[Mois (Month)]","[Budget1Data].[Mois (Month)].&amp;["&amp;EV8&amp;"]","[Budget1Data].[Mois (Year)]","[Budget1Data].[Mois (Year)].&amp;["&amp;$EM$1&amp;"]")),0)</f>
        <v>0</v>
      </c>
      <c r="EP8" s="167">
        <f ca="1">IFERROR(GETPIVOTDATA("[Measures].["&amp;A_Budget1!$AU$7&amp;"]",A_Budget1!$AQ$7,"[Budget1Data].[Cat_3]","[Budget1Data].[Cat_3].&amp;["&amp;ControlChart_Budget1!$ER$1&amp;"]","[Budget1Data].[Mois (Month)]","[Budget1Data].[Mois (Month)].&amp;["&amp;EV8&amp;"]","[Budget1Data].[Mois (Year)]","[Budget1Data].[Mois (Year)].&amp;["&amp;$EL$1&amp;"]"),0)</f>
        <v>0</v>
      </c>
      <c r="EQ8" s="167">
        <f ca="1">IFERROR(IF($EN$1=1,0,GETPIVOTDATA("[Measures].["&amp;A_Budget1!$AU$7&amp;"]",A_Budget1!$AQ$7,"[Budget1Data].[Cat_3]","[Budget1Data].[Cat_3].&amp;["&amp;ControlChart_Budget1!$ER$1&amp;"]","[Budget1Data].[Mois (Month)]","[Budget1Data].[Mois (Month)].&amp;["&amp;EV8&amp;"]","[Budget1Data].[Mois (Year)]","[Budget1Data].[Mois (Year)].&amp;["&amp;$EM$1&amp;"]")),0)</f>
        <v>0</v>
      </c>
      <c r="ER8" s="9" t="str">
        <f>IFERROR(IF(A_Budget1!AR15=0,"",A_Budget1!AR15),"")</f>
        <v/>
      </c>
      <c r="ES8" s="312">
        <f t="shared" ca="1" si="3"/>
        <v>0</v>
      </c>
      <c r="ET8" s="313">
        <f t="shared" ca="1" si="4"/>
        <v>0</v>
      </c>
      <c r="EU8" s="314">
        <f t="shared" ca="1" si="5"/>
        <v>0</v>
      </c>
      <c r="EV8" t="str">
        <f ca="1">IFERROR(VLOOKUP(ER8,Library!$R$18:$S$29,2,FALSE),Library!S24)</f>
        <v>juil</v>
      </c>
      <c r="EY8" s="168"/>
      <c r="EZ8" s="168"/>
      <c r="FA8" s="168"/>
      <c r="FB8" s="168"/>
      <c r="FC8" s="168"/>
      <c r="FD8" s="168"/>
      <c r="FE8">
        <f t="shared" si="16"/>
        <v>8</v>
      </c>
      <c r="FF8" s="105">
        <f>GETPIVOTDATA("[Measures].[ABSMontantE]",A_Budget1!$AF$32,"[Budget1Data].[Cat_2]","[Budget1Data].[Cat_2].&amp;["&amp;ControlChart_Budget1!FH7&amp;"]")</f>
        <v>4.0000000000000001E-3</v>
      </c>
      <c r="FG8" s="172">
        <f>GETPIVOTDATA("[Measures].[ABS_LastM]",A_Budget1!$AF$32,"[Budget1Data].[Cat_2]","[Budget1Data].[Cat_2].&amp;["&amp;ControlChart_Budget1!FH7&amp;"]")</f>
        <v>4.0000000000000001E-3</v>
      </c>
      <c r="FH8" t="str">
        <f>A_Budget1!AF40</f>
        <v>Grand Total</v>
      </c>
      <c r="FI8" s="174">
        <f t="shared" si="6"/>
        <v>0</v>
      </c>
      <c r="FJ8" s="175">
        <f t="shared" si="7"/>
        <v>0</v>
      </c>
      <c r="FK8" t="str" cm="1">
        <f t="array" ref="FK8">IFERROR(INDEX($FH$1:$FH$18,SMALL(IF($FI$1:$FI$18=FL8,ROW($FI$1:$FI$18)),COUNTIF($FL$1:FL8,FL8))),"")</f>
        <v>Grand Total</v>
      </c>
      <c r="FL8" s="174">
        <f t="shared" si="8"/>
        <v>0</v>
      </c>
      <c r="FM8" s="176">
        <f t="shared" si="9"/>
        <v>0</v>
      </c>
      <c r="FN8" t="str" cm="1">
        <f t="array" ref="FN8">_xlfn.IFS(FK8=0,"",FK8=$A$1,"",FK8&lt;&gt;"",FK8)</f>
        <v/>
      </c>
      <c r="FO8" t="str">
        <f t="shared" si="10"/>
        <v/>
      </c>
      <c r="FP8" s="177" t="str">
        <f t="shared" si="11"/>
        <v/>
      </c>
      <c r="FQ8" s="178" t="str">
        <f t="shared" si="12"/>
        <v/>
      </c>
    </row>
    <row r="9" spans="1:173" x14ac:dyDescent="0.25">
      <c r="C9" s="118" t="str">
        <f>A_Budget1!T14</f>
        <v>Category6</v>
      </c>
      <c r="D9" s="116">
        <f>GETPIVOTDATA("[Measures].[ABSMontantE]",A_Budget1!$T$8,"[Budget1Data].[Cat_2]","[Budget1Data].[Cat_2].&amp;["&amp;ControlChart_Budget1!C9&amp;"]")</f>
        <v>0.14285714285714277</v>
      </c>
      <c r="E9" s="212">
        <v>2</v>
      </c>
      <c r="F9" s="5">
        <f>IF(ISNA(G9),100,(G9*10)+H9)</f>
        <v>21</v>
      </c>
      <c r="G9" cm="1">
        <f t="array" ref="G9">_xlfn.IFS(ROW(G9)&gt;$G$6,2,I9&lt;&gt;($I$6+1),COUNT(1))</f>
        <v>2</v>
      </c>
      <c r="H9" cm="1">
        <f t="array" ref="H9">_xlfn.IFS(ISNA(G9),"",G9=1,COUNTIF($G$7:G9,1),G9=2,COUNTIF($G$7:G9,2))</f>
        <v>1</v>
      </c>
      <c r="I9" s="5" t="str">
        <v>Qtr1</v>
      </c>
      <c r="J9" s="5">
        <v>2E-3</v>
      </c>
      <c r="K9" s="5">
        <v>2.0000000000000001E-4</v>
      </c>
      <c r="L9" s="5">
        <v>2E-3</v>
      </c>
      <c r="M9" s="5">
        <v>2.0000000000000001E-4</v>
      </c>
      <c r="N9" s="5">
        <v>2E-3</v>
      </c>
      <c r="O9" s="5">
        <v>2.0000000000000001E-4</v>
      </c>
      <c r="P9" s="5">
        <v>2E-3</v>
      </c>
      <c r="Q9" s="5">
        <v>2.0000000000000001E-4</v>
      </c>
      <c r="R9" s="5">
        <v>2E-3</v>
      </c>
      <c r="S9" s="5">
        <v>2.0000000000000001E-4</v>
      </c>
      <c r="T9" s="5">
        <v>2E-3</v>
      </c>
      <c r="U9" s="5">
        <v>2.0000000000000001E-4</v>
      </c>
      <c r="V9" s="5">
        <v>2E-3</v>
      </c>
      <c r="W9" s="5">
        <v>2.0000000000000001E-4</v>
      </c>
      <c r="X9" s="5">
        <v>1.4000000000000005E-2</v>
      </c>
      <c r="Y9" s="5">
        <v>1.4000000000000004E-3</v>
      </c>
      <c r="AA9">
        <f t="shared" si="18"/>
        <v>2</v>
      </c>
      <c r="AB9" s="195">
        <f>IF(OR(AA9=1,AA9=3),AP$42,0)</f>
        <v>0</v>
      </c>
      <c r="AC9" s="196">
        <f>IF(OR(AA9=1,AA9=3),0,IF(AJ9&lt;&gt;"",AP$42/$AC$15,0))</f>
        <v>0.33333333333333331</v>
      </c>
      <c r="AD9" s="200">
        <f>IF(OR($AA9=1,AA9=3),AP$81,0)</f>
        <v>0</v>
      </c>
      <c r="AE9" s="201" t="e">
        <f>IF(OR($AA9=1,AA9=3),0,IF($AJ9&lt;&gt;"",AP$81/AE$15,0))</f>
        <v>#VALUE!</v>
      </c>
      <c r="AF9" s="37">
        <f>IF(OR($AA9=1,AA9=3),AP$117,0)</f>
        <v>0</v>
      </c>
      <c r="AG9" s="197" t="e">
        <f>IF(OR($AA9=1,AA9=3),0,IF($AJ9&lt;&gt;"",AP$117/AG$15,0))</f>
        <v>#DIV/0!</v>
      </c>
      <c r="AH9" s="199">
        <f>IF(OR($AA9=1,AA9=3),AP$150,0)</f>
        <v>0</v>
      </c>
      <c r="AI9" s="199" t="e">
        <f>IF(OR($AA9=1,AA9=3),0,IF($AJ9&lt;&gt;"",AP$150/AI$15,0))</f>
        <v>#DIV/0!</v>
      </c>
      <c r="AJ9" s="120" t="str">
        <f>IF(ISBLANK($C$9),"",$C$9)</f>
        <v>Category6</v>
      </c>
      <c r="AK9" s="120">
        <f t="shared" si="19"/>
        <v>0</v>
      </c>
      <c r="AL9" s="120">
        <f t="shared" si="20"/>
        <v>0</v>
      </c>
      <c r="AM9" s="120">
        <f t="shared" si="21"/>
        <v>0</v>
      </c>
      <c r="AN9" s="120">
        <f t="shared" si="22"/>
        <v>0</v>
      </c>
      <c r="AO9" s="120">
        <f t="shared" si="23"/>
        <v>0</v>
      </c>
      <c r="AP9" s="120">
        <f t="shared" si="24"/>
        <v>0</v>
      </c>
      <c r="AQ9" s="120">
        <f t="shared" si="25"/>
        <v>0</v>
      </c>
      <c r="AR9" s="202">
        <f t="shared" si="26"/>
        <v>0</v>
      </c>
      <c r="CL9" s="38">
        <f t="shared" ref="CL9:CR9" si="33">AK$40</f>
        <v>0</v>
      </c>
      <c r="CM9" s="38">
        <f t="shared" si="33"/>
        <v>0</v>
      </c>
      <c r="CN9" s="38">
        <f t="shared" si="33"/>
        <v>0</v>
      </c>
      <c r="CO9" s="38">
        <f t="shared" si="33"/>
        <v>0</v>
      </c>
      <c r="CP9" s="38">
        <f t="shared" si="33"/>
        <v>0</v>
      </c>
      <c r="CQ9" s="38">
        <f t="shared" si="33"/>
        <v>0</v>
      </c>
      <c r="CR9" s="38">
        <f t="shared" si="33"/>
        <v>0</v>
      </c>
      <c r="CS9" s="40">
        <f t="shared" si="28"/>
        <v>0</v>
      </c>
      <c r="CY9" s="9" t="s">
        <v>187</v>
      </c>
      <c r="CZ9" s="9"/>
      <c r="DA9" s="126">
        <v>0.3</v>
      </c>
      <c r="DB9" s="9"/>
      <c r="DC9" s="5"/>
      <c r="DD9" s="5"/>
      <c r="DE9" s="114"/>
      <c r="DN9" s="9" t="str">
        <f t="shared" si="14"/>
        <v/>
      </c>
      <c r="DO9" s="9" t="str" cm="1">
        <f t="array" ref="DO9">_xlfn.IFS(RIGHT(A_Budget1!AJ17,5)="Total","",A_Budget1!AJ17="","",A_Budget1!AJ17&lt;&gt;"",A_Budget1!AJ17)</f>
        <v/>
      </c>
      <c r="DP9" s="9" t="str">
        <f>IFERROR(GETPIVOTDATA("[Measures].["&amp;A_Budget1!$AK$7&amp;"]",A_Budget1!$AJ$7,"[Budget1Data].[Cat_2]","[Budget1Data].[Cat_2].&amp;["&amp;A_Budget1!$AJ$8&amp;"]","[Budget1Data].[Cat_3]","[Budget1Data].[Cat_3].&amp;["&amp;DO9&amp;"]")/GETPIVOTDATA("[Measures].[Sum of Montant_Extrap 3]",A_Budget1!$AF$7,"[Budget1Data].[Cat_2]","[Budget1Data].[Cat_2].&amp;["&amp;WB_Data!$J$2&amp;"]"),"")</f>
        <v/>
      </c>
      <c r="DQ9" s="9" t="str" cm="1">
        <f t="array" ref="DQ9">IFERROR(INDEX($DO$1:$DO$16,SMALL(IF($DP$1:$DP$16=DR9,ROW($DP$1:$DP$16)),COUNTIF($DR$1:DR9,DR9))),"")</f>
        <v/>
      </c>
      <c r="DR9" s="104" t="str">
        <f t="shared" si="1"/>
        <v/>
      </c>
      <c r="DS9" s="103" t="str">
        <f>IFERROR(GETPIVOTDATA("[Measures].["&amp;A_Budget1!$AK$7&amp;"]",A_Budget1!$AJ$7,"[Budget1Data].[Cat_2]","[Budget1Data].[Cat_2].&amp;["&amp;A_Budget1!$AJ$8&amp;"]","[Budget1Data].[Cat_3]","[Budget1Data].[Cat_3].&amp;["&amp;DQ9&amp;"]"),"")</f>
        <v/>
      </c>
      <c r="DT9" s="154" t="str">
        <f>IFERROR(GETPIVOTDATA("[Measures].["&amp;A_Budget1!$AL$7&amp;"]",A_Budget1!$AJ$7,"[Budget1Data].[Cat_2]","[Budget1Data].[Cat_2].&amp;["&amp;A_Budget1!$AJ$8&amp;"]","[Budget1Data].[Cat_3]","[Budget1Data].[Cat_3].&amp;["&amp;DQ9&amp;"]")/GETPIVOTDATA("[Measures].[Sum of Last_Montant]",A_Budget1!$AF$7,"[Budget1Data].[Cat_2]","[Budget1Data].[Cat_2].&amp;["&amp;WB_Data!$J$2&amp;"]"),"")</f>
        <v/>
      </c>
      <c r="DU9" s="155" t="str">
        <f>IFERROR(GETPIVOTDATA("[Measures].["&amp;A_Budget1!$AL$7&amp;"]",A_Budget1!$AJ$7,"[Budget1Data].[Cat_2]","[Budget1Data].[Cat_2].&amp;["&amp;A_Budget1!$AJ$8&amp;"]","[Budget1Data].[Cat_3]","[Budget1Data].[Cat_3].&amp;["&amp;DQ9&amp;"]"),"")</f>
        <v/>
      </c>
      <c r="DV9" s="9" t="str">
        <f t="shared" si="0"/>
        <v/>
      </c>
      <c r="DW9" s="9"/>
      <c r="DX9" s="9"/>
      <c r="DY9" s="97" t="str">
        <f t="shared" si="15"/>
        <v/>
      </c>
      <c r="DZ9" s="9" t="str" cm="1">
        <f t="array" ref="DZ9">_xlfn.IFS(RIGHT(A_Budget1!AJ17,5)="Total","",A_Budget1!AJ17="","",A_Budget1!AJ17&lt;&gt;"",A_Budget1!AJ17)</f>
        <v/>
      </c>
      <c r="EA9" s="9" t="str">
        <f>IFERROR(GETPIVOTDATA("[Measures].["&amp;A_Budget1!$AL$7&amp;"]",A_Budget1!$AJ$7,"[Budget1Data].[Cat_2]","[Budget1Data].[Cat_2].&amp;["&amp;A_Budget1!$AJ$8&amp;"]","[Budget1Data].[Cat_3]","[Budget1Data].[Cat_3].&amp;["&amp;DZ9&amp;"]")/GETPIVOTDATA("[Measures].[Sum of Last_Montant]",A_Budget1!$AF$7,"[Budget1Data].[Cat_2]","[Budget1Data].[Cat_2].&amp;["&amp;WB_Data!$J$2&amp;"]"),"")</f>
        <v/>
      </c>
      <c r="EB9" s="9" t="str" cm="1">
        <f t="array" ref="EB9">IFERROR(INDEX($DZ$1:$DZ$16,SMALL(IF($EA$1:$EA$16=EC9,ROW($EA$1:$EA$16)),COUNTIF($EC$1:EC9,EC9))),"")</f>
        <v/>
      </c>
      <c r="EC9" s="154" t="str">
        <f t="shared" si="2"/>
        <v/>
      </c>
      <c r="ED9" s="154" t="str">
        <f>IFERROR(GETPIVOTDATA("[Measures].["&amp;A_Budget1!$AL$7&amp;"]",A_Budget1!$AJ$7,"[Budget1Data].[Cat_2]","[Budget1Data].[Cat_2].&amp;["&amp;A_Budget1!$AJ$8&amp;"]","[Budget1Data].[Cat_3]","[Budget1Data].[Cat_3].&amp;["&amp;EB9&amp;"]"),"")</f>
        <v/>
      </c>
      <c r="EE9" s="139" t="str">
        <f>IFERROR(GETPIVOTDATA("[Measures].["&amp;A_Budget1!$AK$7&amp;"]",A_Budget1!$AJ$7,"[Budget1Data].[Cat_2]","[Budget1Data].[Cat_2].&amp;["&amp;A_Budget1!$AJ$8&amp;"]","[Budget1Data].[Cat_3]","[Budget1Data].[Cat_3].&amp;["&amp;EB9&amp;"]")/GETPIVOTDATA("[Measures].[Sum of Montant_Extrap 3]",A_Budget1!$AF$7,"[Budget1Data].[Cat_2]","[Budget1Data].[Cat_2].&amp;["&amp;WB_Data!$J$2&amp;"]"),"")</f>
        <v/>
      </c>
      <c r="EF9" s="105" t="str">
        <f>IFERROR(GETPIVOTDATA("[Measures].["&amp;A_Budget1!$AK$7&amp;"]",A_Budget1!$AJ$7,"[Budget1Data].[Cat_2]","[Budget1Data].[Cat_2].&amp;["&amp;A_Budget1!$AJ$8&amp;"]","[Budget1Data].[Cat_3]","[Budget1Data].[Cat_3].&amp;["&amp;EB9&amp;"]"),"")</f>
        <v/>
      </c>
      <c r="EL9" s="166">
        <f ca="1">IFERROR(GETPIVOTDATA("[Measures].["&amp;A_Budget1!$AS$7&amp;"]",A_Budget1!$AQ$7,"[Budget1Data].[Cat_3]","[Budget1Data].[Cat_3].&amp;["&amp;ControlChart_Budget1!$ER$1&amp;"]","[Budget1Data].[Mois (Month)]","[Budget1Data].[Mois (Month)].&amp;["&amp;EV9&amp;"]","[Budget1Data].[Mois (Year)]","[Budget1Data].[Mois (Year)].&amp;["&amp;$EL$1&amp;"]"),0)</f>
        <v>0</v>
      </c>
      <c r="EM9" s="165">
        <f ca="1">IFERROR(IF($EN$1=1,0,GETPIVOTDATA("[Measures].["&amp;A_Budget1!$AS$7&amp;"]",A_Budget1!$AQ$7,"[Budget1Data].[Cat_3]","[Budget1Data].[Cat_3].&amp;["&amp;ControlChart_Budget1!$ER$1&amp;"]","[Budget1Data].[Mois (Month)]","[Budget1Data].[Mois (Month)].&amp;["&amp;EV9&amp;"]","[Budget1Data].[Mois (Year)]","[Budget1Data].[Mois (Year)].&amp;["&amp;$EM$1&amp;"]")),0)</f>
        <v>0</v>
      </c>
      <c r="EN9" s="139">
        <f ca="1">IFERROR(GETPIVOTDATA("[Measures].["&amp;A_Budget1!$AT$7&amp;"]",A_Budget1!$AQ$7,"[Budget1Data].[Cat_3]","[Budget1Data].[Cat_3].&amp;["&amp;ControlChart_Budget1!$ER$1&amp;"]","[Budget1Data].[Mois (Month)]","[Budget1Data].[Mois (Month)].&amp;["&amp;EV9&amp;"]","[Budget1Data].[Mois (Year)]","[Budget1Data].[Mois (Year)].&amp;["&amp;$EL$1&amp;"]"),0)</f>
        <v>0</v>
      </c>
      <c r="EO9" s="139">
        <f ca="1">IFERROR(IF($EN$1=1,0,GETPIVOTDATA("[Measures].["&amp;A_Budget1!$AT$7&amp;"]",A_Budget1!$AQ$7,"[Budget1Data].[Cat_3]","[Budget1Data].[Cat_3].&amp;["&amp;ControlChart_Budget1!$ER$1&amp;"]","[Budget1Data].[Mois (Month)]","[Budget1Data].[Mois (Month)].&amp;["&amp;EV9&amp;"]","[Budget1Data].[Mois (Year)]","[Budget1Data].[Mois (Year)].&amp;["&amp;$EM$1&amp;"]")),0)</f>
        <v>0</v>
      </c>
      <c r="EP9" s="167">
        <f ca="1">IFERROR(GETPIVOTDATA("[Measures].["&amp;A_Budget1!$AU$7&amp;"]",A_Budget1!$AQ$7,"[Budget1Data].[Cat_3]","[Budget1Data].[Cat_3].&amp;["&amp;ControlChart_Budget1!$ER$1&amp;"]","[Budget1Data].[Mois (Month)]","[Budget1Data].[Mois (Month)].&amp;["&amp;EV9&amp;"]","[Budget1Data].[Mois (Year)]","[Budget1Data].[Mois (Year)].&amp;["&amp;$EL$1&amp;"]"),0)</f>
        <v>0</v>
      </c>
      <c r="EQ9" s="167">
        <f ca="1">IFERROR(IF($EN$1=1,0,GETPIVOTDATA("[Measures].["&amp;A_Budget1!$AU$7&amp;"]",A_Budget1!$AQ$7,"[Budget1Data].[Cat_3]","[Budget1Data].[Cat_3].&amp;["&amp;ControlChart_Budget1!$ER$1&amp;"]","[Budget1Data].[Mois (Month)]","[Budget1Data].[Mois (Month)].&amp;["&amp;EV9&amp;"]","[Budget1Data].[Mois (Year)]","[Budget1Data].[Mois (Year)].&amp;["&amp;$EM$1&amp;"]")),0)</f>
        <v>0</v>
      </c>
      <c r="ER9" s="9" t="str">
        <f>IFERROR(IF(A_Budget1!AR16=0,"",A_Budget1!AR16),"")</f>
        <v/>
      </c>
      <c r="ES9" s="312">
        <f t="shared" ca="1" si="3"/>
        <v>0</v>
      </c>
      <c r="ET9" s="313">
        <f t="shared" ca="1" si="4"/>
        <v>0</v>
      </c>
      <c r="EU9" s="314">
        <f t="shared" ca="1" si="5"/>
        <v>0</v>
      </c>
      <c r="EV9" t="str">
        <f ca="1">IFERROR(VLOOKUP(ER9,Library!$R$18:$S$29,2,FALSE),Library!S25)</f>
        <v>août</v>
      </c>
      <c r="EY9" s="168"/>
      <c r="EZ9" s="168"/>
      <c r="FA9" s="168"/>
      <c r="FB9" s="168"/>
      <c r="FC9" s="168"/>
      <c r="FD9" s="168"/>
      <c r="FE9" t="str">
        <f t="shared" si="16"/>
        <v/>
      </c>
      <c r="FF9" s="105" t="e">
        <f>GETPIVOTDATA("[Measures].[ABSMontantE]",A_Budget1!$AF$32,"[Budget1Data].[Cat_2]","[Budget1Data].[Cat_2].&amp;["&amp;ControlChart_Budget1!FH8&amp;"]")</f>
        <v>#REF!</v>
      </c>
      <c r="FG9" s="172" t="e">
        <f>GETPIVOTDATA("[Measures].[ABS_LastM]",A_Budget1!$AF$32,"[Budget1Data].[Cat_2]","[Budget1Data].[Cat_2].&amp;["&amp;ControlChart_Budget1!FH8&amp;"]")</f>
        <v>#REF!</v>
      </c>
      <c r="FH9">
        <f>A_Budget1!AF41</f>
        <v>0</v>
      </c>
      <c r="FI9" s="174">
        <f t="shared" si="6"/>
        <v>0</v>
      </c>
      <c r="FJ9" s="175">
        <f t="shared" si="7"/>
        <v>0</v>
      </c>
      <c r="FK9" cm="1">
        <f t="array" ref="FK9">IFERROR(INDEX($FH$1:$FH$18,SMALL(IF($FI$1:$FI$18=FL9,ROW($FI$1:$FI$18)),COUNTIF($FL$1:FL9,FL9))),"")</f>
        <v>0</v>
      </c>
      <c r="FL9" s="174">
        <f t="shared" si="8"/>
        <v>0</v>
      </c>
      <c r="FM9" s="176">
        <f t="shared" si="9"/>
        <v>0</v>
      </c>
      <c r="FN9" t="str" cm="1">
        <f t="array" ref="FN9">_xlfn.IFS(FK9=0,"",FK9=$A$1,"",FK9&lt;&gt;"",FK9)</f>
        <v/>
      </c>
      <c r="FO9" t="str">
        <f t="shared" si="10"/>
        <v/>
      </c>
      <c r="FP9" s="177" t="str">
        <f t="shared" si="11"/>
        <v/>
      </c>
      <c r="FQ9" s="178" t="str">
        <f t="shared" si="12"/>
        <v/>
      </c>
    </row>
    <row r="10" spans="1:173" x14ac:dyDescent="0.25">
      <c r="C10" s="118" t="str">
        <f>A_Budget1!T15</f>
        <v>Category7</v>
      </c>
      <c r="D10" s="116">
        <f>GETPIVOTDATA("[Measures].[ABSMontantE]",A_Budget1!$T$8,"[Budget1Data].[Cat_2]","[Budget1Data].[Cat_2].&amp;["&amp;ControlChart_Budget1!C10&amp;"]")</f>
        <v>0.14285714285714277</v>
      </c>
      <c r="E10" s="212">
        <v>3</v>
      </c>
      <c r="F10" s="5">
        <f t="shared" si="30"/>
        <v>22</v>
      </c>
      <c r="G10" cm="1">
        <f t="array" ref="G10">_xlfn.IFS(ROW(G10)&gt;$G$6,2,I10&lt;&gt;($I$6+1),COUNT(1))</f>
        <v>2</v>
      </c>
      <c r="H10" cm="1">
        <f t="array" ref="H10">_xlfn.IFS(ISNA(G10),"",G10=1,COUNTIF($G$7:G10,1),G10=2,COUNTIF($G$7:G10,2))</f>
        <v>2</v>
      </c>
      <c r="I10" s="5" t="str">
        <v>Grand Total</v>
      </c>
      <c r="J10" s="5">
        <v>4.0000000000000001E-3</v>
      </c>
      <c r="K10" s="5">
        <v>4.0000000000000002E-4</v>
      </c>
      <c r="L10" s="5">
        <v>4.0000000000000001E-3</v>
      </c>
      <c r="M10" s="5">
        <v>4.0000000000000002E-4</v>
      </c>
      <c r="N10" s="5">
        <v>4.0000000000000001E-3</v>
      </c>
      <c r="O10" s="5">
        <v>4.0000000000000002E-4</v>
      </c>
      <c r="P10" s="5">
        <v>4.0000000000000001E-3</v>
      </c>
      <c r="Q10" s="5">
        <v>4.0000000000000002E-4</v>
      </c>
      <c r="R10" s="5">
        <v>4.0000000000000001E-3</v>
      </c>
      <c r="S10" s="5">
        <v>4.0000000000000002E-4</v>
      </c>
      <c r="T10" s="5">
        <v>4.0000000000000001E-3</v>
      </c>
      <c r="U10" s="5">
        <v>4.0000000000000002E-4</v>
      </c>
      <c r="V10" s="5">
        <v>4.0000000000000001E-3</v>
      </c>
      <c r="W10" s="5">
        <v>4.0000000000000002E-4</v>
      </c>
      <c r="X10" s="5">
        <v>2.8000000000000018E-2</v>
      </c>
      <c r="Y10" s="5">
        <v>2.7999999999999991E-3</v>
      </c>
      <c r="AA10">
        <f t="shared" si="18"/>
        <v>3</v>
      </c>
      <c r="AB10" s="195">
        <f>IF(OR(AA10=1,AA10=3),AQ$42,0)</f>
        <v>2E-3</v>
      </c>
      <c r="AC10" s="196">
        <f>IF(OR(AA10=1,AA10=3),0,IF(AJ10&lt;&gt;"",AQ$42/$AC$15,0))</f>
        <v>0</v>
      </c>
      <c r="AD10" s="200" t="str">
        <f>IF(OR($AA10=1,AA10=3),AQ$81,0)</f>
        <v/>
      </c>
      <c r="AE10" s="201">
        <f>IF(OR($AA10=1,AA10=3),0,IF($AJ10&lt;&gt;"",AQ$81/AE$15,0))</f>
        <v>0</v>
      </c>
      <c r="AF10" s="37">
        <f>IF(OR($AA10=1,AA10=3),AQ$117,0)</f>
        <v>0</v>
      </c>
      <c r="AG10" s="197">
        <f>IF(OR($AA10=1,AA10=3),0,IF($AJ10&lt;&gt;"",AQ$117/AG$15,0))</f>
        <v>0</v>
      </c>
      <c r="AH10" s="199">
        <f>IF(OR($AA10=1,AA10=3),AQ$150,0)</f>
        <v>0</v>
      </c>
      <c r="AI10" s="199">
        <f>IF(OR($AA10=1,AA10=3),0,IF($AJ10&lt;&gt;"",AQ$150/AI$15,0))</f>
        <v>0</v>
      </c>
      <c r="AJ10" s="120" t="str">
        <f>IF(ISBLANK($C$10),"",$C$10)</f>
        <v>Category7</v>
      </c>
      <c r="AK10" s="120">
        <f t="shared" si="19"/>
        <v>0</v>
      </c>
      <c r="AL10" s="120">
        <f t="shared" si="20"/>
        <v>0</v>
      </c>
      <c r="AM10" s="120">
        <f t="shared" si="21"/>
        <v>0</v>
      </c>
      <c r="AN10" s="120">
        <f t="shared" si="22"/>
        <v>0</v>
      </c>
      <c r="AO10" s="120">
        <f t="shared" si="23"/>
        <v>0</v>
      </c>
      <c r="AP10" s="120">
        <f t="shared" si="24"/>
        <v>0</v>
      </c>
      <c r="AQ10" s="120">
        <f t="shared" si="25"/>
        <v>0</v>
      </c>
      <c r="AR10" s="202">
        <f t="shared" si="26"/>
        <v>0</v>
      </c>
      <c r="CL10" s="38">
        <f t="shared" ref="CL10:CR10" si="34">AK$79</f>
        <v>0</v>
      </c>
      <c r="CM10" s="38">
        <f t="shared" si="34"/>
        <v>0</v>
      </c>
      <c r="CN10" s="38">
        <f t="shared" si="34"/>
        <v>0</v>
      </c>
      <c r="CO10" s="38">
        <f t="shared" si="34"/>
        <v>0</v>
      </c>
      <c r="CP10" s="38">
        <f t="shared" si="34"/>
        <v>0</v>
      </c>
      <c r="CQ10" s="38">
        <f t="shared" si="34"/>
        <v>0</v>
      </c>
      <c r="CR10" s="38">
        <f t="shared" si="34"/>
        <v>0</v>
      </c>
      <c r="CS10" s="40">
        <f t="shared" si="28"/>
        <v>0</v>
      </c>
      <c r="CX10" s="5"/>
      <c r="CY10" s="9" t="str" cm="1">
        <f t="array" ref="CY10">_xlfn.IFS(DB5&lt;=1,CY6,DB5&lt;=1.1,CY7,DB5&lt;=1.2,CY8,DB5&lt;=1.4,CY9,DB5&gt;1.4,CY9)</f>
        <v>Good</v>
      </c>
      <c r="CZ10" s="9"/>
      <c r="DA10" s="126">
        <f>SUM(DA5:DA9)</f>
        <v>1.6</v>
      </c>
      <c r="DB10" s="9"/>
      <c r="DC10" s="5"/>
      <c r="DD10" s="5"/>
      <c r="DE10" s="5"/>
      <c r="DN10" s="9" t="str">
        <f t="shared" si="14"/>
        <v/>
      </c>
      <c r="DO10" s="9" t="str" cm="1">
        <f t="array" ref="DO10">_xlfn.IFS(RIGHT(A_Budget1!AJ18,5)="Total","",A_Budget1!AJ18="","",A_Budget1!AJ18&lt;&gt;"",A_Budget1!AJ18)</f>
        <v/>
      </c>
      <c r="DP10" s="9" t="str">
        <f>IFERROR(GETPIVOTDATA("[Measures].["&amp;A_Budget1!$AK$7&amp;"]",A_Budget1!$AJ$7,"[Budget1Data].[Cat_2]","[Budget1Data].[Cat_2].&amp;["&amp;A_Budget1!$AJ$8&amp;"]","[Budget1Data].[Cat_3]","[Budget1Data].[Cat_3].&amp;["&amp;DO10&amp;"]")/GETPIVOTDATA("[Measures].[Sum of Montant_Extrap 3]",A_Budget1!$AF$7,"[Budget1Data].[Cat_2]","[Budget1Data].[Cat_2].&amp;["&amp;WB_Data!$J$2&amp;"]"),"")</f>
        <v/>
      </c>
      <c r="DQ10" s="9" t="str" cm="1">
        <f t="array" ref="DQ10">IFERROR(INDEX($DO$1:$DO$16,SMALL(IF($DP$1:$DP$16=DR10,ROW($DP$1:$DP$16)),COUNTIF($DR$1:DR10,DR10))),"")</f>
        <v/>
      </c>
      <c r="DR10" s="104" t="str">
        <f t="shared" si="1"/>
        <v/>
      </c>
      <c r="DS10" s="103" t="str">
        <f>IFERROR(GETPIVOTDATA("[Measures].["&amp;A_Budget1!$AK$7&amp;"]",A_Budget1!$AJ$7,"[Budget1Data].[Cat_2]","[Budget1Data].[Cat_2].&amp;["&amp;A_Budget1!$AJ$8&amp;"]","[Budget1Data].[Cat_3]","[Budget1Data].[Cat_3].&amp;["&amp;DQ10&amp;"]"),"")</f>
        <v/>
      </c>
      <c r="DT10" s="154" t="str">
        <f>IFERROR(GETPIVOTDATA("[Measures].["&amp;A_Budget1!$AL$7&amp;"]",A_Budget1!$AJ$7,"[Budget1Data].[Cat_2]","[Budget1Data].[Cat_2].&amp;["&amp;A_Budget1!$AJ$8&amp;"]","[Budget1Data].[Cat_3]","[Budget1Data].[Cat_3].&amp;["&amp;DQ10&amp;"]")/GETPIVOTDATA("[Measures].[Sum of Last_Montant]",A_Budget1!$AF$7,"[Budget1Data].[Cat_2]","[Budget1Data].[Cat_2].&amp;["&amp;WB_Data!$J$2&amp;"]"),"")</f>
        <v/>
      </c>
      <c r="DU10" s="155" t="str">
        <f>IFERROR(GETPIVOTDATA("[Measures].["&amp;A_Budget1!$AL$7&amp;"]",A_Budget1!$AJ$7,"[Budget1Data].[Cat_2]","[Budget1Data].[Cat_2].&amp;["&amp;A_Budget1!$AJ$8&amp;"]","[Budget1Data].[Cat_3]","[Budget1Data].[Cat_3].&amp;["&amp;DQ10&amp;"]"),"")</f>
        <v/>
      </c>
      <c r="DV10" s="9" t="str">
        <f t="shared" si="0"/>
        <v/>
      </c>
      <c r="DW10" s="9"/>
      <c r="DX10" s="9"/>
      <c r="DY10" s="97" t="str">
        <f t="shared" si="15"/>
        <v/>
      </c>
      <c r="DZ10" s="9" t="str" cm="1">
        <f t="array" ref="DZ10">_xlfn.IFS(RIGHT(A_Budget1!AJ18,5)="Total","",A_Budget1!AJ18="","",A_Budget1!AJ18&lt;&gt;"",A_Budget1!AJ18)</f>
        <v/>
      </c>
      <c r="EA10" s="9" t="str">
        <f>IFERROR(GETPIVOTDATA("[Measures].["&amp;A_Budget1!$AL$7&amp;"]",A_Budget1!$AJ$7,"[Budget1Data].[Cat_2]","[Budget1Data].[Cat_2].&amp;["&amp;A_Budget1!$AJ$8&amp;"]","[Budget1Data].[Cat_3]","[Budget1Data].[Cat_3].&amp;["&amp;DZ10&amp;"]")/GETPIVOTDATA("[Measures].[Sum of Last_Montant]",A_Budget1!$AF$7,"[Budget1Data].[Cat_2]","[Budget1Data].[Cat_2].&amp;["&amp;WB_Data!$J$2&amp;"]"),"")</f>
        <v/>
      </c>
      <c r="EB10" s="9" t="str" cm="1">
        <f t="array" ref="EB10">IFERROR(INDEX($DZ$1:$DZ$16,SMALL(IF($EA$1:$EA$16=EC10,ROW($EA$1:$EA$16)),COUNTIF($EC$1:EC10,EC10))),"")</f>
        <v/>
      </c>
      <c r="EC10" s="154" t="str">
        <f t="shared" si="2"/>
        <v/>
      </c>
      <c r="ED10" s="154" t="str">
        <f>IFERROR(GETPIVOTDATA("[Measures].["&amp;A_Budget1!$AL$7&amp;"]",A_Budget1!$AJ$7,"[Budget1Data].[Cat_2]","[Budget1Data].[Cat_2].&amp;["&amp;A_Budget1!$AJ$8&amp;"]","[Budget1Data].[Cat_3]","[Budget1Data].[Cat_3].&amp;["&amp;EB10&amp;"]"),"")</f>
        <v/>
      </c>
      <c r="EE10" s="139" t="str">
        <f>IFERROR(GETPIVOTDATA("[Measures].["&amp;A_Budget1!$AK$7&amp;"]",A_Budget1!$AJ$7,"[Budget1Data].[Cat_2]","[Budget1Data].[Cat_2].&amp;["&amp;A_Budget1!$AJ$8&amp;"]","[Budget1Data].[Cat_3]","[Budget1Data].[Cat_3].&amp;["&amp;EB10&amp;"]")/GETPIVOTDATA("[Measures].[Sum of Montant_Extrap 3]",A_Budget1!$AF$7,"[Budget1Data].[Cat_2]","[Budget1Data].[Cat_2].&amp;["&amp;WB_Data!$J$2&amp;"]"),"")</f>
        <v/>
      </c>
      <c r="EF10" s="105" t="str">
        <f>IFERROR(GETPIVOTDATA("[Measures].["&amp;A_Budget1!$AK$7&amp;"]",A_Budget1!$AJ$7,"[Budget1Data].[Cat_2]","[Budget1Data].[Cat_2].&amp;["&amp;A_Budget1!$AJ$8&amp;"]","[Budget1Data].[Cat_3]","[Budget1Data].[Cat_3].&amp;["&amp;EB10&amp;"]"),"")</f>
        <v/>
      </c>
      <c r="EL10" s="166">
        <f ca="1">IFERROR(GETPIVOTDATA("[Measures].["&amp;A_Budget1!$AS$7&amp;"]",A_Budget1!$AQ$7,"[Budget1Data].[Cat_3]","[Budget1Data].[Cat_3].&amp;["&amp;ControlChart_Budget1!$ER$1&amp;"]","[Budget1Data].[Mois (Month)]","[Budget1Data].[Mois (Month)].&amp;["&amp;EV10&amp;"]","[Budget1Data].[Mois (Year)]","[Budget1Data].[Mois (Year)].&amp;["&amp;$EL$1&amp;"]"),0)</f>
        <v>0</v>
      </c>
      <c r="EM10" s="165">
        <f ca="1">IFERROR(IF($EN$1=1,0,GETPIVOTDATA("[Measures].["&amp;A_Budget1!$AS$7&amp;"]",A_Budget1!$AQ$7,"[Budget1Data].[Cat_3]","[Budget1Data].[Cat_3].&amp;["&amp;ControlChart_Budget1!$ER$1&amp;"]","[Budget1Data].[Mois (Month)]","[Budget1Data].[Mois (Month)].&amp;["&amp;EV10&amp;"]","[Budget1Data].[Mois (Year)]","[Budget1Data].[Mois (Year)].&amp;["&amp;$EM$1&amp;"]")),0)</f>
        <v>0</v>
      </c>
      <c r="EN10" s="139">
        <f ca="1">IFERROR(GETPIVOTDATA("[Measures].["&amp;A_Budget1!$AT$7&amp;"]",A_Budget1!$AQ$7,"[Budget1Data].[Cat_3]","[Budget1Data].[Cat_3].&amp;["&amp;ControlChart_Budget1!$ER$1&amp;"]","[Budget1Data].[Mois (Month)]","[Budget1Data].[Mois (Month)].&amp;["&amp;EV10&amp;"]","[Budget1Data].[Mois (Year)]","[Budget1Data].[Mois (Year)].&amp;["&amp;$EL$1&amp;"]"),0)</f>
        <v>0</v>
      </c>
      <c r="EO10" s="139">
        <f ca="1">IFERROR(IF($EN$1=1,0,GETPIVOTDATA("[Measures].["&amp;A_Budget1!$AT$7&amp;"]",A_Budget1!$AQ$7,"[Budget1Data].[Cat_3]","[Budget1Data].[Cat_3].&amp;["&amp;ControlChart_Budget1!$ER$1&amp;"]","[Budget1Data].[Mois (Month)]","[Budget1Data].[Mois (Month)].&amp;["&amp;EV10&amp;"]","[Budget1Data].[Mois (Year)]","[Budget1Data].[Mois (Year)].&amp;["&amp;$EM$1&amp;"]")),0)</f>
        <v>0</v>
      </c>
      <c r="EP10" s="167">
        <f ca="1">IFERROR(GETPIVOTDATA("[Measures].["&amp;A_Budget1!$AU$7&amp;"]",A_Budget1!$AQ$7,"[Budget1Data].[Cat_3]","[Budget1Data].[Cat_3].&amp;["&amp;ControlChart_Budget1!$ER$1&amp;"]","[Budget1Data].[Mois (Month)]","[Budget1Data].[Mois (Month)].&amp;["&amp;EV10&amp;"]","[Budget1Data].[Mois (Year)]","[Budget1Data].[Mois (Year)].&amp;["&amp;$EL$1&amp;"]"),0)</f>
        <v>0</v>
      </c>
      <c r="EQ10" s="167">
        <f ca="1">IFERROR(IF($EN$1=1,0,GETPIVOTDATA("[Measures].["&amp;A_Budget1!$AU$7&amp;"]",A_Budget1!$AQ$7,"[Budget1Data].[Cat_3]","[Budget1Data].[Cat_3].&amp;["&amp;ControlChart_Budget1!$ER$1&amp;"]","[Budget1Data].[Mois (Month)]","[Budget1Data].[Mois (Month)].&amp;["&amp;EV10&amp;"]","[Budget1Data].[Mois (Year)]","[Budget1Data].[Mois (Year)].&amp;["&amp;$EM$1&amp;"]")),0)</f>
        <v>0</v>
      </c>
      <c r="ER10" s="9" t="str">
        <f>IFERROR(IF(A_Budget1!AR17=0,"",A_Budget1!AR17),"")</f>
        <v/>
      </c>
      <c r="ES10" s="312">
        <f t="shared" ca="1" si="3"/>
        <v>0</v>
      </c>
      <c r="ET10" s="313">
        <f t="shared" ca="1" si="4"/>
        <v>0</v>
      </c>
      <c r="EU10" s="314">
        <f t="shared" ca="1" si="5"/>
        <v>0</v>
      </c>
      <c r="EV10" t="str">
        <f ca="1">IFERROR(VLOOKUP(ER10,Library!$R$18:$S$29,2,FALSE),Library!S26)</f>
        <v>sept</v>
      </c>
      <c r="EY10" s="168"/>
      <c r="EZ10" s="168"/>
      <c r="FA10" s="168"/>
      <c r="FB10" s="168"/>
      <c r="FC10" s="168"/>
      <c r="FD10" s="168"/>
      <c r="FE10" t="str">
        <f t="shared" si="16"/>
        <v/>
      </c>
      <c r="FF10" s="105" t="e">
        <f>GETPIVOTDATA("[Measures].[ABSMontantE]",A_Budget1!$AF$32,"[Budget1Data].[Cat_2]","[Budget1Data].[Cat_2].&amp;["&amp;ControlChart_Budget1!FH9&amp;"]")</f>
        <v>#REF!</v>
      </c>
      <c r="FG10" s="172" t="e">
        <f>GETPIVOTDATA("[Measures].[ABS_LastM]",A_Budget1!$AF$32,"[Budget1Data].[Cat_2]","[Budget1Data].[Cat_2].&amp;["&amp;ControlChart_Budget1!FH9&amp;"]")</f>
        <v>#REF!</v>
      </c>
      <c r="FH10">
        <f>A_Budget1!AF42</f>
        <v>0</v>
      </c>
      <c r="FI10" s="174">
        <f t="shared" si="6"/>
        <v>0</v>
      </c>
      <c r="FJ10" s="175">
        <f t="shared" si="7"/>
        <v>0</v>
      </c>
      <c r="FK10" cm="1">
        <f t="array" ref="FK10">IFERROR(INDEX($FH$1:$FH$18,SMALL(IF($FI$1:$FI$18=FL10,ROW($FI$1:$FI$18)),COUNTIF($FL$1:FL10,FL10))),"")</f>
        <v>0</v>
      </c>
      <c r="FL10" s="174">
        <f t="shared" si="8"/>
        <v>0</v>
      </c>
      <c r="FM10" s="176">
        <f t="shared" si="9"/>
        <v>0</v>
      </c>
      <c r="FN10" t="str" cm="1">
        <f t="array" ref="FN10">_xlfn.IFS(FK10=0,"",FK10=$A$1,"",FK10&lt;&gt;"",FK10)</f>
        <v/>
      </c>
      <c r="FO10" t="str">
        <f t="shared" si="10"/>
        <v/>
      </c>
      <c r="FP10" s="177" t="str">
        <f t="shared" si="11"/>
        <v/>
      </c>
      <c r="FQ10" s="178" t="str">
        <f t="shared" si="12"/>
        <v/>
      </c>
    </row>
    <row r="11" spans="1:173" x14ac:dyDescent="0.25">
      <c r="C11" s="118"/>
      <c r="D11" s="116"/>
      <c r="E11" s="9"/>
      <c r="F11" s="5">
        <f t="shared" si="30"/>
        <v>23</v>
      </c>
      <c r="G11" cm="1">
        <f t="array" ref="G11">_xlfn.IFS(ROW(G11)&gt;$G$6,2,I11&lt;&gt;($I$6+1),COUNT(1))</f>
        <v>2</v>
      </c>
      <c r="H11" cm="1">
        <f t="array" ref="H11">_xlfn.IFS(ISNA(G11),"",G11=1,COUNTIF($G$7:G11,1),G11=2,COUNTIF($G$7:G11,2))</f>
        <v>3</v>
      </c>
      <c r="I11" s="5">
        <v>0</v>
      </c>
      <c r="J11" s="5">
        <v>0</v>
      </c>
      <c r="K11" s="5">
        <v>0</v>
      </c>
      <c r="L11" s="5">
        <v>0</v>
      </c>
      <c r="M11" s="5">
        <v>0</v>
      </c>
      <c r="N11" s="5">
        <v>0</v>
      </c>
      <c r="O11" s="5">
        <v>0</v>
      </c>
      <c r="P11" s="5">
        <v>0</v>
      </c>
      <c r="Q11" s="5">
        <v>0</v>
      </c>
      <c r="R11" s="5">
        <v>0</v>
      </c>
      <c r="S11" s="5">
        <v>0</v>
      </c>
      <c r="T11" s="5">
        <v>0</v>
      </c>
      <c r="U11" s="5">
        <v>0</v>
      </c>
      <c r="V11" s="5">
        <v>0</v>
      </c>
      <c r="W11" s="5">
        <v>0</v>
      </c>
      <c r="X11" s="5">
        <v>0</v>
      </c>
      <c r="Y11" s="5">
        <v>0</v>
      </c>
      <c r="AA11" t="str">
        <f t="shared" si="18"/>
        <v/>
      </c>
      <c r="AB11" s="195">
        <f>IF(OR(AA11=1,AA11=3),0,0)</f>
        <v>0</v>
      </c>
      <c r="AC11" s="196">
        <f>IF(OR(AA11=1,AA11=3),0,IF(AJ11&lt;&gt;"",0,0))</f>
        <v>0</v>
      </c>
      <c r="AD11" s="200">
        <f>IF(OR($AA11=1,AA11=3),0,0)</f>
        <v>0</v>
      </c>
      <c r="AE11" s="201">
        <f>IF(OR($AA11=1,AA11=3),0,IF($AJ11&lt;&gt;"",0,0))</f>
        <v>0</v>
      </c>
      <c r="AF11" s="37">
        <f>IF(OR($AA11=1,AA11=3),0,0)</f>
        <v>0</v>
      </c>
      <c r="AG11" s="197">
        <f>IF(OR($AA11=1,AA11=3),0,IF($AJ11&lt;&gt;"",0,0))</f>
        <v>0</v>
      </c>
      <c r="AH11" s="199">
        <f>IF(OR($AA11=1,AA11=3),0,0)</f>
        <v>0</v>
      </c>
      <c r="AI11" s="199">
        <f>IF(OR($AA11=1,AA11=3),0,IF($AJ11&lt;&gt;"",0,0))</f>
        <v>0</v>
      </c>
      <c r="AJ11" s="120" t="str">
        <f>IF(ISBLANK($C$11),"",$C$11)</f>
        <v/>
      </c>
      <c r="AK11" s="120">
        <f t="shared" si="19"/>
        <v>0</v>
      </c>
      <c r="AL11" s="120">
        <f t="shared" si="20"/>
        <v>0</v>
      </c>
      <c r="AM11" s="120">
        <f t="shared" si="21"/>
        <v>0</v>
      </c>
      <c r="AN11" s="120">
        <f t="shared" si="22"/>
        <v>0</v>
      </c>
      <c r="AO11" s="120">
        <f t="shared" si="23"/>
        <v>0</v>
      </c>
      <c r="AP11" s="120">
        <f t="shared" si="24"/>
        <v>0</v>
      </c>
      <c r="AQ11" s="120">
        <f t="shared" si="25"/>
        <v>0</v>
      </c>
      <c r="AR11" s="202">
        <f t="shared" si="26"/>
        <v>0</v>
      </c>
      <c r="CL11" s="38">
        <f t="shared" ref="CL11:CR11" si="35">AK$115</f>
        <v>0</v>
      </c>
      <c r="CM11" s="38">
        <f t="shared" si="35"/>
        <v>0</v>
      </c>
      <c r="CN11" s="38">
        <f t="shared" si="35"/>
        <v>0</v>
      </c>
      <c r="CO11" s="38">
        <f t="shared" si="35"/>
        <v>0</v>
      </c>
      <c r="CP11" s="38">
        <f t="shared" si="35"/>
        <v>0</v>
      </c>
      <c r="CQ11" s="38">
        <f t="shared" si="35"/>
        <v>0</v>
      </c>
      <c r="CR11" s="38">
        <f t="shared" si="35"/>
        <v>0</v>
      </c>
      <c r="CS11" s="40">
        <f t="shared" si="28"/>
        <v>0</v>
      </c>
      <c r="DA11" s="114"/>
      <c r="DD11" s="5"/>
      <c r="DE11" s="5"/>
      <c r="DN11" s="9" t="str">
        <f t="shared" si="14"/>
        <v/>
      </c>
      <c r="DO11" s="9" t="str" cm="1">
        <f t="array" ref="DO11">_xlfn.IFS(RIGHT(A_Budget1!AJ19,5)="Total","",A_Budget1!AJ19="","",A_Budget1!AJ19&lt;&gt;"",A_Budget1!AJ19)</f>
        <v/>
      </c>
      <c r="DP11" s="9" t="str">
        <f>IFERROR(GETPIVOTDATA("[Measures].["&amp;A_Budget1!$AK$7&amp;"]",A_Budget1!$AJ$7,"[Budget1Data].[Cat_2]","[Budget1Data].[Cat_2].&amp;["&amp;A_Budget1!$AJ$8&amp;"]","[Budget1Data].[Cat_3]","[Budget1Data].[Cat_3].&amp;["&amp;DO11&amp;"]")/GETPIVOTDATA("[Measures].[Sum of Montant_Extrap 3]",A_Budget1!$AF$7,"[Budget1Data].[Cat_2]","[Budget1Data].[Cat_2].&amp;["&amp;WB_Data!$J$2&amp;"]"),"")</f>
        <v/>
      </c>
      <c r="DQ11" s="9" t="str" cm="1">
        <f t="array" ref="DQ11">IFERROR(INDEX($DO$1:$DO$16,SMALL(IF($DP$1:$DP$16=DR11,ROW($DP$1:$DP$16)),COUNTIF($DR$1:DR11,DR11))),"")</f>
        <v/>
      </c>
      <c r="DR11" s="104" t="str">
        <f t="shared" si="1"/>
        <v/>
      </c>
      <c r="DS11" s="103" t="str">
        <f>IFERROR(GETPIVOTDATA("[Measures].["&amp;A_Budget1!$AK$7&amp;"]",A_Budget1!$AJ$7,"[Budget1Data].[Cat_2]","[Budget1Data].[Cat_2].&amp;["&amp;A_Budget1!$AJ$8&amp;"]","[Budget1Data].[Cat_3]","[Budget1Data].[Cat_3].&amp;["&amp;DQ11&amp;"]"),"")</f>
        <v/>
      </c>
      <c r="DT11" s="154" t="str">
        <f>IFERROR(GETPIVOTDATA("[Measures].["&amp;A_Budget1!$AL$7&amp;"]",A_Budget1!$AJ$7,"[Budget1Data].[Cat_2]","[Budget1Data].[Cat_2].&amp;["&amp;A_Budget1!$AJ$8&amp;"]","[Budget1Data].[Cat_3]","[Budget1Data].[Cat_3].&amp;["&amp;DQ11&amp;"]")/GETPIVOTDATA("[Measures].[Sum of Last_Montant]",A_Budget1!$AF$7,"[Budget1Data].[Cat_2]","[Budget1Data].[Cat_2].&amp;["&amp;WB_Data!$J$2&amp;"]"),"")</f>
        <v/>
      </c>
      <c r="DU11" s="155" t="str">
        <f>IFERROR(GETPIVOTDATA("[Measures].["&amp;A_Budget1!$AL$7&amp;"]",A_Budget1!$AJ$7,"[Budget1Data].[Cat_2]","[Budget1Data].[Cat_2].&amp;["&amp;A_Budget1!$AJ$8&amp;"]","[Budget1Data].[Cat_3]","[Budget1Data].[Cat_3].&amp;["&amp;DQ11&amp;"]"),"")</f>
        <v/>
      </c>
      <c r="DV11" s="9" t="str">
        <f t="shared" si="0"/>
        <v/>
      </c>
      <c r="DW11" s="9"/>
      <c r="DX11" s="9"/>
      <c r="DY11" s="97" t="str">
        <f t="shared" si="15"/>
        <v/>
      </c>
      <c r="DZ11" s="9" t="str" cm="1">
        <f t="array" ref="DZ11">_xlfn.IFS(RIGHT(A_Budget1!AJ19,5)="Total","",A_Budget1!AJ19="","",A_Budget1!AJ19&lt;&gt;"",A_Budget1!AJ19)</f>
        <v/>
      </c>
      <c r="EA11" s="9" t="str">
        <f>IFERROR(GETPIVOTDATA("[Measures].["&amp;A_Budget1!$AL$7&amp;"]",A_Budget1!$AJ$7,"[Budget1Data].[Cat_2]","[Budget1Data].[Cat_2].&amp;["&amp;A_Budget1!$AJ$8&amp;"]","[Budget1Data].[Cat_3]","[Budget1Data].[Cat_3].&amp;["&amp;DZ11&amp;"]")/GETPIVOTDATA("[Measures].[Sum of Last_Montant]",A_Budget1!$AF$7,"[Budget1Data].[Cat_2]","[Budget1Data].[Cat_2].&amp;["&amp;WB_Data!$J$2&amp;"]"),"")</f>
        <v/>
      </c>
      <c r="EB11" s="9" t="str" cm="1">
        <f t="array" ref="EB11">IFERROR(INDEX($DZ$1:$DZ$16,SMALL(IF($EA$1:$EA$16=EC11,ROW($EA$1:$EA$16)),COUNTIF($EC$1:EC11,EC11))),"")</f>
        <v/>
      </c>
      <c r="EC11" s="154" t="str">
        <f t="shared" si="2"/>
        <v/>
      </c>
      <c r="ED11" s="154" t="str">
        <f>IFERROR(GETPIVOTDATA("[Measures].["&amp;A_Budget1!$AL$7&amp;"]",A_Budget1!$AJ$7,"[Budget1Data].[Cat_2]","[Budget1Data].[Cat_2].&amp;["&amp;A_Budget1!$AJ$8&amp;"]","[Budget1Data].[Cat_3]","[Budget1Data].[Cat_3].&amp;["&amp;EB11&amp;"]"),"")</f>
        <v/>
      </c>
      <c r="EE11" s="139" t="str">
        <f>IFERROR(GETPIVOTDATA("[Measures].["&amp;A_Budget1!$AK$7&amp;"]",A_Budget1!$AJ$7,"[Budget1Data].[Cat_2]","[Budget1Data].[Cat_2].&amp;["&amp;A_Budget1!$AJ$8&amp;"]","[Budget1Data].[Cat_3]","[Budget1Data].[Cat_3].&amp;["&amp;EB11&amp;"]")/GETPIVOTDATA("[Measures].[Sum of Montant_Extrap 3]",A_Budget1!$AF$7,"[Budget1Data].[Cat_2]","[Budget1Data].[Cat_2].&amp;["&amp;WB_Data!$J$2&amp;"]"),"")</f>
        <v/>
      </c>
      <c r="EF11" s="105" t="str">
        <f>IFERROR(GETPIVOTDATA("[Measures].["&amp;A_Budget1!$AK$7&amp;"]",A_Budget1!$AJ$7,"[Budget1Data].[Cat_2]","[Budget1Data].[Cat_2].&amp;["&amp;A_Budget1!$AJ$8&amp;"]","[Budget1Data].[Cat_3]","[Budget1Data].[Cat_3].&amp;["&amp;EB11&amp;"]"),"")</f>
        <v/>
      </c>
      <c r="EL11" s="166">
        <f ca="1">IFERROR(GETPIVOTDATA("[Measures].["&amp;A_Budget1!$AS$7&amp;"]",A_Budget1!$AQ$7,"[Budget1Data].[Cat_3]","[Budget1Data].[Cat_3].&amp;["&amp;ControlChart_Budget1!$ER$1&amp;"]","[Budget1Data].[Mois (Month)]","[Budget1Data].[Mois (Month)].&amp;["&amp;EV11&amp;"]","[Budget1Data].[Mois (Year)]","[Budget1Data].[Mois (Year)].&amp;["&amp;$EL$1&amp;"]"),0)</f>
        <v>0</v>
      </c>
      <c r="EM11" s="165">
        <f ca="1">IFERROR(IF($EN$1=1,0,GETPIVOTDATA("[Measures].["&amp;A_Budget1!$AS$7&amp;"]",A_Budget1!$AQ$7,"[Budget1Data].[Cat_3]","[Budget1Data].[Cat_3].&amp;["&amp;ControlChart_Budget1!$ER$1&amp;"]","[Budget1Data].[Mois (Month)]","[Budget1Data].[Mois (Month)].&amp;["&amp;EV11&amp;"]","[Budget1Data].[Mois (Year)]","[Budget1Data].[Mois (Year)].&amp;["&amp;$EM$1&amp;"]")),0)</f>
        <v>0</v>
      </c>
      <c r="EN11" s="139">
        <f ca="1">IFERROR(GETPIVOTDATA("[Measures].["&amp;A_Budget1!$AT$7&amp;"]",A_Budget1!$AQ$7,"[Budget1Data].[Cat_3]","[Budget1Data].[Cat_3].&amp;["&amp;ControlChart_Budget1!$ER$1&amp;"]","[Budget1Data].[Mois (Month)]","[Budget1Data].[Mois (Month)].&amp;["&amp;EV11&amp;"]","[Budget1Data].[Mois (Year)]","[Budget1Data].[Mois (Year)].&amp;["&amp;$EL$1&amp;"]"),0)</f>
        <v>0</v>
      </c>
      <c r="EO11" s="139">
        <f ca="1">IFERROR(IF($EN$1=1,0,GETPIVOTDATA("[Measures].["&amp;A_Budget1!$AT$7&amp;"]",A_Budget1!$AQ$7,"[Budget1Data].[Cat_3]","[Budget1Data].[Cat_3].&amp;["&amp;ControlChart_Budget1!$ER$1&amp;"]","[Budget1Data].[Mois (Month)]","[Budget1Data].[Mois (Month)].&amp;["&amp;EV11&amp;"]","[Budget1Data].[Mois (Year)]","[Budget1Data].[Mois (Year)].&amp;["&amp;$EM$1&amp;"]")),0)</f>
        <v>0</v>
      </c>
      <c r="EP11" s="167">
        <f ca="1">IFERROR(GETPIVOTDATA("[Measures].["&amp;A_Budget1!$AU$7&amp;"]",A_Budget1!$AQ$7,"[Budget1Data].[Cat_3]","[Budget1Data].[Cat_3].&amp;["&amp;ControlChart_Budget1!$ER$1&amp;"]","[Budget1Data].[Mois (Month)]","[Budget1Data].[Mois (Month)].&amp;["&amp;EV11&amp;"]","[Budget1Data].[Mois (Year)]","[Budget1Data].[Mois (Year)].&amp;["&amp;$EL$1&amp;"]"),0)</f>
        <v>0</v>
      </c>
      <c r="EQ11" s="167">
        <f ca="1">IFERROR(IF($EN$1=1,0,GETPIVOTDATA("[Measures].["&amp;A_Budget1!$AU$7&amp;"]",A_Budget1!$AQ$7,"[Budget1Data].[Cat_3]","[Budget1Data].[Cat_3].&amp;["&amp;ControlChart_Budget1!$ER$1&amp;"]","[Budget1Data].[Mois (Month)]","[Budget1Data].[Mois (Month)].&amp;["&amp;EV11&amp;"]","[Budget1Data].[Mois (Year)]","[Budget1Data].[Mois (Year)].&amp;["&amp;$EM$1&amp;"]")),0)</f>
        <v>0</v>
      </c>
      <c r="ER11" s="9" t="str">
        <f>IFERROR(IF(A_Budget1!AR18=0,"",A_Budget1!AR18),"")</f>
        <v/>
      </c>
      <c r="ES11" s="312">
        <f t="shared" ca="1" si="3"/>
        <v>0</v>
      </c>
      <c r="ET11" s="313">
        <f t="shared" ca="1" si="4"/>
        <v>0</v>
      </c>
      <c r="EU11" s="314">
        <f t="shared" ca="1" si="5"/>
        <v>0</v>
      </c>
      <c r="EV11" t="str">
        <f ca="1">IFERROR(VLOOKUP(ER11,Library!$R$18:$S$29,2,FALSE),Library!S27)</f>
        <v>oct</v>
      </c>
      <c r="EY11" s="168"/>
      <c r="EZ11" s="168"/>
      <c r="FA11" s="168"/>
      <c r="FB11" s="168"/>
      <c r="FC11" s="168"/>
      <c r="FD11" s="168"/>
      <c r="FE11" t="str">
        <f t="shared" si="16"/>
        <v/>
      </c>
      <c r="FF11" s="105" t="e">
        <f>GETPIVOTDATA("[Measures].[ABSMontantE]",A_Budget1!$AF$32,"[Budget1Data].[Cat_2]","[Budget1Data].[Cat_2].&amp;["&amp;ControlChart_Budget1!FH10&amp;"]")</f>
        <v>#REF!</v>
      </c>
      <c r="FG11" s="172" t="e">
        <f>GETPIVOTDATA("[Measures].[ABS_LastM]",A_Budget1!$AF$32,"[Budget1Data].[Cat_2]","[Budget1Data].[Cat_2].&amp;["&amp;ControlChart_Budget1!FH10&amp;"]")</f>
        <v>#REF!</v>
      </c>
      <c r="FH11">
        <f>A_Budget1!AF43</f>
        <v>0</v>
      </c>
      <c r="FI11" s="174">
        <f t="shared" si="6"/>
        <v>0</v>
      </c>
      <c r="FJ11" s="175">
        <f t="shared" si="7"/>
        <v>0</v>
      </c>
      <c r="FK11" cm="1">
        <f t="array" ref="FK11">IFERROR(INDEX($FH$1:$FH$18,SMALL(IF($FI$1:$FI$18=FL11,ROW($FI$1:$FI$18)),COUNTIF($FL$1:FL11,FL11))),"")</f>
        <v>0</v>
      </c>
      <c r="FL11" s="174">
        <f t="shared" si="8"/>
        <v>0</v>
      </c>
      <c r="FM11" s="176">
        <f t="shared" si="9"/>
        <v>0</v>
      </c>
      <c r="FN11" t="str" cm="1">
        <f t="array" ref="FN11">_xlfn.IFS(FK11=0,"",FK11=$A$1,"",FK11&lt;&gt;"",FK11)</f>
        <v/>
      </c>
      <c r="FO11" t="str">
        <f t="shared" si="10"/>
        <v/>
      </c>
      <c r="FP11" s="177" t="str">
        <f t="shared" si="11"/>
        <v/>
      </c>
      <c r="FQ11" s="178" t="str">
        <f t="shared" si="12"/>
        <v/>
      </c>
    </row>
    <row r="12" spans="1:173" x14ac:dyDescent="0.25">
      <c r="A12" s="284" t="str">
        <f ca="1">IFERROR(IF($D$17=I17,$D$17,""),"")</f>
        <v/>
      </c>
      <c r="B12" s="8" t="str">
        <f ca="1">IFERROR(IF(AND($E$22=2,A12&lt;&gt;"",H17=$I$6),A12,""),"")</f>
        <v/>
      </c>
      <c r="F12" s="5">
        <f t="shared" si="30"/>
        <v>24</v>
      </c>
      <c r="G12" cm="1">
        <f t="array" ref="G12">_xlfn.IFS(ROW(G12)&gt;$G$6,2,I12&lt;&gt;($I$6+1),COUNT(1))</f>
        <v>2</v>
      </c>
      <c r="H12" cm="1">
        <f t="array" ref="H12">_xlfn.IFS(ISNA(G12),"",G12=1,COUNTIF($G$7:G12,1),G12=2,COUNTIF($G$7:G12,2))</f>
        <v>4</v>
      </c>
      <c r="I12" s="5">
        <v>0</v>
      </c>
      <c r="J12" s="5">
        <v>0</v>
      </c>
      <c r="K12" s="5">
        <v>0</v>
      </c>
      <c r="L12" s="5">
        <v>0</v>
      </c>
      <c r="M12" s="5">
        <v>0</v>
      </c>
      <c r="N12" s="5">
        <v>0</v>
      </c>
      <c r="O12" s="5">
        <v>0</v>
      </c>
      <c r="P12" s="5">
        <v>0</v>
      </c>
      <c r="Q12" s="5">
        <v>0</v>
      </c>
      <c r="R12" s="5">
        <v>0</v>
      </c>
      <c r="S12" s="5">
        <v>0</v>
      </c>
      <c r="T12" s="5">
        <v>0</v>
      </c>
      <c r="U12" s="5">
        <v>0</v>
      </c>
      <c r="V12" s="5">
        <v>0</v>
      </c>
      <c r="W12" s="5">
        <v>0</v>
      </c>
      <c r="X12" s="5">
        <v>0</v>
      </c>
      <c r="Y12" s="5">
        <v>0</v>
      </c>
      <c r="AA12" t="str">
        <f t="shared" si="18"/>
        <v/>
      </c>
      <c r="AB12" s="195">
        <f>IF(OR(AA12=1,AA12=3),0,0)</f>
        <v>0</v>
      </c>
      <c r="AC12" s="196">
        <f>IF(OR(AA12=1,AA12=3),0,IF(AJ12&lt;&gt;"",0,0))</f>
        <v>0</v>
      </c>
      <c r="AD12" s="200">
        <f>IF(OR($AA12=1,AA12=3),0,0)</f>
        <v>0</v>
      </c>
      <c r="AE12" s="201">
        <f>IF(OR($AA12=1,AA12=3),0,IF($AJ12&lt;&gt;"",0,0))</f>
        <v>0</v>
      </c>
      <c r="AF12" s="37">
        <f>IF(OR($AA12=1,AA12=3),0,0)</f>
        <v>0</v>
      </c>
      <c r="AG12" s="197">
        <f>IF(OR($AA12=1,AA12=3),0,IF($AJ12&lt;&gt;"",0,0))</f>
        <v>0</v>
      </c>
      <c r="AH12" s="199">
        <f>IF(OR($AA12=1,AA12=3),0,0)</f>
        <v>0</v>
      </c>
      <c r="AI12" s="199">
        <f>IF(OR($AA12=1,AA12=3),0,IF($AJ12&lt;&gt;"",0,0))</f>
        <v>0</v>
      </c>
      <c r="AJ12" s="120" t="str">
        <f>IF(ISBLANK($C$12),"",$C$12)</f>
        <v/>
      </c>
      <c r="AK12" s="120">
        <f t="shared" si="19"/>
        <v>0</v>
      </c>
      <c r="AL12" s="120">
        <f t="shared" si="20"/>
        <v>0</v>
      </c>
      <c r="AM12" s="120">
        <f t="shared" si="21"/>
        <v>0</v>
      </c>
      <c r="AN12" s="120">
        <f t="shared" si="22"/>
        <v>0</v>
      </c>
      <c r="AO12" s="120">
        <f t="shared" si="23"/>
        <v>0</v>
      </c>
      <c r="AP12" s="120">
        <f t="shared" si="24"/>
        <v>0</v>
      </c>
      <c r="AQ12" s="120">
        <f t="shared" si="25"/>
        <v>0</v>
      </c>
      <c r="AR12" s="202">
        <f t="shared" si="26"/>
        <v>0</v>
      </c>
      <c r="AT12" s="8">
        <f>AT2</f>
        <v>20</v>
      </c>
      <c r="AU12" s="8" t="str">
        <f>CONCATENATE("G17:G"&amp;AT12)</f>
        <v>G17:G20</v>
      </c>
      <c r="AV12" s="9" t="str">
        <f>CONCATENATE("H17:H"&amp;AT12)</f>
        <v>H17:H20</v>
      </c>
      <c r="AW12" s="8" t="str">
        <f>CONCATENATE("I17:I"&amp;AT12)</f>
        <v>I17:I20</v>
      </c>
      <c r="AX12" s="127" t="s">
        <v>105</v>
      </c>
      <c r="AY12" s="129" t="s">
        <v>14</v>
      </c>
      <c r="AZ12" s="9" t="s">
        <v>153</v>
      </c>
      <c r="BA12" s="10" t="s">
        <v>152</v>
      </c>
      <c r="BB12" s="9" t="s">
        <v>154</v>
      </c>
      <c r="BC12" s="133" t="s">
        <v>155</v>
      </c>
      <c r="BD12" s="130" t="s">
        <v>156</v>
      </c>
      <c r="BE12" s="130" t="s">
        <v>151</v>
      </c>
      <c r="BF12" s="130" t="s">
        <v>151</v>
      </c>
      <c r="BG12" s="9" t="s">
        <v>147</v>
      </c>
      <c r="BH12" s="9" t="s">
        <v>148</v>
      </c>
      <c r="BI12" s="9" t="s">
        <v>149</v>
      </c>
      <c r="BJ12" s="130" t="s">
        <v>159</v>
      </c>
      <c r="BK12" s="130" t="s">
        <v>158</v>
      </c>
      <c r="BL12" s="127" t="s">
        <v>157</v>
      </c>
      <c r="BM12" s="132" t="s">
        <v>150</v>
      </c>
      <c r="CL12" s="137">
        <f t="shared" ref="CL12:CR12" si="36">IFERROR(AK$148,NA())</f>
        <v>0</v>
      </c>
      <c r="CM12" s="137">
        <f t="shared" si="36"/>
        <v>0</v>
      </c>
      <c r="CN12" s="137">
        <f t="shared" si="36"/>
        <v>0</v>
      </c>
      <c r="CO12" s="137">
        <f t="shared" si="36"/>
        <v>0</v>
      </c>
      <c r="CP12" s="137">
        <f t="shared" si="36"/>
        <v>0</v>
      </c>
      <c r="CQ12" s="137">
        <f t="shared" si="36"/>
        <v>0</v>
      </c>
      <c r="CR12" s="137">
        <f t="shared" si="36"/>
        <v>0</v>
      </c>
      <c r="CS12" s="40">
        <f t="shared" si="28"/>
        <v>0</v>
      </c>
      <c r="DN12" s="9" t="str">
        <f t="shared" si="14"/>
        <v/>
      </c>
      <c r="DO12" s="9" t="str" cm="1">
        <f t="array" ref="DO12">_xlfn.IFS(RIGHT(A_Budget1!AJ20,5)="Total","",A_Budget1!AJ20="","",A_Budget1!AJ20&lt;&gt;"",A_Budget1!AJ20)</f>
        <v/>
      </c>
      <c r="DP12" s="9" t="str">
        <f>IFERROR(GETPIVOTDATA("[Measures].["&amp;A_Budget1!$AK$7&amp;"]",A_Budget1!$AJ$7,"[Budget1Data].[Cat_2]","[Budget1Data].[Cat_2].&amp;["&amp;A_Budget1!$AJ$8&amp;"]","[Budget1Data].[Cat_3]","[Budget1Data].[Cat_3].&amp;["&amp;DO12&amp;"]")/GETPIVOTDATA("[Measures].[Sum of Montant_Extrap 3]",A_Budget1!$AF$7,"[Budget1Data].[Cat_2]","[Budget1Data].[Cat_2].&amp;["&amp;WB_Data!$J$2&amp;"]"),"")</f>
        <v/>
      </c>
      <c r="DQ12" s="9" t="str" cm="1">
        <f t="array" ref="DQ12">IFERROR(INDEX($DO$1:$DO$16,SMALL(IF($DP$1:$DP$16=DR12,ROW($DP$1:$DP$16)),COUNTIF($DR$1:DR12,DR12))),"")</f>
        <v/>
      </c>
      <c r="DR12" s="104" t="str">
        <f t="shared" si="1"/>
        <v/>
      </c>
      <c r="DS12" s="103" t="str">
        <f>IFERROR(GETPIVOTDATA("[Measures].["&amp;A_Budget1!$AK$7&amp;"]",A_Budget1!$AJ$7,"[Budget1Data].[Cat_2]","[Budget1Data].[Cat_2].&amp;["&amp;A_Budget1!$AJ$8&amp;"]","[Budget1Data].[Cat_3]","[Budget1Data].[Cat_3].&amp;["&amp;DQ12&amp;"]"),"")</f>
        <v/>
      </c>
      <c r="DT12" s="154" t="str">
        <f>IFERROR(GETPIVOTDATA("[Measures].["&amp;A_Budget1!$AL$7&amp;"]",A_Budget1!$AJ$7,"[Budget1Data].[Cat_2]","[Budget1Data].[Cat_2].&amp;["&amp;A_Budget1!$AJ$8&amp;"]","[Budget1Data].[Cat_3]","[Budget1Data].[Cat_3].&amp;["&amp;DQ12&amp;"]")/GETPIVOTDATA("[Measures].[Sum of Last_Montant]",A_Budget1!$AF$7,"[Budget1Data].[Cat_2]","[Budget1Data].[Cat_2].&amp;["&amp;WB_Data!$J$2&amp;"]"),"")</f>
        <v/>
      </c>
      <c r="DU12" s="155" t="str">
        <f>IFERROR(GETPIVOTDATA("[Measures].["&amp;A_Budget1!$AL$7&amp;"]",A_Budget1!$AJ$7,"[Budget1Data].[Cat_2]","[Budget1Data].[Cat_2].&amp;["&amp;A_Budget1!$AJ$8&amp;"]","[Budget1Data].[Cat_3]","[Budget1Data].[Cat_3].&amp;["&amp;DQ12&amp;"]"),"")</f>
        <v/>
      </c>
      <c r="DV12" s="9" t="str">
        <f t="shared" si="0"/>
        <v/>
      </c>
      <c r="DW12" s="9"/>
      <c r="DX12" s="9"/>
      <c r="DY12" s="97" t="str">
        <f t="shared" si="15"/>
        <v/>
      </c>
      <c r="DZ12" s="9" t="str" cm="1">
        <f t="array" ref="DZ12">_xlfn.IFS(RIGHT(A_Budget1!AJ20,5)="Total","",A_Budget1!AJ20="","",A_Budget1!AJ20&lt;&gt;"",A_Budget1!AJ20)</f>
        <v/>
      </c>
      <c r="EA12" s="9" t="str">
        <f>IFERROR(GETPIVOTDATA("[Measures].["&amp;A_Budget1!$AL$7&amp;"]",A_Budget1!$AJ$7,"[Budget1Data].[Cat_2]","[Budget1Data].[Cat_2].&amp;["&amp;A_Budget1!$AJ$8&amp;"]","[Budget1Data].[Cat_3]","[Budget1Data].[Cat_3].&amp;["&amp;DZ12&amp;"]")/GETPIVOTDATA("[Measures].[Sum of Last_Montant]",A_Budget1!$AF$7,"[Budget1Data].[Cat_2]","[Budget1Data].[Cat_2].&amp;["&amp;WB_Data!$J$2&amp;"]"),"")</f>
        <v/>
      </c>
      <c r="EB12" s="9" t="str" cm="1">
        <f t="array" ref="EB12">IFERROR(INDEX($DZ$1:$DZ$16,SMALL(IF($EA$1:$EA$16=EC12,ROW($EA$1:$EA$16)),COUNTIF($EC$1:EC12,EC12))),"")</f>
        <v/>
      </c>
      <c r="EC12" s="154" t="str">
        <f t="shared" si="2"/>
        <v/>
      </c>
      <c r="ED12" s="154" t="str">
        <f>IFERROR(GETPIVOTDATA("[Measures].["&amp;A_Budget1!$AL$7&amp;"]",A_Budget1!$AJ$7,"[Budget1Data].[Cat_2]","[Budget1Data].[Cat_2].&amp;["&amp;A_Budget1!$AJ$8&amp;"]","[Budget1Data].[Cat_3]","[Budget1Data].[Cat_3].&amp;["&amp;EB12&amp;"]"),"")</f>
        <v/>
      </c>
      <c r="EE12" s="139" t="str">
        <f>IFERROR(GETPIVOTDATA("[Measures].["&amp;A_Budget1!$AK$7&amp;"]",A_Budget1!$AJ$7,"[Budget1Data].[Cat_2]","[Budget1Data].[Cat_2].&amp;["&amp;A_Budget1!$AJ$8&amp;"]","[Budget1Data].[Cat_3]","[Budget1Data].[Cat_3].&amp;["&amp;EB12&amp;"]")/GETPIVOTDATA("[Measures].[Sum of Montant_Extrap 3]",A_Budget1!$AF$7,"[Budget1Data].[Cat_2]","[Budget1Data].[Cat_2].&amp;["&amp;WB_Data!$J$2&amp;"]"),"")</f>
        <v/>
      </c>
      <c r="EF12" s="105" t="str">
        <f>IFERROR(GETPIVOTDATA("[Measures].["&amp;A_Budget1!$AK$7&amp;"]",A_Budget1!$AJ$7,"[Budget1Data].[Cat_2]","[Budget1Data].[Cat_2].&amp;["&amp;A_Budget1!$AJ$8&amp;"]","[Budget1Data].[Cat_3]","[Budget1Data].[Cat_3].&amp;["&amp;EB12&amp;"]"),"")</f>
        <v/>
      </c>
      <c r="EL12" s="166">
        <f ca="1">IFERROR(GETPIVOTDATA("[Measures].["&amp;A_Budget1!$AS$7&amp;"]",A_Budget1!$AQ$7,"[Budget1Data].[Cat_3]","[Budget1Data].[Cat_3].&amp;["&amp;ControlChart_Budget1!$ER$1&amp;"]","[Budget1Data].[Mois (Month)]","[Budget1Data].[Mois (Month)].&amp;["&amp;EV12&amp;"]","[Budget1Data].[Mois (Year)]","[Budget1Data].[Mois (Year)].&amp;["&amp;$EL$1&amp;"]"),0)</f>
        <v>0</v>
      </c>
      <c r="EM12" s="165">
        <f ca="1">IFERROR(IF($EN$1=1,0,GETPIVOTDATA("[Measures].["&amp;A_Budget1!$AS$7&amp;"]",A_Budget1!$AQ$7,"[Budget1Data].[Cat_3]","[Budget1Data].[Cat_3].&amp;["&amp;ControlChart_Budget1!$ER$1&amp;"]","[Budget1Data].[Mois (Month)]","[Budget1Data].[Mois (Month)].&amp;["&amp;EV12&amp;"]","[Budget1Data].[Mois (Year)]","[Budget1Data].[Mois (Year)].&amp;["&amp;$EM$1&amp;"]")),0)</f>
        <v>0</v>
      </c>
      <c r="EN12" s="139">
        <f ca="1">IFERROR(GETPIVOTDATA("[Measures].["&amp;A_Budget1!$AT$7&amp;"]",A_Budget1!$AQ$7,"[Budget1Data].[Cat_3]","[Budget1Data].[Cat_3].&amp;["&amp;ControlChart_Budget1!$ER$1&amp;"]","[Budget1Data].[Mois (Month)]","[Budget1Data].[Mois (Month)].&amp;["&amp;EV12&amp;"]","[Budget1Data].[Mois (Year)]","[Budget1Data].[Mois (Year)].&amp;["&amp;$EL$1&amp;"]"),0)</f>
        <v>0</v>
      </c>
      <c r="EO12" s="139">
        <f ca="1">IFERROR(IF($EN$1=1,0,GETPIVOTDATA("[Measures].["&amp;A_Budget1!$AT$7&amp;"]",A_Budget1!$AQ$7,"[Budget1Data].[Cat_3]","[Budget1Data].[Cat_3].&amp;["&amp;ControlChart_Budget1!$ER$1&amp;"]","[Budget1Data].[Mois (Month)]","[Budget1Data].[Mois (Month)].&amp;["&amp;EV12&amp;"]","[Budget1Data].[Mois (Year)]","[Budget1Data].[Mois (Year)].&amp;["&amp;$EM$1&amp;"]")),0)</f>
        <v>0</v>
      </c>
      <c r="EP12" s="167">
        <f ca="1">IFERROR(GETPIVOTDATA("[Measures].["&amp;A_Budget1!$AU$7&amp;"]",A_Budget1!$AQ$7,"[Budget1Data].[Cat_3]","[Budget1Data].[Cat_3].&amp;["&amp;ControlChart_Budget1!$ER$1&amp;"]","[Budget1Data].[Mois (Month)]","[Budget1Data].[Mois (Month)].&amp;["&amp;EV12&amp;"]","[Budget1Data].[Mois (Year)]","[Budget1Data].[Mois (Year)].&amp;["&amp;$EL$1&amp;"]"),0)</f>
        <v>0</v>
      </c>
      <c r="EQ12" s="167">
        <f ca="1">IFERROR(IF($EN$1=1,0,GETPIVOTDATA("[Measures].["&amp;A_Budget1!$AU$7&amp;"]",A_Budget1!$AQ$7,"[Budget1Data].[Cat_3]","[Budget1Data].[Cat_3].&amp;["&amp;ControlChart_Budget1!$ER$1&amp;"]","[Budget1Data].[Mois (Month)]","[Budget1Data].[Mois (Month)].&amp;["&amp;EV12&amp;"]","[Budget1Data].[Mois (Year)]","[Budget1Data].[Mois (Year)].&amp;["&amp;$EM$1&amp;"]")),0)</f>
        <v>0</v>
      </c>
      <c r="ER12" s="9" t="str">
        <f>IFERROR(IF(A_Budget1!AR19=0,"",A_Budget1!AR19),"")</f>
        <v/>
      </c>
      <c r="ES12" s="312">
        <f t="shared" ca="1" si="3"/>
        <v>0</v>
      </c>
      <c r="ET12" s="313">
        <f t="shared" ca="1" si="4"/>
        <v>0</v>
      </c>
      <c r="EU12" s="314">
        <f t="shared" ca="1" si="5"/>
        <v>0</v>
      </c>
      <c r="EV12" t="str">
        <f ca="1">IFERROR(VLOOKUP(ER12,Library!$R$18:$S$29,2,FALSE),Library!S28)</f>
        <v>nov</v>
      </c>
      <c r="EY12" s="168"/>
      <c r="EZ12" s="168"/>
      <c r="FA12" s="168"/>
      <c r="FB12" s="168"/>
      <c r="FC12" s="168"/>
      <c r="FD12" s="168"/>
      <c r="FE12" t="str">
        <f t="shared" si="16"/>
        <v/>
      </c>
      <c r="FF12" s="105" t="e">
        <f>GETPIVOTDATA("[Measures].[ABSMontantE]",A_Budget1!$AF$32,"[Budget1Data].[Cat_2]","[Budget1Data].[Cat_2].&amp;["&amp;ControlChart_Budget1!FH11&amp;"]")</f>
        <v>#REF!</v>
      </c>
      <c r="FG12" s="172" t="e">
        <f>GETPIVOTDATA("[Measures].[ABS_LastM]",A_Budget1!$AF$32,"[Budget1Data].[Cat_2]","[Budget1Data].[Cat_2].&amp;["&amp;ControlChart_Budget1!FH11&amp;"]")</f>
        <v>#REF!</v>
      </c>
      <c r="FH12">
        <f>A_Budget1!AF44</f>
        <v>0</v>
      </c>
      <c r="FI12" s="174">
        <f t="shared" si="6"/>
        <v>0</v>
      </c>
      <c r="FJ12" s="175">
        <f t="shared" si="7"/>
        <v>0</v>
      </c>
      <c r="FK12" cm="1">
        <f t="array" ref="FK12">IFERROR(INDEX($FH$1:$FH$18,SMALL(IF($FI$1:$FI$18=FL12,ROW($FI$1:$FI$18)),COUNTIF($FL$1:FL12,FL12))),"")</f>
        <v>0</v>
      </c>
      <c r="FL12" s="174">
        <f t="shared" si="8"/>
        <v>0</v>
      </c>
      <c r="FM12" s="176">
        <f t="shared" si="9"/>
        <v>0</v>
      </c>
      <c r="FN12" t="str" cm="1">
        <f t="array" ref="FN12">_xlfn.IFS(FK12=0,"",FK12=$A$1,"",FK12&lt;&gt;"",FK12)</f>
        <v/>
      </c>
      <c r="FO12" t="str">
        <f t="shared" si="10"/>
        <v/>
      </c>
      <c r="FP12" s="177" t="str">
        <f t="shared" si="11"/>
        <v/>
      </c>
      <c r="FQ12" s="178" t="str">
        <f t="shared" si="12"/>
        <v/>
      </c>
    </row>
    <row r="13" spans="1:173" x14ac:dyDescent="0.25">
      <c r="A13" s="284" t="str">
        <f t="shared" ref="A13:A16" ca="1" si="37">IFERROR(IF($D$17=I18,$D$17,""),"")</f>
        <v/>
      </c>
      <c r="B13" s="8" t="str">
        <f t="shared" ref="B13:B16" ca="1" si="38">IFERROR(IF(AND($E$22=2,A13&lt;&gt;"",H18=$I$6),A13,""),"")</f>
        <v/>
      </c>
      <c r="AA13" t="str">
        <f t="shared" si="18"/>
        <v/>
      </c>
      <c r="AB13" s="195">
        <f>IF(OR(AA13=1,AA13=3),0,0)</f>
        <v>0</v>
      </c>
      <c r="AC13" s="196">
        <f>IF(OR(AA13=1,AA13=3),0,IF(AJ13&lt;&gt;"",0,0))</f>
        <v>0</v>
      </c>
      <c r="AD13" s="200">
        <f>IF(OR($AA13=1,AA13=3),0,0)</f>
        <v>0</v>
      </c>
      <c r="AE13" s="201">
        <f>IF(OR($AA13=1,AA13=3),0,IF($AJ13&lt;&gt;"",0,0))</f>
        <v>0</v>
      </c>
      <c r="AF13" s="37">
        <f>IF(OR($AA13=1,AA13=3),0,0)</f>
        <v>0</v>
      </c>
      <c r="AG13" s="197">
        <f>IF(OR($AA13=1,AA13=3),0,IF($AJ13&lt;&gt;"",0,0))</f>
        <v>0</v>
      </c>
      <c r="AH13" s="199">
        <f>IF(OR($AA13=1,AA13=3),0,0)</f>
        <v>0</v>
      </c>
      <c r="AI13" s="199">
        <f>IF(OR($AA13=1,AA13=3),0,IF($AJ13&lt;&gt;"",0,0))</f>
        <v>0</v>
      </c>
      <c r="AJ13" s="120" t="str">
        <f>IF(ISBLANK($C$13),"",$C$13)</f>
        <v/>
      </c>
      <c r="AK13" s="120">
        <f t="shared" si="19"/>
        <v>0</v>
      </c>
      <c r="AL13" s="120">
        <f t="shared" si="20"/>
        <v>0</v>
      </c>
      <c r="AM13" s="120">
        <f t="shared" si="21"/>
        <v>0</v>
      </c>
      <c r="AN13" s="120">
        <f t="shared" si="22"/>
        <v>0</v>
      </c>
      <c r="AO13" s="120">
        <f t="shared" si="23"/>
        <v>0</v>
      </c>
      <c r="AP13" s="120">
        <f t="shared" si="24"/>
        <v>0</v>
      </c>
      <c r="AQ13" s="120">
        <f t="shared" si="25"/>
        <v>0</v>
      </c>
      <c r="AR13" s="202">
        <f t="shared" si="26"/>
        <v>0</v>
      </c>
      <c r="AT13" s="8" t="str">
        <f>AL3</f>
        <v>Category2</v>
      </c>
      <c r="AU13" s="9" cm="1">
        <f t="array" aca="1" ref="AU13:AU16" ca="1">INDIRECT(AU12)</f>
        <v>11</v>
      </c>
      <c r="AV13" s="9" cm="1">
        <f t="array" aca="1" ref="AV13:AV16" ca="1">INDIRECT(AV12)</f>
        <v>2025</v>
      </c>
      <c r="AW13" s="9" t="str" cm="1">
        <f t="array" aca="1" ref="AW13:AW16" ca="1">INDIRECT(AW12)</f>
        <v>Qtr1</v>
      </c>
      <c r="AX13" s="127">
        <f>L17</f>
        <v>2E-3</v>
      </c>
      <c r="AY13" s="129">
        <f>ABS(AL2)</f>
        <v>2.0000000000000001E-4</v>
      </c>
      <c r="AZ13" s="9"/>
      <c r="BA13" s="10">
        <f>IFERROR(AY13+AZ13,NA())</f>
        <v>2.0000000000000001E-4</v>
      </c>
      <c r="BB13" s="9"/>
      <c r="BC13" s="133">
        <f>IF(BB13-BA13&lt;0,0,BB13-BA13)</f>
        <v>0</v>
      </c>
      <c r="BD13" s="130">
        <f>BC13+AX13</f>
        <v>2E-3</v>
      </c>
      <c r="BE13" s="138">
        <f>IF(BD13-BA13&lt;0,0,BD13-BA13)</f>
        <v>1.8E-3</v>
      </c>
      <c r="BF13" s="131">
        <f>BE13/BD13</f>
        <v>0.89999999999999991</v>
      </c>
      <c r="BG13" s="126">
        <f>IFERROR((0.1*BD13)/BD13,NA())</f>
        <v>0.1</v>
      </c>
      <c r="BH13" s="126">
        <f>IFERROR((0.1*BD13)/BD13,NA())</f>
        <v>0.1</v>
      </c>
      <c r="BI13" s="126">
        <f>IFERROR((0.2*BD13)/BD13,NA())</f>
        <v>0.2</v>
      </c>
      <c r="BJ13" s="131">
        <f>IFERROR(IF($AT$4&gt;1,0,BF13),NA())</f>
        <v>0.89999999999999991</v>
      </c>
      <c r="BK13" s="131">
        <f>IFERROR(IF($AT$4&gt;1,BF13,0),NA())</f>
        <v>0</v>
      </c>
      <c r="BL13" s="128">
        <f>IF(BK13&gt;0,0,BC13/AX13)</f>
        <v>0</v>
      </c>
      <c r="BM13" s="135">
        <f>IF((BD13-BE13)=0,0,(BD13-BE13)/BD13)</f>
        <v>0.10000000000000005</v>
      </c>
      <c r="BN13" s="126">
        <f>IFERROR(BF13,"")</f>
        <v>0.89999999999999991</v>
      </c>
      <c r="BO13" s="8">
        <f>IFERROR(BA13,"")</f>
        <v>2.0000000000000001E-4</v>
      </c>
      <c r="BP13" s="8">
        <f>IFERROR(AX13,"")</f>
        <v>2E-3</v>
      </c>
      <c r="BQ13" s="117"/>
      <c r="CK13" s="5" t="s">
        <v>166</v>
      </c>
      <c r="CL13">
        <f>SUM(CL$4:CL$12)</f>
        <v>-2.0000000000000001E-4</v>
      </c>
      <c r="CM13">
        <f t="shared" ref="CM13:CR13" si="39">SUM(CM$4:CM$12)</f>
        <v>-2.0000000000000001E-4</v>
      </c>
      <c r="CN13">
        <f t="shared" si="39"/>
        <v>-2.0000000000000001E-4</v>
      </c>
      <c r="CO13">
        <f t="shared" si="39"/>
        <v>-2.0000000000000001E-4</v>
      </c>
      <c r="CP13">
        <f t="shared" si="39"/>
        <v>-2.0000000000000001E-4</v>
      </c>
      <c r="CQ13">
        <f t="shared" si="39"/>
        <v>-2.0000000000000001E-4</v>
      </c>
      <c r="CR13">
        <f t="shared" si="39"/>
        <v>-2.0000000000000001E-4</v>
      </c>
      <c r="DN13" s="9" t="str">
        <f t="shared" si="14"/>
        <v/>
      </c>
      <c r="DO13" s="9" t="str" cm="1">
        <f t="array" ref="DO13">_xlfn.IFS(RIGHT(A_Budget1!AJ21,5)="Total","",A_Budget1!AJ21="","",A_Budget1!AJ21&lt;&gt;"",A_Budget1!AJ21)</f>
        <v/>
      </c>
      <c r="DP13" s="9" t="str">
        <f>IFERROR(GETPIVOTDATA("[Measures].["&amp;A_Budget1!$AK$7&amp;"]",A_Budget1!$AJ$7,"[Budget1Data].[Cat_2]","[Budget1Data].[Cat_2].&amp;["&amp;A_Budget1!$AJ$8&amp;"]","[Budget1Data].[Cat_3]","[Budget1Data].[Cat_3].&amp;["&amp;DO13&amp;"]")/GETPIVOTDATA("[Measures].[Sum of Montant_Extrap 3]",A_Budget1!$AF$7,"[Budget1Data].[Cat_2]","[Budget1Data].[Cat_2].&amp;["&amp;WB_Data!$J$2&amp;"]"),"")</f>
        <v/>
      </c>
      <c r="DQ13" s="9" t="str" cm="1">
        <f t="array" ref="DQ13">IFERROR(INDEX($DO$1:$DO$16,SMALL(IF($DP$1:$DP$16=DR13,ROW($DP$1:$DP$16)),COUNTIF($DR$1:DR13,DR13))),"")</f>
        <v/>
      </c>
      <c r="DR13" s="104" t="str">
        <f t="shared" si="1"/>
        <v/>
      </c>
      <c r="DS13" s="103" t="str">
        <f>IFERROR(GETPIVOTDATA("[Measures].["&amp;A_Budget1!$AK$7&amp;"]",A_Budget1!$AJ$7,"[Budget1Data].[Cat_2]","[Budget1Data].[Cat_2].&amp;["&amp;A_Budget1!$AJ$8&amp;"]","[Budget1Data].[Cat_3]","[Budget1Data].[Cat_3].&amp;["&amp;DQ13&amp;"]"),"")</f>
        <v/>
      </c>
      <c r="DT13" s="154" t="str">
        <f>IFERROR(GETPIVOTDATA("[Measures].["&amp;A_Budget1!$AL$7&amp;"]",A_Budget1!$AJ$7,"[Budget1Data].[Cat_2]","[Budget1Data].[Cat_2].&amp;["&amp;A_Budget1!$AJ$8&amp;"]","[Budget1Data].[Cat_3]","[Budget1Data].[Cat_3].&amp;["&amp;DQ13&amp;"]")/GETPIVOTDATA("[Measures].[Sum of Last_Montant]",A_Budget1!$AF$7,"[Budget1Data].[Cat_2]","[Budget1Data].[Cat_2].&amp;["&amp;WB_Data!$J$2&amp;"]"),"")</f>
        <v/>
      </c>
      <c r="DU13" s="155" t="str">
        <f>IFERROR(GETPIVOTDATA("[Measures].["&amp;A_Budget1!$AL$7&amp;"]",A_Budget1!$AJ$7,"[Budget1Data].[Cat_2]","[Budget1Data].[Cat_2].&amp;["&amp;A_Budget1!$AJ$8&amp;"]","[Budget1Data].[Cat_3]","[Budget1Data].[Cat_3].&amp;["&amp;DQ13&amp;"]"),"")</f>
        <v/>
      </c>
      <c r="DV13" s="9" t="str">
        <f t="shared" si="0"/>
        <v/>
      </c>
      <c r="DW13" s="9"/>
      <c r="DX13" s="9"/>
      <c r="DY13" s="97" t="str">
        <f t="shared" si="15"/>
        <v/>
      </c>
      <c r="DZ13" s="9" t="str" cm="1">
        <f t="array" ref="DZ13">_xlfn.IFS(RIGHT(A_Budget1!AJ21,5)="Total","",A_Budget1!AJ21="","",A_Budget1!AJ21&lt;&gt;"",A_Budget1!AJ21)</f>
        <v/>
      </c>
      <c r="EA13" s="9" t="str">
        <f>IFERROR(GETPIVOTDATA("[Measures].["&amp;A_Budget1!$AL$7&amp;"]",A_Budget1!$AJ$7,"[Budget1Data].[Cat_2]","[Budget1Data].[Cat_2].&amp;["&amp;A_Budget1!$AJ$8&amp;"]","[Budget1Data].[Cat_3]","[Budget1Data].[Cat_3].&amp;["&amp;DZ13&amp;"]")/GETPIVOTDATA("[Measures].[Sum of Last_Montant]",A_Budget1!$AF$7,"[Budget1Data].[Cat_2]","[Budget1Data].[Cat_2].&amp;["&amp;WB_Data!$J$2&amp;"]"),"")</f>
        <v/>
      </c>
      <c r="EB13" s="9" t="str" cm="1">
        <f t="array" ref="EB13">IFERROR(INDEX($DZ$1:$DZ$16,SMALL(IF($EA$1:$EA$16=EC13,ROW($EA$1:$EA$16)),COUNTIF($EC$1:EC13,EC13))),"")</f>
        <v/>
      </c>
      <c r="EC13" s="154" t="str">
        <f t="shared" si="2"/>
        <v/>
      </c>
      <c r="ED13" s="154" t="str">
        <f>IFERROR(GETPIVOTDATA("[Measures].["&amp;A_Budget1!$AL$7&amp;"]",A_Budget1!$AJ$7,"[Budget1Data].[Cat_2]","[Budget1Data].[Cat_2].&amp;["&amp;A_Budget1!$AJ$8&amp;"]","[Budget1Data].[Cat_3]","[Budget1Data].[Cat_3].&amp;["&amp;EB13&amp;"]"),"")</f>
        <v/>
      </c>
      <c r="EE13" s="139" t="str">
        <f>IFERROR(GETPIVOTDATA("[Measures].["&amp;A_Budget1!$AK$7&amp;"]",A_Budget1!$AJ$7,"[Budget1Data].[Cat_2]","[Budget1Data].[Cat_2].&amp;["&amp;A_Budget1!$AJ$8&amp;"]","[Budget1Data].[Cat_3]","[Budget1Data].[Cat_3].&amp;["&amp;EB13&amp;"]")/GETPIVOTDATA("[Measures].[Sum of Montant_Extrap 3]",A_Budget1!$AF$7,"[Budget1Data].[Cat_2]","[Budget1Data].[Cat_2].&amp;["&amp;WB_Data!$J$2&amp;"]"),"")</f>
        <v/>
      </c>
      <c r="EF13" s="105" t="str">
        <f>IFERROR(GETPIVOTDATA("[Measures].["&amp;A_Budget1!$AK$7&amp;"]",A_Budget1!$AJ$7,"[Budget1Data].[Cat_2]","[Budget1Data].[Cat_2].&amp;["&amp;A_Budget1!$AJ$8&amp;"]","[Budget1Data].[Cat_3]","[Budget1Data].[Cat_3].&amp;["&amp;EB13&amp;"]"),"")</f>
        <v/>
      </c>
      <c r="EL13" s="166">
        <f ca="1">IFERROR(GETPIVOTDATA("[Measures].["&amp;A_Budget1!$AS$7&amp;"]",A_Budget1!$AQ$7,"[Budget1Data].[Cat_3]","[Budget1Data].[Cat_3].&amp;["&amp;ControlChart_Budget1!$ER$1&amp;"]","[Budget1Data].[Mois (Month)]","[Budget1Data].[Mois (Month)].&amp;["&amp;EV13&amp;"]","[Budget1Data].[Mois (Year)]","[Budget1Data].[Mois (Year)].&amp;["&amp;$EL$1&amp;"]"),0)</f>
        <v>0</v>
      </c>
      <c r="EM13" s="165">
        <f ca="1">IFERROR(IF($EN$1=1,0,GETPIVOTDATA("[Measures].["&amp;A_Budget1!$AS$7&amp;"]",A_Budget1!$AQ$7,"[Budget1Data].[Cat_3]","[Budget1Data].[Cat_3].&amp;["&amp;ControlChart_Budget1!$ER$1&amp;"]","[Budget1Data].[Mois (Month)]","[Budget1Data].[Mois (Month)].&amp;["&amp;EV13&amp;"]","[Budget1Data].[Mois (Year)]","[Budget1Data].[Mois (Year)].&amp;["&amp;$EM$1&amp;"]")),0)</f>
        <v>0</v>
      </c>
      <c r="EN13" s="139">
        <f ca="1">IFERROR(GETPIVOTDATA("[Measures].["&amp;A_Budget1!$AT$7&amp;"]",A_Budget1!$AQ$7,"[Budget1Data].[Cat_3]","[Budget1Data].[Cat_3].&amp;["&amp;ControlChart_Budget1!$ER$1&amp;"]","[Budget1Data].[Mois (Month)]","[Budget1Data].[Mois (Month)].&amp;["&amp;EV13&amp;"]","[Budget1Data].[Mois (Year)]","[Budget1Data].[Mois (Year)].&amp;["&amp;$EL$1&amp;"]"),0)</f>
        <v>0</v>
      </c>
      <c r="EO13" s="139">
        <f ca="1">IFERROR(IF($EN$1=1,0,GETPIVOTDATA("[Measures].["&amp;A_Budget1!$AT$7&amp;"]",A_Budget1!$AQ$7,"[Budget1Data].[Cat_3]","[Budget1Data].[Cat_3].&amp;["&amp;ControlChart_Budget1!$ER$1&amp;"]","[Budget1Data].[Mois (Month)]","[Budget1Data].[Mois (Month)].&amp;["&amp;EV13&amp;"]","[Budget1Data].[Mois (Year)]","[Budget1Data].[Mois (Year)].&amp;["&amp;$EM$1&amp;"]")),0)</f>
        <v>0</v>
      </c>
      <c r="EP13" s="167">
        <f ca="1">IFERROR(GETPIVOTDATA("[Measures].["&amp;A_Budget1!$AU$7&amp;"]",A_Budget1!$AQ$7,"[Budget1Data].[Cat_3]","[Budget1Data].[Cat_3].&amp;["&amp;ControlChart_Budget1!$ER$1&amp;"]","[Budget1Data].[Mois (Month)]","[Budget1Data].[Mois (Month)].&amp;["&amp;EV13&amp;"]","[Budget1Data].[Mois (Year)]","[Budget1Data].[Mois (Year)].&amp;["&amp;$EL$1&amp;"]"),0)</f>
        <v>0</v>
      </c>
      <c r="EQ13" s="167">
        <f ca="1">IFERROR(IF($EN$1=1,0,GETPIVOTDATA("[Measures].["&amp;A_Budget1!$AU$7&amp;"]",A_Budget1!$AQ$7,"[Budget1Data].[Cat_3]","[Budget1Data].[Cat_3].&amp;["&amp;ControlChart_Budget1!$ER$1&amp;"]","[Budget1Data].[Mois (Month)]","[Budget1Data].[Mois (Month)].&amp;["&amp;EV13&amp;"]","[Budget1Data].[Mois (Year)]","[Budget1Data].[Mois (Year)].&amp;["&amp;$EM$1&amp;"]")),0)</f>
        <v>0</v>
      </c>
      <c r="ER13" s="9" t="str">
        <f>IFERROR(IF(A_Budget1!AR20=0,"",A_Budget1!AR20),"")</f>
        <v/>
      </c>
      <c r="ES13" s="312">
        <f t="shared" ca="1" si="3"/>
        <v>0</v>
      </c>
      <c r="ET13" s="313">
        <f t="shared" ca="1" si="4"/>
        <v>0</v>
      </c>
      <c r="EU13" s="314">
        <f t="shared" ca="1" si="5"/>
        <v>0</v>
      </c>
      <c r="EV13" t="str">
        <f ca="1">IFERROR(VLOOKUP(ER13,Library!$R$18:$S$29,2,FALSE),Library!S29)</f>
        <v>déc</v>
      </c>
      <c r="EY13" s="168"/>
      <c r="EZ13" s="168"/>
      <c r="FA13" s="168"/>
      <c r="FB13" s="168"/>
      <c r="FC13" s="168"/>
      <c r="FD13" s="168"/>
      <c r="FE13" t="str">
        <f t="shared" si="16"/>
        <v/>
      </c>
      <c r="FF13" s="105" t="e">
        <f>GETPIVOTDATA("[Measures].[ABSMontantE]",A_Budget1!$AF$32,"[Budget1Data].[Cat_2]","[Budget1Data].[Cat_2].&amp;["&amp;ControlChart_Budget1!FH12&amp;"]")</f>
        <v>#REF!</v>
      </c>
      <c r="FG13" s="172" t="e">
        <f>GETPIVOTDATA("[Measures].[ABS_LastM]",A_Budget1!$AF$32,"[Budget1Data].[Cat_2]","[Budget1Data].[Cat_2].&amp;["&amp;ControlChart_Budget1!FH12&amp;"]")</f>
        <v>#REF!</v>
      </c>
      <c r="FH13">
        <f>A_Budget1!AF45</f>
        <v>0</v>
      </c>
      <c r="FI13" s="174">
        <f t="shared" si="6"/>
        <v>0</v>
      </c>
      <c r="FJ13" s="175">
        <f t="shared" si="7"/>
        <v>0</v>
      </c>
      <c r="FK13" cm="1">
        <f t="array" ref="FK13">IFERROR(INDEX($FH$1:$FH$18,SMALL(IF($FI$1:$FI$18=FL13,ROW($FI$1:$FI$18)),COUNTIF($FL$1:FL13,FL13))),"")</f>
        <v>0</v>
      </c>
      <c r="FL13" s="174">
        <f t="shared" si="8"/>
        <v>0</v>
      </c>
      <c r="FM13" s="176">
        <f t="shared" si="9"/>
        <v>0</v>
      </c>
      <c r="FN13" t="str" cm="1">
        <f t="array" ref="FN13">_xlfn.IFS(FK13=0,"",FK13=$A$1,"",FK13&lt;&gt;"",FK13)</f>
        <v/>
      </c>
      <c r="FO13" t="str">
        <f t="shared" si="10"/>
        <v/>
      </c>
      <c r="FP13" s="177" t="str">
        <f t="shared" si="11"/>
        <v/>
      </c>
      <c r="FQ13" s="178" t="str">
        <f t="shared" si="12"/>
        <v/>
      </c>
    </row>
    <row r="14" spans="1:173" x14ac:dyDescent="0.25">
      <c r="A14" s="284" t="str">
        <f t="shared" ca="1" si="37"/>
        <v/>
      </c>
      <c r="B14" s="8" t="str">
        <f t="shared" ca="1" si="38"/>
        <v/>
      </c>
      <c r="C14" s="186"/>
      <c r="AA14" t="str">
        <f t="shared" si="18"/>
        <v/>
      </c>
      <c r="AB14" s="195">
        <f>IF(OR(AA14=1,AA14=3),0,0)</f>
        <v>0</v>
      </c>
      <c r="AC14" s="196">
        <f>IF(OR(AA14=1,AA14=3),0,IF(AJ14&lt;&gt;"",0,0))</f>
        <v>0</v>
      </c>
      <c r="AD14" s="200">
        <f>IF(OR($AA14=1,AA14=3),0,0)</f>
        <v>0</v>
      </c>
      <c r="AE14" s="201">
        <f>IF(OR($AA14=1,AA14=3),0,IF($AJ14&lt;&gt;"",0,0))</f>
        <v>0</v>
      </c>
      <c r="AF14" s="37">
        <f>IF(OR($AA14=1,AA14=3),0,0)</f>
        <v>0</v>
      </c>
      <c r="AG14" s="197">
        <f>IF(OR($AA14=1,AA14=3),0,IF($AJ14&lt;&gt;"",0,0))</f>
        <v>0</v>
      </c>
      <c r="AH14" s="199">
        <f>IF(OR($AA14=1,AA14=3),0,0)</f>
        <v>0</v>
      </c>
      <c r="AI14" s="199">
        <f>IF(OR($AA14=1,AA14=3),0,IF($AJ14&lt;&gt;"",0,0))</f>
        <v>0</v>
      </c>
      <c r="AJ14" s="120" t="str">
        <f>IF(ISBLANK($C$14),"",$C$14)</f>
        <v/>
      </c>
      <c r="AK14" s="120">
        <f t="shared" si="19"/>
        <v>0</v>
      </c>
      <c r="AL14" s="120">
        <f t="shared" si="20"/>
        <v>0</v>
      </c>
      <c r="AM14" s="120">
        <f t="shared" si="21"/>
        <v>0</v>
      </c>
      <c r="AN14" s="120">
        <f t="shared" si="22"/>
        <v>0</v>
      </c>
      <c r="AO14" s="120">
        <f t="shared" si="23"/>
        <v>0</v>
      </c>
      <c r="AP14" s="120">
        <f t="shared" si="24"/>
        <v>0</v>
      </c>
      <c r="AQ14" s="120">
        <f t="shared" si="25"/>
        <v>0</v>
      </c>
      <c r="AR14" s="202">
        <f t="shared" si="26"/>
        <v>0</v>
      </c>
      <c r="AT14" s="8"/>
      <c r="AU14" s="9">
        <f ca="1"/>
        <v>21</v>
      </c>
      <c r="AV14" s="9">
        <f ca="1"/>
        <v>2026</v>
      </c>
      <c r="AW14" s="9" t="str">
        <f ca="1"/>
        <v>Qtr1</v>
      </c>
      <c r="AX14" s="127">
        <f>L18</f>
        <v>2E-3</v>
      </c>
      <c r="AY14" s="129">
        <f>ABS(AL43)</f>
        <v>0</v>
      </c>
      <c r="AZ14" s="132">
        <f>IFERROR(IF(AND($AT$4&gt;=2,ABS($AL$41)&lt;0),ABS($AL$41),0),NA())</f>
        <v>0</v>
      </c>
      <c r="BA14" s="10">
        <f>IFERROR(AY14+AZ14,NA())</f>
        <v>0</v>
      </c>
      <c r="BB14" s="127">
        <f>IFERROR(IF(AND($AT$4&gt;=2,$AL$40&gt;0),$AL$40,0),NA())</f>
        <v>0</v>
      </c>
      <c r="BC14" s="133">
        <f>IF(BB14-BA14&lt;0,0,BB14-BA14)</f>
        <v>0</v>
      </c>
      <c r="BD14" s="130">
        <f>BC14+AX14</f>
        <v>2E-3</v>
      </c>
      <c r="BE14" s="138">
        <f>IF(BD14-BA14&lt;0,0,BD14-BA14)</f>
        <v>2E-3</v>
      </c>
      <c r="BF14" s="131">
        <f>BE14/BD14</f>
        <v>1</v>
      </c>
      <c r="BG14" s="126">
        <f>IFERROR((0.1*BD14)/BD14,NA())</f>
        <v>0.1</v>
      </c>
      <c r="BH14" s="126">
        <f>IFERROR((0.1*BD14)/BD14,NA())</f>
        <v>0.1</v>
      </c>
      <c r="BI14" s="126">
        <f>IFERROR((0.2*BD14)/BD14,NA())</f>
        <v>0.2</v>
      </c>
      <c r="BJ14" s="131">
        <f>IFERROR(IF($AT$4&gt;2,0,BF14),NA())</f>
        <v>1</v>
      </c>
      <c r="BK14" s="131">
        <f>IFERROR(IF($AT$4&gt;2,BF14,0),NA())</f>
        <v>0</v>
      </c>
      <c r="BL14" s="128">
        <f>IF(BK14&gt;0,0,BC14/AX14)</f>
        <v>0</v>
      </c>
      <c r="BM14" s="135">
        <f>IF((BD14-BE14)=0,0,(BD14-BE14)/BD14)</f>
        <v>0</v>
      </c>
      <c r="BN14" s="126">
        <f>IFERROR(BF14,"")</f>
        <v>1</v>
      </c>
      <c r="BO14" s="8">
        <f>IFERROR(BA14,"")</f>
        <v>0</v>
      </c>
      <c r="BP14" s="8">
        <f>IFERROR(AX14,"")</f>
        <v>2E-3</v>
      </c>
      <c r="BQ14" s="8" t="str">
        <f>IFERROR(IF(BC14=0,"",BC14),"")</f>
        <v/>
      </c>
      <c r="CL14" s="324" t="s">
        <v>105</v>
      </c>
      <c r="CM14" s="324"/>
      <c r="CN14" s="324"/>
      <c r="CO14" s="324"/>
      <c r="CP14" s="324"/>
      <c r="CQ14" s="324"/>
      <c r="CR14" s="324"/>
      <c r="CS14" s="324"/>
      <c r="CY14" s="126">
        <f>IF(CY18&lt;&gt;"",DB18,"")</f>
        <v>0</v>
      </c>
      <c r="CZ14" s="9"/>
      <c r="DA14" s="9" t="s">
        <v>14</v>
      </c>
      <c r="DB14" s="9">
        <f>IFERROR(IF(AT4&lt;&gt;1,CS5+CS9,0),0)</f>
        <v>0</v>
      </c>
      <c r="DD14" s="5"/>
      <c r="DN14" s="9" t="str">
        <f t="shared" si="14"/>
        <v/>
      </c>
      <c r="DO14" s="9" t="str" cm="1">
        <f t="array" ref="DO14">_xlfn.IFS(RIGHT(A_Budget1!AJ22,5)="Total","",A_Budget1!AJ22="","",A_Budget1!AJ22&lt;&gt;"",A_Budget1!AJ22)</f>
        <v/>
      </c>
      <c r="DP14" s="9" t="str">
        <f>IFERROR(GETPIVOTDATA("[Measures].["&amp;A_Budget1!$AK$7&amp;"]",A_Budget1!$AJ$7,"[Budget1Data].[Cat_2]","[Budget1Data].[Cat_2].&amp;["&amp;A_Budget1!$AJ$8&amp;"]","[Budget1Data].[Cat_3]","[Budget1Data].[Cat_3].&amp;["&amp;DO14&amp;"]")/GETPIVOTDATA("[Measures].[Sum of Montant_Extrap 3]",A_Budget1!$AF$7,"[Budget1Data].[Cat_2]","[Budget1Data].[Cat_2].&amp;["&amp;WB_Data!$J$2&amp;"]"),"")</f>
        <v/>
      </c>
      <c r="DQ14" s="9" t="str" cm="1">
        <f t="array" ref="DQ14">IFERROR(INDEX($DO$1:$DO$16,SMALL(IF($DP$1:$DP$16=DR14,ROW($DP$1:$DP$16)),COUNTIF($DR$1:DR14,DR14))),"")</f>
        <v/>
      </c>
      <c r="DR14" s="104" t="str">
        <f t="shared" si="1"/>
        <v/>
      </c>
      <c r="DS14" s="103" t="str">
        <f>IFERROR(GETPIVOTDATA("[Measures].["&amp;A_Budget1!$AK$7&amp;"]",A_Budget1!$AJ$7,"[Budget1Data].[Cat_2]","[Budget1Data].[Cat_2].&amp;["&amp;A_Budget1!$AJ$8&amp;"]","[Budget1Data].[Cat_3]","[Budget1Data].[Cat_3].&amp;["&amp;DQ14&amp;"]"),"")</f>
        <v/>
      </c>
      <c r="DT14" s="154" t="str">
        <f>IFERROR(GETPIVOTDATA("[Measures].["&amp;A_Budget1!$AL$7&amp;"]",A_Budget1!$AJ$7,"[Budget1Data].[Cat_2]","[Budget1Data].[Cat_2].&amp;["&amp;A_Budget1!$AJ$8&amp;"]","[Budget1Data].[Cat_3]","[Budget1Data].[Cat_3].&amp;["&amp;DQ14&amp;"]")/GETPIVOTDATA("[Measures].[Sum of Last_Montant]",A_Budget1!$AF$7,"[Budget1Data].[Cat_2]","[Budget1Data].[Cat_2].&amp;["&amp;WB_Data!$J$2&amp;"]"),"")</f>
        <v/>
      </c>
      <c r="DU14" s="155" t="str">
        <f>IFERROR(GETPIVOTDATA("[Measures].["&amp;A_Budget1!$AL$7&amp;"]",A_Budget1!$AJ$7,"[Budget1Data].[Cat_2]","[Budget1Data].[Cat_2].&amp;["&amp;A_Budget1!$AJ$8&amp;"]","[Budget1Data].[Cat_3]","[Budget1Data].[Cat_3].&amp;["&amp;DQ14&amp;"]"),"")</f>
        <v/>
      </c>
      <c r="DV14" s="9" t="str">
        <f t="shared" si="0"/>
        <v/>
      </c>
      <c r="DW14" s="9"/>
      <c r="DX14" s="9"/>
      <c r="DY14" s="97" t="str">
        <f t="shared" si="15"/>
        <v/>
      </c>
      <c r="DZ14" s="9" t="str" cm="1">
        <f t="array" ref="DZ14">_xlfn.IFS(RIGHT(A_Budget1!AJ22,5)="Total","",A_Budget1!AJ22="","",A_Budget1!AJ22&lt;&gt;"",A_Budget1!AJ22)</f>
        <v/>
      </c>
      <c r="EA14" s="9" t="str">
        <f>IFERROR(GETPIVOTDATA("[Measures].["&amp;A_Budget1!$AL$7&amp;"]",A_Budget1!$AJ$7,"[Budget1Data].[Cat_2]","[Budget1Data].[Cat_2].&amp;["&amp;A_Budget1!$AJ$8&amp;"]","[Budget1Data].[Cat_3]","[Budget1Data].[Cat_3].&amp;["&amp;DZ14&amp;"]")/GETPIVOTDATA("[Measures].[Sum of Last_Montant]",A_Budget1!$AF$7,"[Budget1Data].[Cat_2]","[Budget1Data].[Cat_2].&amp;["&amp;WB_Data!$J$2&amp;"]"),"")</f>
        <v/>
      </c>
      <c r="EB14" s="9" t="str" cm="1">
        <f t="array" ref="EB14">IFERROR(INDEX($DZ$1:$DZ$16,SMALL(IF($EA$1:$EA$16=EC14,ROW($EA$1:$EA$16)),COUNTIF($EC$1:EC14,EC14))),"")</f>
        <v/>
      </c>
      <c r="EC14" s="154" t="str">
        <f t="shared" si="2"/>
        <v/>
      </c>
      <c r="ED14" s="154" t="str">
        <f>IFERROR(GETPIVOTDATA("[Measures].["&amp;A_Budget1!$AL$7&amp;"]",A_Budget1!$AJ$7,"[Budget1Data].[Cat_2]","[Budget1Data].[Cat_2].&amp;["&amp;A_Budget1!$AJ$8&amp;"]","[Budget1Data].[Cat_3]","[Budget1Data].[Cat_3].&amp;["&amp;EB14&amp;"]"),"")</f>
        <v/>
      </c>
      <c r="EE14" s="139" t="str">
        <f>IFERROR(GETPIVOTDATA("[Measures].["&amp;A_Budget1!$AK$7&amp;"]",A_Budget1!$AJ$7,"[Budget1Data].[Cat_2]","[Budget1Data].[Cat_2].&amp;["&amp;A_Budget1!$AJ$8&amp;"]","[Budget1Data].[Cat_3]","[Budget1Data].[Cat_3].&amp;["&amp;EB14&amp;"]")/GETPIVOTDATA("[Measures].[Sum of Montant_Extrap 3]",A_Budget1!$AF$7,"[Budget1Data].[Cat_2]","[Budget1Data].[Cat_2].&amp;["&amp;WB_Data!$J$2&amp;"]"),"")</f>
        <v/>
      </c>
      <c r="EF14" s="105" t="str">
        <f>IFERROR(GETPIVOTDATA("[Measures].["&amp;A_Budget1!$AK$7&amp;"]",A_Budget1!$AJ$7,"[Budget1Data].[Cat_2]","[Budget1Data].[Cat_2].&amp;["&amp;A_Budget1!$AJ$8&amp;"]","[Budget1Data].[Cat_3]","[Budget1Data].[Cat_3].&amp;["&amp;EB14&amp;"]"),"")</f>
        <v/>
      </c>
      <c r="EK14" s="5"/>
      <c r="EL14" s="5"/>
      <c r="ES14" s="167">
        <f>A_Budget1!AU4</f>
        <v>12</v>
      </c>
      <c r="ET14" s="165">
        <f>12-EU14</f>
        <v>2</v>
      </c>
      <c r="EU14" s="139">
        <f>A_Budget1!AR3</f>
        <v>10</v>
      </c>
      <c r="EY14" s="5"/>
      <c r="EZ14" s="5"/>
      <c r="FA14" s="5"/>
      <c r="FB14" s="169"/>
      <c r="FC14" s="169"/>
      <c r="FD14" s="5"/>
      <c r="FE14" t="str">
        <f t="shared" si="16"/>
        <v/>
      </c>
      <c r="FF14" s="105" t="e">
        <f>GETPIVOTDATA("[Measures].[ABSMontantE]",A_Budget1!$AF$32,"[Budget1Data].[Cat_2]","[Budget1Data].[Cat_2].&amp;["&amp;ControlChart_Budget1!FH13&amp;"]")</f>
        <v>#REF!</v>
      </c>
      <c r="FG14" s="172" t="e">
        <f>GETPIVOTDATA("[Measures].[ABS_LastM]",A_Budget1!$AF$32,"[Budget1Data].[Cat_2]","[Budget1Data].[Cat_2].&amp;["&amp;ControlChart_Budget1!FH13&amp;"]")</f>
        <v>#REF!</v>
      </c>
      <c r="FH14">
        <f>A_Budget1!AF46</f>
        <v>0</v>
      </c>
      <c r="FI14" s="174">
        <f t="shared" si="6"/>
        <v>0</v>
      </c>
      <c r="FJ14" s="175">
        <f t="shared" si="7"/>
        <v>0</v>
      </c>
      <c r="FK14" cm="1">
        <f t="array" ref="FK14">IFERROR(INDEX($FH$1:$FH$18,SMALL(IF($FI$1:$FI$18=FL14,ROW($FI$1:$FI$18)),COUNTIF($FL$1:FL14,FL14))),"")</f>
        <v>0</v>
      </c>
      <c r="FL14" s="174">
        <f t="shared" si="8"/>
        <v>0</v>
      </c>
      <c r="FM14" s="176">
        <f t="shared" si="9"/>
        <v>0</v>
      </c>
      <c r="FN14" t="str" cm="1">
        <f t="array" ref="FN14">_xlfn.IFS(FK14=0,"",FK14=$A$1,"",FK14&lt;&gt;"",FK14)</f>
        <v/>
      </c>
      <c r="FO14" t="str">
        <f t="shared" si="10"/>
        <v/>
      </c>
      <c r="FP14" s="177" t="str">
        <f t="shared" si="11"/>
        <v/>
      </c>
      <c r="FQ14" s="178" t="str">
        <f t="shared" si="12"/>
        <v/>
      </c>
    </row>
    <row r="15" spans="1:173" ht="12" thickBot="1" x14ac:dyDescent="0.3">
      <c r="A15" s="284" t="str">
        <f t="shared" ca="1" si="37"/>
        <v/>
      </c>
      <c r="B15" s="8" t="str">
        <f t="shared" ca="1" si="38"/>
        <v/>
      </c>
      <c r="J15" t="str">
        <f>J4</f>
        <v>Category1</v>
      </c>
      <c r="L15" t="str">
        <f>L4</f>
        <v>Category2</v>
      </c>
      <c r="N15" t="str">
        <f>N4</f>
        <v>Category3</v>
      </c>
      <c r="P15" t="str">
        <f>P4</f>
        <v>Category4</v>
      </c>
      <c r="R15" t="str">
        <f>R4</f>
        <v>Category5</v>
      </c>
      <c r="T15" t="str">
        <f>T4</f>
        <v>Category6</v>
      </c>
      <c r="V15" t="str">
        <f>V4</f>
        <v>Category7</v>
      </c>
      <c r="X15" t="str">
        <f>X4</f>
        <v>Total ABSMontantE</v>
      </c>
      <c r="AB15" s="195">
        <f>SUM(AB4:AB14)</f>
        <v>8.0000000000000002E-3</v>
      </c>
      <c r="AC15" s="35">
        <f>SUM(AK42:AQ42)-AB15</f>
        <v>6.0000000000000001E-3</v>
      </c>
      <c r="AD15" s="200">
        <f>SUM(AD4:AD14)</f>
        <v>0</v>
      </c>
      <c r="AE15" s="36">
        <f>SUM(AK81:AQ81)-AD15</f>
        <v>0</v>
      </c>
      <c r="AF15" s="37">
        <f>SUM(AF4:AF14)</f>
        <v>0</v>
      </c>
      <c r="AG15" s="37">
        <f>SUM(AK117:AQ117)-AF15</f>
        <v>0</v>
      </c>
      <c r="AH15" s="199">
        <f>SUM(AH4:AH14)</f>
        <v>0</v>
      </c>
      <c r="AI15" s="199">
        <f>SUM(AK150:AQ150)-AH15</f>
        <v>0</v>
      </c>
      <c r="AJ15" s="120" t="s">
        <v>144</v>
      </c>
      <c r="AK15" s="120">
        <f>SUM(AK4:AK14)</f>
        <v>0</v>
      </c>
      <c r="AL15" s="120">
        <f t="shared" ref="AL15:AQ15" si="40">SUM(AL4:AL14)</f>
        <v>0</v>
      </c>
      <c r="AM15" s="120">
        <f t="shared" si="40"/>
        <v>0</v>
      </c>
      <c r="AN15" s="120">
        <f t="shared" si="40"/>
        <v>0</v>
      </c>
      <c r="AO15" s="120">
        <f>SUM(AO4:AO14)</f>
        <v>0</v>
      </c>
      <c r="AP15" s="120">
        <f t="shared" si="40"/>
        <v>0</v>
      </c>
      <c r="AQ15" s="120">
        <f t="shared" si="40"/>
        <v>0</v>
      </c>
      <c r="AR15" s="203"/>
      <c r="AT15" s="8"/>
      <c r="AU15" s="9">
        <f ca="1"/>
        <v>22</v>
      </c>
      <c r="AV15" s="9">
        <f ca="1"/>
        <v>2026</v>
      </c>
      <c r="AW15" s="9" t="str">
        <f ca="1"/>
        <v>Grand Total</v>
      </c>
      <c r="AX15" s="127" t="str">
        <f>L19</f>
        <v/>
      </c>
      <c r="AY15" s="129">
        <f>ABS(AL82)</f>
        <v>0</v>
      </c>
      <c r="AZ15" s="132">
        <f>IFERROR(IF(AND($AT$4&gt;=3,ABS($AL$80)&lt;0),ABS($AL$80),0),NA())</f>
        <v>0</v>
      </c>
      <c r="BA15" s="10">
        <f>IFERROR(AY15+AZ15,NA())</f>
        <v>0</v>
      </c>
      <c r="BB15" s="127">
        <f>IFERROR(IF(AND($AT$4&gt;=3,$AL$79&gt;0),$AL$79,0),NA())</f>
        <v>0</v>
      </c>
      <c r="BC15" s="133">
        <f>IF(BB15-BA15&lt;0,0,BB15-BA15)</f>
        <v>0</v>
      </c>
      <c r="BD15" s="130" t="e">
        <f>BC15+AX15</f>
        <v>#VALUE!</v>
      </c>
      <c r="BE15" s="138" t="e">
        <f>IF(BD15-BA15&lt;0,0,BD15-BA15)</f>
        <v>#VALUE!</v>
      </c>
      <c r="BF15" s="131" t="e">
        <f>BE15/BD15</f>
        <v>#VALUE!</v>
      </c>
      <c r="BG15" s="126" t="e">
        <f>IFERROR((0.1*BD15)/BD15,NA())</f>
        <v>#N/A</v>
      </c>
      <c r="BH15" s="126" t="e">
        <f>IFERROR((0.1*BD15)/BD15,NA())</f>
        <v>#N/A</v>
      </c>
      <c r="BI15" s="126" t="e">
        <f>IFERROR((0.2*BD15)/BD15,NA())</f>
        <v>#N/A</v>
      </c>
      <c r="BJ15" s="131" t="e">
        <f>IFERROR(IF($AT$4&gt;3,0,BF15),NA())</f>
        <v>#N/A</v>
      </c>
      <c r="BK15" s="131">
        <f>IFERROR(IF($AT$4&gt;3,BF15,0),NA())</f>
        <v>0</v>
      </c>
      <c r="BL15" s="128" t="e">
        <f>IF(BK15&gt;0,0,BC15/AX15)</f>
        <v>#VALUE!</v>
      </c>
      <c r="BM15" s="135" t="e">
        <f>IF((BD15-BE15)=0,0,(BD15-BE15)/BD15)</f>
        <v>#VALUE!</v>
      </c>
      <c r="BN15" s="126" t="str">
        <f>IFERROR(BF15,"")</f>
        <v/>
      </c>
      <c r="BO15" s="8">
        <f>IFERROR(BA15,"")</f>
        <v>0</v>
      </c>
      <c r="BP15" s="8" t="str">
        <f>IFERROR(AX15,"")</f>
        <v/>
      </c>
      <c r="BQ15" s="8" t="str">
        <f>IFERROR(IF(BC15=0,"",BC15),"")</f>
        <v/>
      </c>
      <c r="CK15" s="5" t="s">
        <v>161</v>
      </c>
      <c r="CL15" s="9">
        <f>J17</f>
        <v>2E-3</v>
      </c>
      <c r="CM15" s="9">
        <f>L17</f>
        <v>2E-3</v>
      </c>
      <c r="CN15" s="9">
        <f>N17</f>
        <v>2E-3</v>
      </c>
      <c r="CO15" s="9">
        <f>P17</f>
        <v>2E-3</v>
      </c>
      <c r="CP15" s="9">
        <f>R17</f>
        <v>2E-3</v>
      </c>
      <c r="CQ15" s="9">
        <f>T17</f>
        <v>2E-3</v>
      </c>
      <c r="CR15" s="9">
        <f>V17</f>
        <v>2E-3</v>
      </c>
      <c r="CS15" s="9"/>
      <c r="CT15">
        <f>SUM($CL15:$CS15)</f>
        <v>1.4E-2</v>
      </c>
      <c r="CY15" s="9" t="str">
        <f>IF(DB18&gt;1,CY23,(IF(AND($AT$4&gt;1,CY18&lt;&gt;""),CY23,"")))</f>
        <v/>
      </c>
      <c r="CZ15" s="9"/>
      <c r="DA15" s="9" t="s">
        <v>168</v>
      </c>
      <c r="DB15" s="9">
        <f>IF(DB14&lt;0,ABS(DB14),0)</f>
        <v>0</v>
      </c>
      <c r="DD15" s="5"/>
      <c r="DN15" s="9" t="str">
        <f t="shared" si="14"/>
        <v/>
      </c>
      <c r="DO15" s="9" t="str" cm="1">
        <f t="array" ref="DO15">_xlfn.IFS(RIGHT(A_Budget1!AJ23,5)="Total","",A_Budget1!AJ23="","",A_Budget1!AJ23&lt;&gt;"",A_Budget1!AJ23)</f>
        <v/>
      </c>
      <c r="DP15" s="9" t="str">
        <f>IFERROR(GETPIVOTDATA("[Measures].["&amp;A_Budget1!$AK$7&amp;"]",A_Budget1!$AJ$7,"[Budget1Data].[Cat_2]","[Budget1Data].[Cat_2].&amp;["&amp;A_Budget1!$AJ$8&amp;"]","[Budget1Data].[Cat_3]","[Budget1Data].[Cat_3].&amp;["&amp;DO15&amp;"]")/GETPIVOTDATA("[Measures].[Sum of Montant_Extrap 3]",A_Budget1!$AF$7,"[Budget1Data].[Cat_2]","[Budget1Data].[Cat_2].&amp;["&amp;WB_Data!$J$2&amp;"]"),"")</f>
        <v/>
      </c>
      <c r="DQ15" s="9" t="str" cm="1">
        <f t="array" ref="DQ15">IFERROR(INDEX($DO$1:$DO$16,SMALL(IF($DP$1:$DP$16=DR15,ROW($DP$1:$DP$16)),COUNTIF($DR$1:DR15,DR15))),"")</f>
        <v/>
      </c>
      <c r="DR15" s="104" t="str">
        <f t="shared" si="1"/>
        <v/>
      </c>
      <c r="DS15" s="103" t="str">
        <f>IFERROR(GETPIVOTDATA("[Measures].["&amp;A_Budget1!$AK$7&amp;"]",A_Budget1!$AJ$7,"[Budget1Data].[Cat_2]","[Budget1Data].[Cat_2].&amp;["&amp;A_Budget1!$AJ$8&amp;"]","[Budget1Data].[Cat_3]","[Budget1Data].[Cat_3].&amp;["&amp;DQ15&amp;"]"),"")</f>
        <v/>
      </c>
      <c r="DT15" s="154" t="str">
        <f>IFERROR(GETPIVOTDATA("[Measures].["&amp;A_Budget1!$AL$7&amp;"]",A_Budget1!$AJ$7,"[Budget1Data].[Cat_2]","[Budget1Data].[Cat_2].&amp;["&amp;A_Budget1!$AJ$8&amp;"]","[Budget1Data].[Cat_3]","[Budget1Data].[Cat_3].&amp;["&amp;DQ15&amp;"]")/GETPIVOTDATA("[Measures].[Sum of Last_Montant]",A_Budget1!$AF$7,"[Budget1Data].[Cat_2]","[Budget1Data].[Cat_2].&amp;["&amp;WB_Data!$J$2&amp;"]"),"")</f>
        <v/>
      </c>
      <c r="DU15" s="155" t="str">
        <f>IFERROR(GETPIVOTDATA("[Measures].["&amp;A_Budget1!$AL$7&amp;"]",A_Budget1!$AJ$7,"[Budget1Data].[Cat_2]","[Budget1Data].[Cat_2].&amp;["&amp;A_Budget1!$AJ$8&amp;"]","[Budget1Data].[Cat_3]","[Budget1Data].[Cat_3].&amp;["&amp;DQ15&amp;"]"),"")</f>
        <v/>
      </c>
      <c r="DV15" s="9" t="str">
        <f t="shared" si="0"/>
        <v/>
      </c>
      <c r="DW15" s="9"/>
      <c r="DX15" s="9"/>
      <c r="DY15" s="97" t="str">
        <f t="shared" si="15"/>
        <v/>
      </c>
      <c r="DZ15" s="9" t="str" cm="1">
        <f t="array" ref="DZ15">_xlfn.IFS(RIGHT(A_Budget1!AJ23,5)="Total","",A_Budget1!AJ23="","",A_Budget1!AJ23&lt;&gt;"",A_Budget1!AJ23)</f>
        <v/>
      </c>
      <c r="EA15" s="9" t="str">
        <f>IFERROR(GETPIVOTDATA("[Measures].["&amp;A_Budget1!$AL$7&amp;"]",A_Budget1!$AJ$7,"[Budget1Data].[Cat_2]","[Budget1Data].[Cat_2].&amp;["&amp;A_Budget1!$AJ$8&amp;"]","[Budget1Data].[Cat_3]","[Budget1Data].[Cat_3].&amp;["&amp;DZ15&amp;"]")/GETPIVOTDATA("[Measures].[Sum of Last_Montant]",A_Budget1!$AF$7,"[Budget1Data].[Cat_2]","[Budget1Data].[Cat_2].&amp;["&amp;WB_Data!$J$2&amp;"]"),"")</f>
        <v/>
      </c>
      <c r="EB15" s="9" t="str" cm="1">
        <f t="array" ref="EB15">IFERROR(INDEX($DZ$1:$DZ$16,SMALL(IF($EA$1:$EA$16=EC15,ROW($EA$1:$EA$16)),COUNTIF($EC$1:EC15,EC15))),"")</f>
        <v/>
      </c>
      <c r="EC15" s="154" t="str">
        <f t="shared" si="2"/>
        <v/>
      </c>
      <c r="ED15" s="154" t="str">
        <f>IFERROR(GETPIVOTDATA("[Measures].["&amp;A_Budget1!$AL$7&amp;"]",A_Budget1!$AJ$7,"[Budget1Data].[Cat_2]","[Budget1Data].[Cat_2].&amp;["&amp;A_Budget1!$AJ$8&amp;"]","[Budget1Data].[Cat_3]","[Budget1Data].[Cat_3].&amp;["&amp;EB15&amp;"]"),"")</f>
        <v/>
      </c>
      <c r="EE15" s="139" t="str">
        <f>IFERROR(GETPIVOTDATA("[Measures].["&amp;A_Budget1!$AK$7&amp;"]",A_Budget1!$AJ$7,"[Budget1Data].[Cat_2]","[Budget1Data].[Cat_2].&amp;["&amp;A_Budget1!$AJ$8&amp;"]","[Budget1Data].[Cat_3]","[Budget1Data].[Cat_3].&amp;["&amp;EB15&amp;"]")/GETPIVOTDATA("[Measures].[Sum of Montant_Extrap 3]",A_Budget1!$AF$7,"[Budget1Data].[Cat_2]","[Budget1Data].[Cat_2].&amp;["&amp;WB_Data!$J$2&amp;"]"),"")</f>
        <v/>
      </c>
      <c r="EF15" s="105" t="str">
        <f>IFERROR(GETPIVOTDATA("[Measures].["&amp;A_Budget1!$AK$7&amp;"]",A_Budget1!$AJ$7,"[Budget1Data].[Cat_2]","[Budget1Data].[Cat_2].&amp;["&amp;A_Budget1!$AJ$8&amp;"]","[Budget1Data].[Cat_3]","[Budget1Data].[Cat_3].&amp;["&amp;EB15&amp;"]"),"")</f>
        <v/>
      </c>
      <c r="ES15" s="312">
        <f ca="1">IFERROR(SUM(ES2:ES13)/ES14,"")</f>
        <v>3.3333333333333335E-5</v>
      </c>
      <c r="ET15" s="311">
        <f ca="1">SUM(ET2:ET13)/ET14</f>
        <v>2E-3</v>
      </c>
      <c r="EU15" s="314">
        <f ca="1">SUM(EU2:EU13)/ET14</f>
        <v>2E-3</v>
      </c>
      <c r="FE15" t="str">
        <f t="shared" si="16"/>
        <v/>
      </c>
      <c r="FF15" s="105" t="e">
        <f>GETPIVOTDATA("[Measures].[ABSMontantE]",A_Budget1!$AF$32,"[Budget1Data].[Cat_2]","[Budget1Data].[Cat_2].&amp;["&amp;ControlChart_Budget1!FH14&amp;"]")</f>
        <v>#REF!</v>
      </c>
      <c r="FG15" s="172" t="e">
        <f>GETPIVOTDATA("[Measures].[ABS_LastM]",A_Budget1!$AF$32,"[Budget1Data].[Cat_2]","[Budget1Data].[Cat_2].&amp;["&amp;ControlChart_Budget1!FH14&amp;"]")</f>
        <v>#REF!</v>
      </c>
      <c r="FH15">
        <f>A_Budget1!AF47</f>
        <v>0</v>
      </c>
      <c r="FI15" s="174">
        <f t="shared" si="6"/>
        <v>0</v>
      </c>
      <c r="FJ15" s="175">
        <f t="shared" si="7"/>
        <v>0</v>
      </c>
      <c r="FK15" cm="1">
        <f t="array" ref="FK15">IFERROR(INDEX($FH$1:$FH$18,SMALL(IF($FI$1:$FI$18=FL15,ROW($FI$1:$FI$18)),COUNTIF($FL$1:FL15,FL15))),"")</f>
        <v>0</v>
      </c>
      <c r="FL15" s="174">
        <f t="shared" si="8"/>
        <v>0</v>
      </c>
      <c r="FM15" s="176">
        <f t="shared" si="9"/>
        <v>0</v>
      </c>
      <c r="FN15" t="str" cm="1">
        <f t="array" ref="FN15">_xlfn.IFS(FK15=0,"",FK15=$A$1,"",FK15&lt;&gt;"",FK15)</f>
        <v/>
      </c>
      <c r="FO15" t="str">
        <f t="shared" si="10"/>
        <v/>
      </c>
      <c r="FP15" s="177" t="str">
        <f t="shared" si="11"/>
        <v/>
      </c>
      <c r="FQ15" s="178" t="str">
        <f t="shared" si="12"/>
        <v/>
      </c>
    </row>
    <row r="16" spans="1:173" ht="12" thickBot="1" x14ac:dyDescent="0.3">
      <c r="A16" s="284" t="str">
        <f t="shared" ca="1" si="37"/>
        <v/>
      </c>
      <c r="B16" s="8" t="str">
        <f t="shared" ca="1" si="38"/>
        <v/>
      </c>
      <c r="D16" s="186"/>
      <c r="J16">
        <v>5</v>
      </c>
      <c r="K16">
        <v>6</v>
      </c>
      <c r="L16">
        <v>7</v>
      </c>
      <c r="M16">
        <v>8</v>
      </c>
      <c r="N16">
        <v>9</v>
      </c>
      <c r="O16">
        <v>10</v>
      </c>
      <c r="P16">
        <v>11</v>
      </c>
      <c r="Q16">
        <v>12</v>
      </c>
      <c r="R16">
        <v>13</v>
      </c>
      <c r="S16">
        <v>14</v>
      </c>
      <c r="T16">
        <v>15</v>
      </c>
      <c r="U16">
        <v>16</v>
      </c>
      <c r="V16">
        <v>17</v>
      </c>
      <c r="W16">
        <v>18</v>
      </c>
      <c r="X16">
        <v>19</v>
      </c>
      <c r="Y16">
        <v>20</v>
      </c>
      <c r="AJ16" s="35" t="s">
        <v>162</v>
      </c>
      <c r="AK16" s="35">
        <f>IFERROR(IF($AA4=3,($AR$4/$AJ$3)*$AC$3,($AR$4/$AJ$3)*$AC4*$AC$3),0)</f>
        <v>0</v>
      </c>
      <c r="AL16" s="35">
        <f>IFERROR(IF($AA$5=3,($AR$5/$AJ$3)*$AC$3,($AR$5/$AJ$3)*$AC5*$AC$3),0)</f>
        <v>0</v>
      </c>
      <c r="AM16" s="35">
        <f>IFERROR(IF($AA$6=3,($AR$6/$AJ$3)*$AC$3,($AR$6/$AJ$3)*$AC6*$AC$3),0)</f>
        <v>0</v>
      </c>
      <c r="AN16" s="35">
        <f>IFERROR(IF($AA$7=3,($AR$7/$AJ$3)*$AC$3,($AR$7/$AJ$3)*$AC7*$AC$3),0)</f>
        <v>0</v>
      </c>
      <c r="AO16" s="35">
        <f>IFERROR(IF($AA$8=3,($AR8/$AJ$3)*$AC$3,($AR8/$AJ$3)*$AC8*$AC$3),0)</f>
        <v>0</v>
      </c>
      <c r="AP16" s="35">
        <f>IFERROR(IF($AA$9=3,($AR$9/$AJ$3)*$AC$3,($AR$9/$AJ$3)*$AC9*$AC$3),0)</f>
        <v>0</v>
      </c>
      <c r="AQ16" s="35">
        <f>IFERROR(IF($AA10=3,($AR$10/$AJ$3)*$AC$3,($AR$10/$AJ$3)*$AC$10*$AC$3),0)</f>
        <v>0</v>
      </c>
      <c r="AR16" s="205">
        <f>SUM(AK16:AQ16)</f>
        <v>0</v>
      </c>
      <c r="AT16" s="8"/>
      <c r="AU16" s="9">
        <f ca="1"/>
        <v>23</v>
      </c>
      <c r="AV16" s="9">
        <f ca="1"/>
        <v>2026</v>
      </c>
      <c r="AW16" s="9">
        <f ca="1"/>
        <v>0</v>
      </c>
      <c r="AX16" s="127">
        <f>L20</f>
        <v>0</v>
      </c>
      <c r="AY16" s="129">
        <f>ABS(AL118)</f>
        <v>0</v>
      </c>
      <c r="AZ16" s="132">
        <f>IFERROR(IF(AND($AT$4&gt;=4,ABS($AL$116)&lt;0),ABS($AL$116),0),NA())</f>
        <v>0</v>
      </c>
      <c r="BA16" s="10">
        <f>IFERROR(AY16+AZ16,NA())</f>
        <v>0</v>
      </c>
      <c r="BB16" s="127">
        <f>IFERROR(IF(AND($AT$4&gt;=4,$AL$115&gt;0),$AL$115,0),NA())</f>
        <v>0</v>
      </c>
      <c r="BC16" s="133">
        <f>IF(BB16-BA16&lt;0,0,BB16-BA16)</f>
        <v>0</v>
      </c>
      <c r="BD16" s="130">
        <f>BC16+AX16</f>
        <v>0</v>
      </c>
      <c r="BE16" s="138">
        <f>IF(BD16-BA16&lt;0,0,BD16-BA16)</f>
        <v>0</v>
      </c>
      <c r="BF16" s="131" t="e">
        <f>BE16/BD16</f>
        <v>#DIV/0!</v>
      </c>
      <c r="BG16" s="126" t="e">
        <f>IFERROR((0.1*BD16)/BD16,NA())</f>
        <v>#N/A</v>
      </c>
      <c r="BH16" s="126" t="e">
        <f>IFERROR((0.1*BD16)/BD16,NA())</f>
        <v>#N/A</v>
      </c>
      <c r="BI16" s="126" t="e">
        <f>IFERROR((0.2*BD16)/BD16,NA())</f>
        <v>#N/A</v>
      </c>
      <c r="BJ16" s="131" t="e">
        <f>IFERROR(IF($AT$4&gt;4,0,BF16),NA())</f>
        <v>#N/A</v>
      </c>
      <c r="BK16" s="131">
        <f>IFERROR(IF($AT$4&gt;4,BF16,0),NA())</f>
        <v>0</v>
      </c>
      <c r="BL16" s="128" t="e">
        <f>IF(BK16&gt;0,0,BC16/AX16)</f>
        <v>#DIV/0!</v>
      </c>
      <c r="BM16" s="135">
        <f>IF((BD16-BE16)=0,0,(BD16-BE16)/BD16)</f>
        <v>0</v>
      </c>
      <c r="BN16" s="126" t="str">
        <f>IFERROR(BF16,"")</f>
        <v/>
      </c>
      <c r="BO16" s="8">
        <f>IFERROR(BA16,"")</f>
        <v>0</v>
      </c>
      <c r="BP16" s="8">
        <f>IFERROR(AX16,"")</f>
        <v>0</v>
      </c>
      <c r="BQ16" s="8" t="str">
        <f>IFERROR(IF(BC16=0,"",BC16),"")</f>
        <v/>
      </c>
      <c r="CK16" s="5" t="s">
        <v>162</v>
      </c>
      <c r="CL16" s="9">
        <f>J18</f>
        <v>2E-3</v>
      </c>
      <c r="CM16" s="9">
        <f>L18</f>
        <v>2E-3</v>
      </c>
      <c r="CN16" s="9">
        <f>N18</f>
        <v>2E-3</v>
      </c>
      <c r="CO16" s="9">
        <f>P18</f>
        <v>2E-3</v>
      </c>
      <c r="CP16" s="9">
        <f>R18</f>
        <v>2E-3</v>
      </c>
      <c r="CQ16" s="9">
        <f>T18</f>
        <v>2E-3</v>
      </c>
      <c r="CR16" s="9">
        <f>V18</f>
        <v>2E-3</v>
      </c>
      <c r="CS16" s="9"/>
      <c r="CT16">
        <f>SUM($CL16:$CS16)</f>
        <v>1.4E-2</v>
      </c>
      <c r="CX16" s="188" t="str">
        <f ca="1">IF(CY16&lt;&gt;"",CX1,"")</f>
        <v/>
      </c>
      <c r="CY16" s="144" t="str">
        <f ca="1">E18</f>
        <v/>
      </c>
      <c r="CZ16" s="9"/>
      <c r="DA16" s="9" t="s">
        <v>167</v>
      </c>
      <c r="DB16" s="9">
        <f>IF(DB14&gt;0,DB14,0)</f>
        <v>0</v>
      </c>
      <c r="DN16" s="9" t="str">
        <f t="shared" si="14"/>
        <v/>
      </c>
      <c r="DO16" s="9" t="str" cm="1">
        <f t="array" ref="DO16">_xlfn.IFS(RIGHT(A_Budget1!AJ24,5)="Total","",A_Budget1!AJ24="","",A_Budget1!AJ24&lt;&gt;"",A_Budget1!AJ24)</f>
        <v/>
      </c>
      <c r="DP16" s="9" t="str">
        <f>IFERROR(GETPIVOTDATA("[Measures].["&amp;A_Budget1!$AK$7&amp;"]",A_Budget1!$AJ$7,"[Budget1Data].[Cat_2]","[Budget1Data].[Cat_2].&amp;["&amp;A_Budget1!$AJ$8&amp;"]","[Budget1Data].[Cat_3]","[Budget1Data].[Cat_3].&amp;["&amp;DO16&amp;"]")/GETPIVOTDATA("[Measures].[Sum of Montant_Extrap 3]",A_Budget1!$AF$7,"[Budget1Data].[Cat_2]","[Budget1Data].[Cat_2].&amp;["&amp;WB_Data!$J$2&amp;"]"),"")</f>
        <v/>
      </c>
      <c r="DQ16" s="9" t="str" cm="1">
        <f t="array" ref="DQ16">IFERROR(INDEX($DO$1:$DO$16,SMALL(IF($DP$1:$DP$16=DR16,ROW($DP$1:$DP$16)),COUNTIF($DR$1:DR16,DR16))),"")</f>
        <v/>
      </c>
      <c r="DR16" s="104" t="str">
        <f t="shared" si="1"/>
        <v/>
      </c>
      <c r="DS16" s="103" t="str">
        <f>IFERROR(GETPIVOTDATA("[Measures].["&amp;A_Budget1!$AK$7&amp;"]",A_Budget1!$AJ$7,"[Budget1Data].[Cat_2]","[Budget1Data].[Cat_2].&amp;["&amp;A_Budget1!$AJ$8&amp;"]","[Budget1Data].[Cat_3]","[Budget1Data].[Cat_3].&amp;["&amp;DQ16&amp;"]"),"")</f>
        <v/>
      </c>
      <c r="DT16" s="154" t="str">
        <f>IFERROR(GETPIVOTDATA("[Measures].["&amp;A_Budget1!$AL$7&amp;"]",A_Budget1!$AJ$7,"[Budget1Data].[Cat_2]","[Budget1Data].[Cat_2].&amp;["&amp;A_Budget1!$AJ$8&amp;"]","[Budget1Data].[Cat_3]","[Budget1Data].[Cat_3].&amp;["&amp;DQ16&amp;"]")/GETPIVOTDATA("[Measures].[Sum of Last_Montant]",A_Budget1!$AF$7,"[Budget1Data].[Cat_2]","[Budget1Data].[Cat_2].&amp;["&amp;WB_Data!$J$2&amp;"]"),"")</f>
        <v/>
      </c>
      <c r="DU16" s="155" t="str">
        <f>IFERROR(GETPIVOTDATA("[Measures].["&amp;A_Budget1!$AL$7&amp;"]",A_Budget1!$AJ$7,"[Budget1Data].[Cat_2]","[Budget1Data].[Cat_2].&amp;["&amp;A_Budget1!$AJ$8&amp;"]","[Budget1Data].[Cat_3]","[Budget1Data].[Cat_3].&amp;["&amp;DQ16&amp;"]"),"")</f>
        <v/>
      </c>
      <c r="DV16" s="9" t="str">
        <f t="shared" si="0"/>
        <v/>
      </c>
      <c r="DW16" s="9"/>
      <c r="DX16" s="9"/>
      <c r="DY16" s="97" t="str">
        <f t="shared" si="15"/>
        <v/>
      </c>
      <c r="DZ16" s="9" t="str" cm="1">
        <f t="array" ref="DZ16">_xlfn.IFS(RIGHT(A_Budget1!AJ24,5)="Total","",A_Budget1!AJ24="","",A_Budget1!AJ24&lt;&gt;"",A_Budget1!AJ24)</f>
        <v/>
      </c>
      <c r="EA16" s="9" t="str">
        <f>IFERROR(GETPIVOTDATA("[Measures].["&amp;A_Budget1!$AL$7&amp;"]",A_Budget1!$AJ$7,"[Budget1Data].[Cat_2]","[Budget1Data].[Cat_2].&amp;["&amp;A_Budget1!$AJ$8&amp;"]","[Budget1Data].[Cat_3]","[Budget1Data].[Cat_3].&amp;["&amp;DZ16&amp;"]")/GETPIVOTDATA("[Measures].[Sum of Last_Montant]",A_Budget1!$AF$7,"[Budget1Data].[Cat_2]","[Budget1Data].[Cat_2].&amp;["&amp;WB_Data!$J$2&amp;"]"),"")</f>
        <v/>
      </c>
      <c r="EB16" s="9" t="str" cm="1">
        <f t="array" ref="EB16">IFERROR(INDEX($DZ$1:$DZ$16,SMALL(IF($EA$1:$EA$16=EC16,ROW($EA$1:$EA$16)),COUNTIF($EC$1:EC16,EC16))),"")</f>
        <v/>
      </c>
      <c r="EC16" s="154" t="str">
        <f t="shared" si="2"/>
        <v/>
      </c>
      <c r="ED16" s="154" t="str">
        <f>IFERROR(GETPIVOTDATA("[Measures].["&amp;A_Budget1!$AL$7&amp;"]",A_Budget1!$AJ$7,"[Budget1Data].[Cat_2]","[Budget1Data].[Cat_2].&amp;["&amp;A_Budget1!$AJ$8&amp;"]","[Budget1Data].[Cat_3]","[Budget1Data].[Cat_3].&amp;["&amp;EB16&amp;"]"),"")</f>
        <v/>
      </c>
      <c r="EE16" s="139" t="str">
        <f>IFERROR(GETPIVOTDATA("[Measures].["&amp;A_Budget1!$AK$7&amp;"]",A_Budget1!$AJ$7,"[Budget1Data].[Cat_2]","[Budget1Data].[Cat_2].&amp;["&amp;A_Budget1!$AJ$8&amp;"]","[Budget1Data].[Cat_3]","[Budget1Data].[Cat_3].&amp;["&amp;EB16&amp;"]")/GETPIVOTDATA("[Measures].[Sum of Montant_Extrap 3]",A_Budget1!$AF$7,"[Budget1Data].[Cat_2]","[Budget1Data].[Cat_2].&amp;["&amp;WB_Data!$J$2&amp;"]"),"")</f>
        <v/>
      </c>
      <c r="EF16" s="105" t="str">
        <f>IFERROR(GETPIVOTDATA("[Measures].["&amp;A_Budget1!$AK$7&amp;"]",A_Budget1!$AJ$7,"[Budget1Data].[Cat_2]","[Budget1Data].[Cat_2].&amp;["&amp;A_Budget1!$AJ$8&amp;"]","[Budget1Data].[Cat_3]","[Budget1Data].[Cat_3].&amp;["&amp;EB16&amp;"]"),"")</f>
        <v/>
      </c>
      <c r="FE16" t="str">
        <f t="shared" si="16"/>
        <v/>
      </c>
      <c r="FF16" s="105" t="e">
        <f>GETPIVOTDATA("[Measures].[ABSMontantE]",A_Budget1!$AF$32,"[Budget1Data].[Cat_2]","[Budget1Data].[Cat_2].&amp;["&amp;ControlChart_Budget1!FH15&amp;"]")</f>
        <v>#REF!</v>
      </c>
      <c r="FG16" s="172" t="e">
        <f>GETPIVOTDATA("[Measures].[ABS_LastM]",A_Budget1!$AF$32,"[Budget1Data].[Cat_2]","[Budget1Data].[Cat_2].&amp;["&amp;ControlChart_Budget1!FH15&amp;"]")</f>
        <v>#REF!</v>
      </c>
      <c r="FH16">
        <f>A_Budget1!AF48</f>
        <v>0</v>
      </c>
      <c r="FI16" s="174">
        <f t="shared" si="6"/>
        <v>0</v>
      </c>
      <c r="FJ16" s="175">
        <f t="shared" si="7"/>
        <v>0</v>
      </c>
      <c r="FK16" cm="1">
        <f t="array" ref="FK16">IFERROR(INDEX($FH$1:$FH$18,SMALL(IF($FI$1:$FI$18=FL16,ROW($FI$1:$FI$18)),COUNTIF($FL$1:FL16,FL16))),"")</f>
        <v>0</v>
      </c>
      <c r="FL16" s="174">
        <f t="shared" si="8"/>
        <v>0</v>
      </c>
      <c r="FM16" s="176">
        <f t="shared" si="9"/>
        <v>0</v>
      </c>
      <c r="FN16" t="str" cm="1">
        <f t="array" ref="FN16">_xlfn.IFS(FK16=0,"",FK16=$A$1,"",FK16&lt;&gt;"",FK16)</f>
        <v/>
      </c>
      <c r="FO16" t="str">
        <f t="shared" si="10"/>
        <v/>
      </c>
      <c r="FP16" s="177" t="str">
        <f t="shared" si="11"/>
        <v/>
      </c>
      <c r="FQ16" s="178" t="str">
        <f t="shared" si="12"/>
        <v/>
      </c>
    </row>
    <row r="17" spans="2:173" x14ac:dyDescent="0.25">
      <c r="B17" s="186"/>
      <c r="C17" s="186">
        <f ca="1">TODAY()</f>
        <v>45760</v>
      </c>
      <c r="D17" s="5" t="str">
        <f ca="1">"Qtr"&amp;ROUNDUP(C18/3,0)</f>
        <v>Qtr2</v>
      </c>
      <c r="E17" t="str" cm="1">
        <f t="array" aca="1" ref="E17:E21" ca="1">IFERROR(IF(E22&lt;&gt;2,A12:A16,B12:B16),"")</f>
        <v/>
      </c>
      <c r="F17" t="str">
        <f>IF(OR(I17=$A$1,I17=0),"",CONCATENATE(H17," ",I17))</f>
        <v>2025 Qtr1</v>
      </c>
      <c r="G17" s="5" cm="1">
        <f t="array" ref="G17:G22">_xlfn._xlws.SORT(F7:F12,1,1)</f>
        <v>11</v>
      </c>
      <c r="H17">
        <f>IF(G17&lt;20,$I$6,IF(G17&gt;20,$G$5,""))</f>
        <v>2025</v>
      </c>
      <c r="I17" s="5" t="str">
        <f>VLOOKUP(G17,$F$7:$I$12,4,FALSE)</f>
        <v>Qtr1</v>
      </c>
      <c r="J17">
        <f t="shared" ref="J17:Y21" si="41">IF($I17=$A$1,"",VLOOKUP($G17,$F$7:$Y$12,J$16,FALSE))</f>
        <v>2E-3</v>
      </c>
      <c r="K17">
        <f t="shared" si="41"/>
        <v>2.0000000000000001E-4</v>
      </c>
      <c r="L17">
        <f t="shared" si="41"/>
        <v>2E-3</v>
      </c>
      <c r="M17">
        <f t="shared" si="41"/>
        <v>2.0000000000000001E-4</v>
      </c>
      <c r="N17">
        <f t="shared" si="41"/>
        <v>2E-3</v>
      </c>
      <c r="O17">
        <f t="shared" si="41"/>
        <v>2.0000000000000001E-4</v>
      </c>
      <c r="P17">
        <f t="shared" si="41"/>
        <v>2E-3</v>
      </c>
      <c r="Q17">
        <f t="shared" si="41"/>
        <v>2.0000000000000001E-4</v>
      </c>
      <c r="R17">
        <f t="shared" si="41"/>
        <v>2E-3</v>
      </c>
      <c r="S17">
        <f t="shared" si="41"/>
        <v>2.0000000000000001E-4</v>
      </c>
      <c r="T17">
        <f t="shared" si="41"/>
        <v>2E-3</v>
      </c>
      <c r="U17">
        <f t="shared" si="41"/>
        <v>2.0000000000000001E-4</v>
      </c>
      <c r="V17">
        <f t="shared" si="41"/>
        <v>2E-3</v>
      </c>
      <c r="W17">
        <f t="shared" si="41"/>
        <v>2.0000000000000001E-4</v>
      </c>
      <c r="X17">
        <f t="shared" si="41"/>
        <v>1.4000000000000005E-2</v>
      </c>
      <c r="Y17">
        <f t="shared" si="41"/>
        <v>1.4000000000000004E-3</v>
      </c>
      <c r="AJ17" s="36" t="s">
        <v>163</v>
      </c>
      <c r="AK17" s="36">
        <f>IFERROR(IF($AA4=3,($AR$4/$AJ$3)*$AE$3,($AR$4/$AJ$3)*$AE4)*$AE$3,0)</f>
        <v>0</v>
      </c>
      <c r="AL17" s="36">
        <f>IFERROR(IF($AA$5=3,($AR$5/$AJ$3)*$AE$3,($AR$5/$AJ$3)*$AE5*$AE$3),0)</f>
        <v>0</v>
      </c>
      <c r="AM17" s="36">
        <f>IFERROR(IF($AA$6=3,($AR$6/$AJ$3)*$AE$3,($AR$6/$AJ$3)*$AE6*$AE$3),0)</f>
        <v>0</v>
      </c>
      <c r="AN17" s="36">
        <f>IFERROR(IF($AA$7=3,($AR$7/$AJ$3)*$AE$3,($AR$7/$AJ$3)*$AE7*$AE$3),0)</f>
        <v>0</v>
      </c>
      <c r="AO17" s="36">
        <f>IFERROR(IF($AA$8=3,($AR8/$AJ$3)*$AE$3,($AR8/$AJ$3)*$AE8*$AE$3),0)</f>
        <v>0</v>
      </c>
      <c r="AP17" s="36">
        <f>IFERROR(IF($AA$9=3,($AR$9/$AJ$3)*$AE$3,($AR$9/$AJ$3)*$AE9*$AE$3),0)</f>
        <v>0</v>
      </c>
      <c r="AQ17" s="36">
        <f>IFERROR(IF($AA10=3,($AR$10/$AJ$3)*$AE$3,($AR$10/$AJ$3)*$AE$10*$AE$3),0)</f>
        <v>0</v>
      </c>
      <c r="AR17" s="206">
        <f>SUM(AK17:AQ17)</f>
        <v>0</v>
      </c>
      <c r="AT17" s="8"/>
      <c r="AU17" s="9"/>
      <c r="AV17" s="9"/>
      <c r="AW17" s="9"/>
      <c r="AX17" s="127">
        <f>L21</f>
        <v>0</v>
      </c>
      <c r="AY17" s="129">
        <f>ABS(AL151)</f>
        <v>0</v>
      </c>
      <c r="AZ17" s="132">
        <f>IFERROR(IF(AND($AT$4&gt;=5,ABS($AL$149)&lt;0),ABS($AL$149),0),NA())</f>
        <v>0</v>
      </c>
      <c r="BA17" s="10">
        <f>IFERROR(AY17+AZ17,NA())</f>
        <v>0</v>
      </c>
      <c r="BB17" s="127">
        <f>IFERROR(IF(AND($AT$4&gt;=5,$AL$148&gt;0),$AL$148,0),NA())</f>
        <v>0</v>
      </c>
      <c r="BC17" s="133">
        <f>IF(BB17-BA17&lt;0,0,BB17-BA17)</f>
        <v>0</v>
      </c>
      <c r="BD17" s="130">
        <f>BC17+AX17</f>
        <v>0</v>
      </c>
      <c r="BE17" s="138">
        <f>IF(BD17-BA17&lt;0,0,BD17-BA17)</f>
        <v>0</v>
      </c>
      <c r="BF17" s="131" t="e">
        <f>BE17/BD17</f>
        <v>#DIV/0!</v>
      </c>
      <c r="BG17" s="126" t="e">
        <f>IFERROR((0.1*BD17)/BD17,NA())</f>
        <v>#N/A</v>
      </c>
      <c r="BH17" s="126" t="e">
        <f>IFERROR((0.1*BD17)/BD17,NA())</f>
        <v>#N/A</v>
      </c>
      <c r="BI17" s="126" t="e">
        <f>IFERROR((0.2*BD17)/BD17,NA())</f>
        <v>#N/A</v>
      </c>
      <c r="BJ17" s="131" t="e">
        <f>IFERROR(IF($AT$4&gt;5,0,BF17),NA())</f>
        <v>#N/A</v>
      </c>
      <c r="BK17" s="131">
        <f>IFERROR(IF($AT$4&gt;5,BF17,0),NA())</f>
        <v>0</v>
      </c>
      <c r="BL17" s="128" t="e">
        <f>IF(BK17&gt;0,0,BC17/AX17)</f>
        <v>#DIV/0!</v>
      </c>
      <c r="BM17" s="135">
        <f>IF((BD17-BE17)=0,0,(BD17-BE17)/BD17)</f>
        <v>0</v>
      </c>
      <c r="BN17" s="126" t="str">
        <f>IFERROR(BF17,"")</f>
        <v/>
      </c>
      <c r="BO17" s="8">
        <f>IFERROR(BA17,"")</f>
        <v>0</v>
      </c>
      <c r="BP17" s="8">
        <f>IFERROR(AX17,"")</f>
        <v>0</v>
      </c>
      <c r="BQ17" s="8" t="str">
        <f>IFERROR(IF(BC17=0,"",BC17),"")</f>
        <v/>
      </c>
      <c r="CK17" s="5" t="s">
        <v>163</v>
      </c>
      <c r="CL17" s="9" t="str">
        <f>J19</f>
        <v/>
      </c>
      <c r="CM17" s="9" t="str">
        <f>L19</f>
        <v/>
      </c>
      <c r="CN17" s="9" t="str">
        <f>N19</f>
        <v/>
      </c>
      <c r="CO17" s="9" t="str">
        <f>P19</f>
        <v/>
      </c>
      <c r="CP17" s="9" t="str">
        <f>R19</f>
        <v/>
      </c>
      <c r="CQ17" s="9" t="str">
        <f>T19</f>
        <v/>
      </c>
      <c r="CR17" s="9" t="str">
        <f>V19</f>
        <v/>
      </c>
      <c r="CS17" s="9"/>
      <c r="CT17">
        <f>SUM($CL17:$CS17)</f>
        <v>0</v>
      </c>
      <c r="CY17" s="9" t="s">
        <v>14</v>
      </c>
      <c r="CZ17" s="9" cm="1">
        <f t="array" ref="CZ17">IFERROR(_xlfn.IFS(DB16&gt;0,0%,(DB15/CZ18)&gt;1.4,1.4,DB15&gt;=0,(DB15/CZ18)),0)</f>
        <v>0</v>
      </c>
      <c r="DA17" s="9"/>
      <c r="DB17" s="9" t="s">
        <v>169</v>
      </c>
      <c r="DN17" s="9"/>
      <c r="DO17" s="9"/>
      <c r="DP17" s="8"/>
      <c r="DQ17" s="8"/>
      <c r="DR17" s="9" t="str">
        <f>A_Budget1!AJ8</f>
        <v>Category3</v>
      </c>
      <c r="DS17" s="9"/>
      <c r="DT17" s="86"/>
      <c r="DW17" s="88"/>
      <c r="DY17" t="s">
        <v>130</v>
      </c>
      <c r="EK17" s="136"/>
      <c r="EL17" s="165">
        <f>ControlChart_Budget1!I6</f>
        <v>2025</v>
      </c>
      <c r="EM17" s="165">
        <f>G5</f>
        <v>2026</v>
      </c>
      <c r="EN17" s="5">
        <f>IFERROR(IF(EL17=EM17,1,2),1)</f>
        <v>2</v>
      </c>
      <c r="ER17" s="9" t="str">
        <f>A_Budget1!BA8</f>
        <v>Sub-Category3</v>
      </c>
      <c r="ES17" t="str">
        <f>A_Budget1!BE7</f>
        <v>ABSB1M</v>
      </c>
      <c r="ET17" s="165" t="str">
        <f>A_Budget1!BC7</f>
        <v>ABSMontantE</v>
      </c>
      <c r="EU17" t="str">
        <f>A_Budget1!BD7</f>
        <v>ABS_LastM</v>
      </c>
      <c r="EV17" t="s">
        <v>1118</v>
      </c>
      <c r="FE17" t="str">
        <f t="shared" si="16"/>
        <v/>
      </c>
      <c r="FF17" s="105" t="e">
        <f>GETPIVOTDATA("[Measures].[ABSMontantE]",A_Budget1!$AF$32,"[Budget1Data].[Cat_2]","[Budget1Data].[Cat_2].&amp;["&amp;ControlChart_Budget1!FH16&amp;"]")</f>
        <v>#REF!</v>
      </c>
      <c r="FG17" s="172" t="e">
        <f>GETPIVOTDATA("[Measures].[ABS_LastM]",A_Budget1!$AF$32,"[Budget1Data].[Cat_2]","[Budget1Data].[Cat_2].&amp;["&amp;ControlChart_Budget1!FH16&amp;"]")</f>
        <v>#REF!</v>
      </c>
      <c r="FH17">
        <f>A_Budget1!AF49</f>
        <v>0</v>
      </c>
      <c r="FI17" s="174">
        <f t="shared" si="6"/>
        <v>0</v>
      </c>
      <c r="FJ17" s="175">
        <f t="shared" si="7"/>
        <v>0</v>
      </c>
      <c r="FK17" cm="1">
        <f t="array" ref="FK17">IFERROR(INDEX($FH$1:$FH$18,SMALL(IF($FI$1:$FI$18=FL17,ROW($FI$1:$FI$18)),COUNTIF($FL$1:FL17,FL17))),"")</f>
        <v>0</v>
      </c>
      <c r="FL17" s="174">
        <f t="shared" si="8"/>
        <v>0</v>
      </c>
      <c r="FM17" s="176">
        <f t="shared" si="9"/>
        <v>0</v>
      </c>
      <c r="FN17" t="str" cm="1">
        <f t="array" ref="FN17">_xlfn.IFS(FK17=0,"",FK17=$A$1,"",FK17&lt;&gt;"",FK17)</f>
        <v/>
      </c>
      <c r="FO17" t="str">
        <f t="shared" si="10"/>
        <v/>
      </c>
      <c r="FP17" s="177" t="str">
        <f t="shared" si="11"/>
        <v/>
      </c>
      <c r="FQ17" s="178" t="str">
        <f t="shared" si="12"/>
        <v/>
      </c>
    </row>
    <row r="18" spans="2:173" ht="12" thickBot="1" x14ac:dyDescent="0.3">
      <c r="B18" s="186"/>
      <c r="C18" s="5">
        <f ca="1">MONTH(C17)</f>
        <v>4</v>
      </c>
      <c r="E18" t="str">
        <f ca="1"/>
        <v/>
      </c>
      <c r="F18" t="str">
        <f>IF(OR(I18=$A$1,I18=0),"",CONCATENATE(H18," ",I18))</f>
        <v>2026 Qtr1</v>
      </c>
      <c r="G18" s="5">
        <v>21</v>
      </c>
      <c r="H18">
        <f t="shared" ref="H18:H21" si="42">IF(G18&lt;20,$I$6,IF(G18&gt;20,$G$5,""))</f>
        <v>2026</v>
      </c>
      <c r="I18" s="5" t="str">
        <f>VLOOKUP(G18,$F$7:$I$12,4,FALSE)</f>
        <v>Qtr1</v>
      </c>
      <c r="J18">
        <f t="shared" si="41"/>
        <v>2E-3</v>
      </c>
      <c r="K18">
        <f t="shared" si="41"/>
        <v>2.0000000000000001E-4</v>
      </c>
      <c r="L18">
        <f t="shared" si="41"/>
        <v>2E-3</v>
      </c>
      <c r="M18">
        <f t="shared" si="41"/>
        <v>2.0000000000000001E-4</v>
      </c>
      <c r="N18">
        <f t="shared" si="41"/>
        <v>2E-3</v>
      </c>
      <c r="O18">
        <f t="shared" si="41"/>
        <v>2.0000000000000001E-4</v>
      </c>
      <c r="P18">
        <f t="shared" si="41"/>
        <v>2E-3</v>
      </c>
      <c r="Q18">
        <f t="shared" si="41"/>
        <v>2.0000000000000001E-4</v>
      </c>
      <c r="R18">
        <f t="shared" si="41"/>
        <v>2E-3</v>
      </c>
      <c r="S18">
        <f t="shared" si="41"/>
        <v>2.0000000000000001E-4</v>
      </c>
      <c r="T18">
        <f t="shared" si="41"/>
        <v>2E-3</v>
      </c>
      <c r="U18">
        <f t="shared" si="41"/>
        <v>2.0000000000000001E-4</v>
      </c>
      <c r="V18">
        <f t="shared" si="41"/>
        <v>2E-3</v>
      </c>
      <c r="W18">
        <f t="shared" si="41"/>
        <v>2.0000000000000001E-4</v>
      </c>
      <c r="X18">
        <f t="shared" si="41"/>
        <v>1.4000000000000005E-2</v>
      </c>
      <c r="Y18">
        <f t="shared" si="41"/>
        <v>1.4000000000000004E-3</v>
      </c>
      <c r="AJ18" s="37" t="s">
        <v>164</v>
      </c>
      <c r="AK18" s="37">
        <f>IFERROR(IF($AA4=3,($AR$4/$AJ$3)*$AG$3,($AR$4/$AJ$3)*$AG4*$AG$3),0)</f>
        <v>0</v>
      </c>
      <c r="AL18" s="37">
        <f>IFERROR(IF($AA$5=3,($AR$5/$AJ$3)*$AG$3,($AR$5/$AJ$3)*$AG5*$AG$3),0)</f>
        <v>0</v>
      </c>
      <c r="AM18" s="37">
        <f>IFERROR(IF($AA$6=3,($AR$6/$AJ$3)*$AG$3,($AR$6/$AJ$3)*$AG6*$AG$3),0)</f>
        <v>0</v>
      </c>
      <c r="AN18" s="37">
        <f>IFERROR(IF($AA$7=3,($AR$7/$AJ$3)*$AG$3,($AR$7/$AJ$3)*$AG7*$AG$3),0)</f>
        <v>0</v>
      </c>
      <c r="AO18" s="37">
        <f>IFERROR(IF($AA$8=3,($AR$8/$AJ$3)*$AG$3,($AR$8/$AJ$3)*$AG8*$AG$3),0)</f>
        <v>0</v>
      </c>
      <c r="AP18" s="37">
        <f>IFERROR(IF($AA$9=3,($AR$9/$AJ$3)*$AG$3,($AR$9/$AJ$3)*$AG9*$AG$3),0)</f>
        <v>0</v>
      </c>
      <c r="AQ18" s="37">
        <f>IFERROR(IF($AA10=3,($AR$10/$AJ$3)*$AG$3,($AR$10/$AJ$3)*$AG$10*$AG$3),0)</f>
        <v>0</v>
      </c>
      <c r="AR18" s="207">
        <f>SUM(AK18:AQ18)</f>
        <v>0</v>
      </c>
      <c r="AT18" s="304" cm="1">
        <f t="array" ref="AT18">_xlfn.IFS($AT$4=1,BO13,$AT$4=2,BO14,$AT$4=3,BO15,$AT$4=4,BO16,$AT$4=5,BO17)</f>
        <v>2.0000000000000001E-4</v>
      </c>
      <c r="AU18" s="304" cm="1">
        <f t="array" ref="AU18">_xlfn.IFS($AT$4=1,BP13,$AT$4=2,BP14,$AT$4=3,BP15,$AT$4=4,BP16,$AT$4=5,BP17)</f>
        <v>2E-3</v>
      </c>
      <c r="AV18" s="8" t="str">
        <f>IF(AU18&lt;&gt;"","/ "&amp;AU18&amp;WB_Data!EJ2,"")</f>
        <v>/ 0.002$</v>
      </c>
      <c r="AW18" s="303" cm="1">
        <f t="array" ref="AW18">_xlfn.IFS($AT$4=1,BQ13,$AT$4=2,BQ14,$AT$4=3,BQ15,$AT$4=4,BQ16,$AT$4=5,BQ17)</f>
        <v>0</v>
      </c>
      <c r="AX18" s="85" t="str">
        <f>IF(AW18="","","Extra")</f>
        <v>Extra</v>
      </c>
      <c r="CK18" s="5" t="s">
        <v>164</v>
      </c>
      <c r="CL18" s="9">
        <f>J20</f>
        <v>0</v>
      </c>
      <c r="CM18" s="9">
        <f>L20</f>
        <v>0</v>
      </c>
      <c r="CN18" s="9">
        <f>N20</f>
        <v>0</v>
      </c>
      <c r="CO18" s="9">
        <f>P20</f>
        <v>0</v>
      </c>
      <c r="CP18" s="9">
        <f>R20</f>
        <v>0</v>
      </c>
      <c r="CQ18" s="9">
        <f>T20</f>
        <v>0</v>
      </c>
      <c r="CR18" s="9">
        <f>V20</f>
        <v>0</v>
      </c>
      <c r="CS18" s="9"/>
      <c r="CT18">
        <f>SUM($CL18:$CS18)</f>
        <v>0</v>
      </c>
      <c r="CY18" s="9" t="str">
        <f>F18</f>
        <v>2026 Qtr1</v>
      </c>
      <c r="CZ18" s="9">
        <f>CT16</f>
        <v>1.4E-2</v>
      </c>
      <c r="DA18" s="126">
        <v>0</v>
      </c>
      <c r="DB18" s="126">
        <f>CZ17</f>
        <v>0</v>
      </c>
      <c r="DO18" s="88"/>
      <c r="DS18" s="5"/>
      <c r="DT18" s="86"/>
      <c r="DW18" s="88"/>
      <c r="EK18" s="5"/>
      <c r="EL18" s="170">
        <f ca="1">IFERROR(GETPIVOTDATA("[Measures].["&amp;A_Budget1!$BC$7&amp;"]",A_Budget1!$BA$7,"[Budget1Data].[Cat_3]","[Budget1Data].[Cat_3].&amp;["&amp;ControlChart_Budget1!$ER$17&amp;"]","[Budget1Data].[Mois (Month)]","[Budget1Data].[Mois (Month)].&amp;["&amp;EV18&amp;"]","[Budget1Data].[Mois (Year)]","[Budget1Data].[Mois (Year)].&amp;["&amp;$EL$17&amp;"]"),0)</f>
        <v>2E-3</v>
      </c>
      <c r="EM18" s="165">
        <f ca="1">IFERROR(IF($EN$17=1,0,GETPIVOTDATA("[Measures].["&amp;A_Budget1!$BC$7&amp;"]",A_Budget1!$BA$7,"[Budget1Data].[Cat_3]","[Budget1Data].[Cat_3].&amp;["&amp;ControlChart_Budget1!$ER$17&amp;"]","[Budget1Data].[Mois (Month)]","[Budget1Data].[Mois (Month)].&amp;["&amp;EV18&amp;"]","[Budget1Data].[Mois (Year)]","[Budget1Data].[Mois (Year)].&amp;["&amp;$EM$17&amp;"]")),0)</f>
        <v>0</v>
      </c>
      <c r="EN18" s="139">
        <f ca="1">IFERROR(GETPIVOTDATA("[Measures].["&amp;A_Budget1!$BD$7&amp;"]",A_Budget1!$BA$7,"[Budget1Data].[Cat_3]","[Budget1Data].[Cat_3].&amp;["&amp;ControlChart_Budget1!$ER$17&amp;"]","[Budget1Data].[Mois (Month)]","[Budget1Data].[Mois (Month)].&amp;["&amp;EV18&amp;"]","[Budget1Data].[Mois (Year)]","[Budget1Data].[Mois (Year)].&amp;["&amp;$EL$17&amp;"]"),0)</f>
        <v>2E-3</v>
      </c>
      <c r="EO18" s="139">
        <f ca="1">IFERROR(IF($EN$17=1,0,GETPIVOTDATA("[Measures].["&amp;A_Budget1!$BD$7&amp;"]",A_Budget1!$BA$7,"[Budget1Data].[Cat_3]","[Budget1Data].[Cat_3].&amp;["&amp;ControlChart_Budget1!$ER$17&amp;"]","[Budget1Data].[Mois (Month)]","[Budget1Data].[Mois (Month)].&amp;["&amp;EV18&amp;"]","[Budget1Data].[Mois (Year)]","[Budget1Data].[Mois (Year)].&amp;["&amp;$EM$17&amp;"]")),0)</f>
        <v>0</v>
      </c>
      <c r="EP18" s="167">
        <f ca="1">IFERROR(GETPIVOTDATA("[Measures].["&amp;A_Budget1!$BE$7&amp;"]",A_Budget1!$BA$7,"[Budget1Data].[Cat_3]","[Budget1Data].[Cat_3].&amp;["&amp;ControlChart_Budget1!$ER$17&amp;"]","[Budget1Data].[Mois (Month)]","[Budget1Data].[Mois (Month)].&amp;["&amp;EV18&amp;"]","[Budget1Data].[Mois (Year)]","[Budget1Data].[Mois (Year)].&amp;["&amp;$EL$17&amp;"]"),0)</f>
        <v>2.0000000000000001E-4</v>
      </c>
      <c r="EQ18" s="167">
        <f ca="1">IFERROR(IF($EN$17=1,0,GETPIVOTDATA("[Measures].["&amp;A_Budget1!$BE$7&amp;"]",A_Budget1!$BA$7,"[Budget1Data].[Cat_3]","[Budget1Data].[Cat_3].&amp;["&amp;ControlChart_Budget1!$ER$17&amp;"]","[Budget1Data].[Mois (Month)]","[Budget1Data].[Mois (Month)].&amp;["&amp;EV18&amp;"]","[Budget1Data].[Mois (Year)]","[Budget1Data].[Mois (Year)].&amp;["&amp;$EM$17&amp;"]")),0)</f>
        <v>0</v>
      </c>
      <c r="ER18" s="9" t="str">
        <f>IFERROR(IF(A_Budget1!BB9=0,"",A_Budget1!BB9),"")</f>
        <v>janv</v>
      </c>
      <c r="ES18" s="312">
        <f t="shared" ref="ES18:ES29" ca="1" si="43">EP18+EQ18</f>
        <v>2.0000000000000001E-4</v>
      </c>
      <c r="ET18" s="313">
        <f t="shared" ref="ET18:ET29" ca="1" si="44">EL18+EM18</f>
        <v>2E-3</v>
      </c>
      <c r="EU18" s="314">
        <f t="shared" ref="EU18:EU29" ca="1" si="45">EN18+EO18</f>
        <v>2E-3</v>
      </c>
      <c r="EV18" t="str">
        <f ca="1">IFERROR(VLOOKUP(ER18,Library!$R$18:$S$29,2,FALSE),Library!S18)</f>
        <v>janv</v>
      </c>
      <c r="FE18" t="str">
        <f t="shared" si="16"/>
        <v/>
      </c>
      <c r="FF18" s="105" t="e">
        <f>GETPIVOTDATA("[Measures].[ABSMontantE]",A_Budget1!$AF$32,"[Budget1Data].[Cat_2]","[Budget1Data].[Cat_2].&amp;["&amp;ControlChart_Budget1!FH17&amp;"]")</f>
        <v>#REF!</v>
      </c>
      <c r="FG18" s="172" t="e">
        <f>GETPIVOTDATA("[Measures].[ABS_LastM]",A_Budget1!$AF$32,"[Budget1Data].[Cat_2]","[Budget1Data].[Cat_2].&amp;["&amp;ControlChart_Budget1!FH17&amp;"]")</f>
        <v>#REF!</v>
      </c>
      <c r="FH18">
        <f>A_Budget1!AF50</f>
        <v>0</v>
      </c>
      <c r="FI18" s="174">
        <f t="shared" si="6"/>
        <v>0</v>
      </c>
      <c r="FJ18" s="175">
        <f t="shared" si="7"/>
        <v>0</v>
      </c>
      <c r="FK18" cm="1">
        <f t="array" ref="FK18">IFERROR(INDEX($FH$1:$FH$18,SMALL(IF($FI$1:$FI$18=FL18,ROW($FI$1:$FI$18)),COUNTIF($FL$1:FL18,FL18))),"")</f>
        <v>0</v>
      </c>
      <c r="FL18" s="174">
        <f t="shared" si="8"/>
        <v>0</v>
      </c>
      <c r="FM18" s="176">
        <f t="shared" si="9"/>
        <v>0</v>
      </c>
      <c r="FN18" t="str" cm="1">
        <f t="array" ref="FN18">_xlfn.IFS(FK18=0,"",FK18=$A$1,"",FK18&lt;&gt;"",FK18)</f>
        <v/>
      </c>
      <c r="FO18" t="str">
        <f t="shared" si="10"/>
        <v/>
      </c>
      <c r="FP18" s="177" t="str">
        <f t="shared" si="11"/>
        <v/>
      </c>
      <c r="FQ18" s="178" t="str">
        <f t="shared" si="12"/>
        <v/>
      </c>
    </row>
    <row r="19" spans="2:173" ht="12" thickBot="1" x14ac:dyDescent="0.3">
      <c r="B19" s="186"/>
      <c r="C19" s="5"/>
      <c r="E19" t="str">
        <f ca="1"/>
        <v/>
      </c>
      <c r="F19" t="str">
        <f>IF(OR(I19=$A$1,I19=0),"",CONCATENATE(H19," ",I19))</f>
        <v/>
      </c>
      <c r="G19" s="5">
        <v>22</v>
      </c>
      <c r="H19">
        <f t="shared" si="42"/>
        <v>2026</v>
      </c>
      <c r="I19" s="5" t="str">
        <f>VLOOKUP(G19,$F$7:$I$12,4,FALSE)</f>
        <v>Grand Total</v>
      </c>
      <c r="J19" t="str">
        <f t="shared" si="41"/>
        <v/>
      </c>
      <c r="K19" t="str">
        <f t="shared" si="41"/>
        <v/>
      </c>
      <c r="L19" t="str">
        <f t="shared" si="41"/>
        <v/>
      </c>
      <c r="M19" t="str">
        <f t="shared" si="41"/>
        <v/>
      </c>
      <c r="N19" t="str">
        <f t="shared" si="41"/>
        <v/>
      </c>
      <c r="O19" t="str">
        <f t="shared" si="41"/>
        <v/>
      </c>
      <c r="P19" t="str">
        <f t="shared" si="41"/>
        <v/>
      </c>
      <c r="Q19" t="str">
        <f t="shared" si="41"/>
        <v/>
      </c>
      <c r="R19" t="str">
        <f t="shared" si="41"/>
        <v/>
      </c>
      <c r="S19" t="str">
        <f t="shared" si="41"/>
        <v/>
      </c>
      <c r="T19" t="str">
        <f t="shared" si="41"/>
        <v/>
      </c>
      <c r="U19" t="str">
        <f t="shared" si="41"/>
        <v/>
      </c>
      <c r="V19" t="str">
        <f t="shared" si="41"/>
        <v/>
      </c>
      <c r="W19" t="str">
        <f t="shared" si="41"/>
        <v/>
      </c>
      <c r="X19" t="str">
        <f t="shared" si="41"/>
        <v/>
      </c>
      <c r="Y19" t="str">
        <f t="shared" si="41"/>
        <v/>
      </c>
      <c r="AC19" s="119"/>
      <c r="AJ19" s="198" t="s">
        <v>165</v>
      </c>
      <c r="AK19" s="198">
        <f>IFERROR(IF($AA4=3,($AR$4/$AJ$3)*$AI$3,($AR$4/$AJ$3)*$AI4*$AI$3),0)</f>
        <v>0</v>
      </c>
      <c r="AL19" s="198">
        <f>IFERROR(IF($AA$5=3,($AR$5/$AJ$3)*$AI$3,($AR$5/$AJ$3)*$AI5*$AI$3),0)</f>
        <v>0</v>
      </c>
      <c r="AM19" s="198">
        <f>IFERROR(IF($AA$6=3,($AR$6/$AJ$3)*$AI$3,($AR$6/$AJ$3)*$AI6*$AI$3),0)</f>
        <v>0</v>
      </c>
      <c r="AN19" s="198">
        <f>IFERROR(IF($AA$7=3,($AR$7/$AJ$3)*$AI$3,($AR$7/$AJ$3)*$AI7*$AI$3),0)</f>
        <v>0</v>
      </c>
      <c r="AO19" s="198">
        <f>IFERROR(IF($AA$8=3,($AR$8/$AJ$3)*$AI$3,($AR$8/$AJ$3)*$AI8*$AI$3),0)</f>
        <v>0</v>
      </c>
      <c r="AP19" s="198">
        <f>IFERROR(IF($AA$9=3,($AR$9/$AJ$3)*$AI$3,($AR$9/$AJ$3)*$AI9)*$AI$3,0)</f>
        <v>0</v>
      </c>
      <c r="AQ19" s="198">
        <f>IFERROR(IF($AA10=3,($AR$10/$AJ$3)*$AI$3,($AR$10/$AJ$3)*$AI$10*$AI$3),0)</f>
        <v>0</v>
      </c>
      <c r="AR19" s="208">
        <f>SUM(AK19:AQ19)</f>
        <v>0</v>
      </c>
      <c r="CK19" s="5" t="s">
        <v>165</v>
      </c>
      <c r="CL19" s="9">
        <f>J21</f>
        <v>0</v>
      </c>
      <c r="CM19" s="9">
        <f>L21</f>
        <v>0</v>
      </c>
      <c r="CN19" s="9">
        <f>N21</f>
        <v>0</v>
      </c>
      <c r="CO19" s="9">
        <f>P21</f>
        <v>0</v>
      </c>
      <c r="CP19" s="9">
        <f>R21</f>
        <v>0</v>
      </c>
      <c r="CQ19" s="9">
        <f>T21</f>
        <v>0</v>
      </c>
      <c r="CR19" s="9">
        <f>V21</f>
        <v>0</v>
      </c>
      <c r="CS19" s="9"/>
      <c r="CT19">
        <f>SUM($CL19:$CS19)</f>
        <v>0</v>
      </c>
      <c r="CY19" s="9" t="s">
        <v>184</v>
      </c>
      <c r="CZ19" s="9"/>
      <c r="DA19" s="126">
        <v>1</v>
      </c>
      <c r="DB19" s="126">
        <v>0.01</v>
      </c>
      <c r="DO19" s="192">
        <v>3</v>
      </c>
      <c r="DS19" s="5"/>
      <c r="DT19" s="156" t="str">
        <f>DR17</f>
        <v>Category3</v>
      </c>
      <c r="DW19" s="88"/>
      <c r="EK19" s="5"/>
      <c r="EL19" s="170">
        <f ca="1">IFERROR(GETPIVOTDATA("[Measures].["&amp;A_Budget1!$BC$7&amp;"]",A_Budget1!$BA$7,"[Budget1Data].[Cat_3]","[Budget1Data].[Cat_3].&amp;["&amp;ControlChart_Budget1!$ER$17&amp;"]","[Budget1Data].[Mois (Month)]","[Budget1Data].[Mois (Month)].&amp;["&amp;EV19&amp;"]","[Budget1Data].[Mois (Year)]","[Budget1Data].[Mois (Year)].&amp;["&amp;$EL$17&amp;"]"),0)</f>
        <v>2E-3</v>
      </c>
      <c r="EM19" s="165">
        <f ca="1">IFERROR(IF($EN$17=1,0,GETPIVOTDATA("[Measures].["&amp;A_Budget1!$BC$7&amp;"]",A_Budget1!$BA$7,"[Budget1Data].[Cat_3]","[Budget1Data].[Cat_3].&amp;["&amp;ControlChart_Budget1!$ER$17&amp;"]","[Budget1Data].[Mois (Month)]","[Budget1Data].[Mois (Month)].&amp;["&amp;EV19&amp;"]","[Budget1Data].[Mois (Year)]","[Budget1Data].[Mois (Year)].&amp;["&amp;$EM$17&amp;"]")),0)</f>
        <v>0</v>
      </c>
      <c r="EN19" s="139">
        <f ca="1">IFERROR(GETPIVOTDATA("[Measures].["&amp;A_Budget1!$BD$7&amp;"]",A_Budget1!$BA$7,"[Budget1Data].[Cat_3]","[Budget1Data].[Cat_3].&amp;["&amp;ControlChart_Budget1!$ER$17&amp;"]","[Budget1Data].[Mois (Month)]","[Budget1Data].[Mois (Month)].&amp;["&amp;EV19&amp;"]","[Budget1Data].[Mois (Year)]","[Budget1Data].[Mois (Year)].&amp;["&amp;$EL$17&amp;"]"),0)</f>
        <v>2E-3</v>
      </c>
      <c r="EO19" s="139">
        <f ca="1">IFERROR(IF($EN$17=1,0,GETPIVOTDATA("[Measures].["&amp;A_Budget1!$BD$7&amp;"]",A_Budget1!$BA$7,"[Budget1Data].[Cat_3]","[Budget1Data].[Cat_3].&amp;["&amp;ControlChart_Budget1!$ER$17&amp;"]","[Budget1Data].[Mois (Month)]","[Budget1Data].[Mois (Month)].&amp;["&amp;EV19&amp;"]","[Budget1Data].[Mois (Year)]","[Budget1Data].[Mois (Year)].&amp;["&amp;$EM$17&amp;"]")),0)</f>
        <v>0</v>
      </c>
      <c r="EP19" s="167">
        <f ca="1">IFERROR(GETPIVOTDATA("[Measures].["&amp;A_Budget1!$BE$7&amp;"]",A_Budget1!$BA$7,"[Budget1Data].[Cat_3]","[Budget1Data].[Cat_3].&amp;["&amp;ControlChart_Budget1!$ER$17&amp;"]","[Budget1Data].[Mois (Month)]","[Budget1Data].[Mois (Month)].&amp;["&amp;EV19&amp;"]","[Budget1Data].[Mois (Year)]","[Budget1Data].[Mois (Year)].&amp;["&amp;$EL$17&amp;"]"),0)</f>
        <v>2.0000000000000001E-4</v>
      </c>
      <c r="EQ19" s="167">
        <f ca="1">IFERROR(IF($EN$17=1,0,GETPIVOTDATA("[Measures].["&amp;A_Budget1!$BE$7&amp;"]",A_Budget1!$BA$7,"[Budget1Data].[Cat_3]","[Budget1Data].[Cat_3].&amp;["&amp;ControlChart_Budget1!$ER$17&amp;"]","[Budget1Data].[Mois (Month)]","[Budget1Data].[Mois (Month)].&amp;["&amp;EV19&amp;"]","[Budget1Data].[Mois (Year)]","[Budget1Data].[Mois (Year)].&amp;["&amp;$EM$17&amp;"]")),0)</f>
        <v>0</v>
      </c>
      <c r="ER19" s="9" t="str">
        <f>IFERROR(IF(A_Budget1!BB10=0,"",A_Budget1!BB10),"")</f>
        <v>févr</v>
      </c>
      <c r="ES19" s="312">
        <f t="shared" ca="1" si="43"/>
        <v>2.0000000000000001E-4</v>
      </c>
      <c r="ET19" s="313">
        <f t="shared" ca="1" si="44"/>
        <v>2E-3</v>
      </c>
      <c r="EU19" s="314">
        <f t="shared" ca="1" si="45"/>
        <v>2E-3</v>
      </c>
      <c r="EV19" t="str">
        <f ca="1">IFERROR(VLOOKUP(ER19,Library!$R$18:$S$29,2,FALSE),Library!S19)</f>
        <v>févr</v>
      </c>
      <c r="FE19" t="str">
        <f t="shared" si="16"/>
        <v/>
      </c>
      <c r="FF19" s="105" t="e">
        <f>GETPIVOTDATA("[Measures].[ABSMontantE]",A_Budget1!$AF$32,"[Budget1Data].[Cat_2]","[Budget1Data].[Cat_2].&amp;["&amp;ControlChart_Budget1!FH18&amp;"]")</f>
        <v>#REF!</v>
      </c>
      <c r="FG19" s="172" t="e">
        <f>GETPIVOTDATA("[Measures].[ABS_LastM]",A_Budget1!$AF$32,"[Budget1Data].[Cat_2]","[Budget1Data].[Cat_2].&amp;["&amp;ControlChart_Budget1!FH18&amp;"]")</f>
        <v>#REF!</v>
      </c>
      <c r="FI19" s="105" t="str">
        <f>A_Budget1!AG32</f>
        <v>ABSMontantE</v>
      </c>
      <c r="FJ19" s="171" t="str">
        <f>A_Budget1!AH32</f>
        <v>ABS_LastM</v>
      </c>
    </row>
    <row r="20" spans="2:173" x14ac:dyDescent="0.25">
      <c r="B20" s="186"/>
      <c r="C20" s="186"/>
      <c r="E20" t="str">
        <f ca="1"/>
        <v/>
      </c>
      <c r="F20" t="str">
        <f>IF(OR(I20=$A$1,I20=0),"",CONCATENATE(H20," ",I20))</f>
        <v/>
      </c>
      <c r="G20" s="5">
        <v>23</v>
      </c>
      <c r="H20">
        <f t="shared" si="42"/>
        <v>2026</v>
      </c>
      <c r="I20" s="5">
        <f>VLOOKUP(G20,$F$7:$I$12,4,FALSE)</f>
        <v>0</v>
      </c>
      <c r="J20">
        <f t="shared" si="41"/>
        <v>0</v>
      </c>
      <c r="K20">
        <f t="shared" si="41"/>
        <v>0</v>
      </c>
      <c r="L20">
        <f t="shared" si="41"/>
        <v>0</v>
      </c>
      <c r="M20">
        <f t="shared" si="41"/>
        <v>0</v>
      </c>
      <c r="N20">
        <f t="shared" si="41"/>
        <v>0</v>
      </c>
      <c r="O20">
        <f t="shared" si="41"/>
        <v>0</v>
      </c>
      <c r="P20">
        <f t="shared" si="41"/>
        <v>0</v>
      </c>
      <c r="Q20">
        <f t="shared" si="41"/>
        <v>0</v>
      </c>
      <c r="R20">
        <f t="shared" si="41"/>
        <v>0</v>
      </c>
      <c r="S20">
        <f t="shared" si="41"/>
        <v>0</v>
      </c>
      <c r="T20">
        <f t="shared" si="41"/>
        <v>0</v>
      </c>
      <c r="U20">
        <f t="shared" si="41"/>
        <v>0</v>
      </c>
      <c r="V20">
        <f t="shared" si="41"/>
        <v>0</v>
      </c>
      <c r="W20">
        <f t="shared" si="41"/>
        <v>0</v>
      </c>
      <c r="X20">
        <f t="shared" si="41"/>
        <v>0</v>
      </c>
      <c r="Y20">
        <f t="shared" si="41"/>
        <v>0</v>
      </c>
      <c r="AE20" s="119"/>
      <c r="AJ20" s="39" t="str">
        <f>IF(ISBLANK($C$4),"",$C$4)</f>
        <v>Category1</v>
      </c>
      <c r="AK20" s="39">
        <f>IFERROR(IF($AK$2&lt;$AK$1,IF(AND(AJ20=$AK$3,AA4=3),($AK$1-$AK$2),IF(AND(AA4=2,$AA$4&lt;&gt;3),$AK$1-$AK$2,0)),0),0)</f>
        <v>0</v>
      </c>
      <c r="AL20" s="39">
        <f>IFERROR(IF($AL$2&lt;$AL$1,IF(AND(AJ20=$AL$3,AA4=3),($AL$1-$AL$2),IF(AND(AA4=2,$AA$5&lt;&gt;3),$AL$1-$AL$2,0)),0),0)</f>
        <v>0</v>
      </c>
      <c r="AM20" s="39">
        <f>IFERROR(IF($AM$2&lt;$AM$1,IF(AND(AJ20=$AM$3,AA4=3),($AM$1-$AM$2),IF(AND(AA4=2,$AA$6&lt;&gt;3),$AM$1-$AM$2,0)),0),0)</f>
        <v>0</v>
      </c>
      <c r="AN20" s="39">
        <f>IFERROR(IF($AN$2&lt;$AN$1,IF(AND(AJ20=$AN$3,AA4=3),($AN$1-$AN$2),IF(AND(AA4=2,$AA$7&lt;&gt;3),$AN$1-$AN$2,0)),0),0)</f>
        <v>0</v>
      </c>
      <c r="AO20" s="39">
        <f>IFERROR(IF($AO$2&lt;$AO$1,IF(AND(AJ20=$AO$3,AA4=3),($AO$1-$AO$2),IF(AND(AA4=2,$AA$8&lt;&gt;3),$AO$1-$AO$2,0)),0),0)</f>
        <v>0</v>
      </c>
      <c r="AP20" s="39">
        <f>IFERROR(IF($AP$2&lt;$AP$1,IF(AND(AJ20=$AP$3,AA4=3),($AP$1-$AP$2),IF(AND(AA4=2,$AA$9&lt;&gt;3),$AP$1-$AP$2,0)),0),0)</f>
        <v>0</v>
      </c>
      <c r="AQ20" s="39">
        <f>IFERROR(IF($AQ$2&lt;$AQ$1,IF(AND(AJ20=$AQ$3,AA4=3),($AQ$1-$AQ$2),IF(AND(AA4=2,$AA$10&lt;&gt;3),$AQ$1-$AQ$2,0)),0),0)</f>
        <v>0</v>
      </c>
      <c r="AR20" s="39">
        <f>IF($AT$4&gt;1,SUM(AK20:AQ20),0)</f>
        <v>0</v>
      </c>
      <c r="CK20" s="5" t="s">
        <v>166</v>
      </c>
      <c r="CL20" s="134">
        <f>SUM(CL$15:CL$19)</f>
        <v>4.0000000000000001E-3</v>
      </c>
      <c r="CM20" s="134">
        <f t="shared" ref="CM20:CR20" si="46">SUM(CM$15:CM$19)</f>
        <v>4.0000000000000001E-3</v>
      </c>
      <c r="CN20" s="134">
        <f t="shared" si="46"/>
        <v>4.0000000000000001E-3</v>
      </c>
      <c r="CO20" s="134">
        <f t="shared" si="46"/>
        <v>4.0000000000000001E-3</v>
      </c>
      <c r="CP20" s="134">
        <f t="shared" si="46"/>
        <v>4.0000000000000001E-3</v>
      </c>
      <c r="CQ20" s="134">
        <f t="shared" si="46"/>
        <v>4.0000000000000001E-3</v>
      </c>
      <c r="CR20" s="134">
        <f t="shared" si="46"/>
        <v>4.0000000000000001E-3</v>
      </c>
      <c r="CS20" s="134"/>
      <c r="CY20" s="9" t="s">
        <v>185</v>
      </c>
      <c r="CZ20" s="9"/>
      <c r="DA20" s="126">
        <v>0.1</v>
      </c>
      <c r="DB20" s="126">
        <f>(SUM(DA18:DA23)-DB18)+DB21</f>
        <v>3.2</v>
      </c>
      <c r="DO20" s="94">
        <v>1.4</v>
      </c>
      <c r="DS20" s="5"/>
      <c r="DT20" s="158">
        <v>0.8</v>
      </c>
      <c r="DU20" s="37" t="str">
        <f>CONCATENATE("Cost (" &amp;WB_Data!EJ2&amp;")")</f>
        <v>Cost ($)</v>
      </c>
      <c r="DV20" s="5" t="s">
        <v>136</v>
      </c>
      <c r="DW20" s="88"/>
      <c r="EK20" s="5"/>
      <c r="EL20" s="170">
        <f ca="1">IFERROR(GETPIVOTDATA("[Measures].["&amp;A_Budget1!$BC$7&amp;"]",A_Budget1!$BA$7,"[Budget1Data].[Cat_3]","[Budget1Data].[Cat_3].&amp;["&amp;ControlChart_Budget1!$ER$17&amp;"]","[Budget1Data].[Mois (Month)]","[Budget1Data].[Mois (Month)].&amp;["&amp;EV20&amp;"]","[Budget1Data].[Mois (Year)]","[Budget1Data].[Mois (Year)].&amp;["&amp;$EL$17&amp;"]"),0)</f>
        <v>0</v>
      </c>
      <c r="EM20" s="165">
        <f ca="1">IFERROR(IF($EN$17=1,0,GETPIVOTDATA("[Measures].["&amp;A_Budget1!$BC$7&amp;"]",A_Budget1!$BA$7,"[Budget1Data].[Cat_3]","[Budget1Data].[Cat_3].&amp;["&amp;ControlChart_Budget1!$ER$17&amp;"]","[Budget1Data].[Mois (Month)]","[Budget1Data].[Mois (Month)].&amp;["&amp;EV20&amp;"]","[Budget1Data].[Mois (Year)]","[Budget1Data].[Mois (Year)].&amp;["&amp;$EM$17&amp;"]")),0)</f>
        <v>0</v>
      </c>
      <c r="EN20" s="139">
        <f ca="1">IFERROR(GETPIVOTDATA("[Measures].["&amp;A_Budget1!$BD$7&amp;"]",A_Budget1!$BA$7,"[Budget1Data].[Cat_3]","[Budget1Data].[Cat_3].&amp;["&amp;ControlChart_Budget1!$ER$17&amp;"]","[Budget1Data].[Mois (Month)]","[Budget1Data].[Mois (Month)].&amp;["&amp;EV20&amp;"]","[Budget1Data].[Mois (Year)]","[Budget1Data].[Mois (Year)].&amp;["&amp;$EL$17&amp;"]"),0)</f>
        <v>0</v>
      </c>
      <c r="EO20" s="139">
        <f ca="1">IFERROR(IF($EN$17=1,0,GETPIVOTDATA("[Measures].["&amp;A_Budget1!$BD$7&amp;"]",A_Budget1!$BA$7,"[Budget1Data].[Cat_3]","[Budget1Data].[Cat_3].&amp;["&amp;ControlChart_Budget1!$ER$17&amp;"]","[Budget1Data].[Mois (Month)]","[Budget1Data].[Mois (Month)].&amp;["&amp;EV20&amp;"]","[Budget1Data].[Mois (Year)]","[Budget1Data].[Mois (Year)].&amp;["&amp;$EM$17&amp;"]")),0)</f>
        <v>0</v>
      </c>
      <c r="EP20" s="167">
        <f ca="1">IFERROR(GETPIVOTDATA("[Measures].["&amp;A_Budget1!$BE$7&amp;"]",A_Budget1!$BA$7,"[Budget1Data].[Cat_3]","[Budget1Data].[Cat_3].&amp;["&amp;ControlChart_Budget1!$ER$17&amp;"]","[Budget1Data].[Mois (Month)]","[Budget1Data].[Mois (Month)].&amp;["&amp;EV20&amp;"]","[Budget1Data].[Mois (Year)]","[Budget1Data].[Mois (Year)].&amp;["&amp;$EL$17&amp;"]"),0)</f>
        <v>0</v>
      </c>
      <c r="EQ20" s="167">
        <f ca="1">IFERROR(IF($EN$17=1,0,GETPIVOTDATA("[Measures].["&amp;A_Budget1!$BE$7&amp;"]",A_Budget1!$BA$7,"[Budget1Data].[Cat_3]","[Budget1Data].[Cat_3].&amp;["&amp;ControlChart_Budget1!$ER$17&amp;"]","[Budget1Data].[Mois (Month)]","[Budget1Data].[Mois (Month)].&amp;["&amp;EV20&amp;"]","[Budget1Data].[Mois (Year)]","[Budget1Data].[Mois (Year)].&amp;["&amp;$EM$17&amp;"]")),0)</f>
        <v>0</v>
      </c>
      <c r="ER20" s="9" t="str">
        <f>IFERROR(IF(A_Budget1!BB11=0,"",A_Budget1!BB11),"")</f>
        <v/>
      </c>
      <c r="ES20" s="312">
        <f t="shared" ca="1" si="43"/>
        <v>0</v>
      </c>
      <c r="ET20" s="313">
        <f t="shared" ca="1" si="44"/>
        <v>0</v>
      </c>
      <c r="EU20" s="314">
        <f t="shared" ca="1" si="45"/>
        <v>0</v>
      </c>
      <c r="EV20" t="str">
        <f ca="1">IFERROR(VLOOKUP(ER20,Library!$R$18:$S$29,2,FALSE),Library!S20)</f>
        <v>mars</v>
      </c>
    </row>
    <row r="21" spans="2:173" x14ac:dyDescent="0.25">
      <c r="B21" s="186"/>
      <c r="E21" t="str">
        <f ca="1"/>
        <v/>
      </c>
      <c r="F21" t="str">
        <f>IF(OR(I21=$A$1,I21=0),"",CONCATENATE(H21," ",I21))</f>
        <v/>
      </c>
      <c r="G21" s="5">
        <v>24</v>
      </c>
      <c r="H21">
        <f t="shared" si="42"/>
        <v>2026</v>
      </c>
      <c r="I21" s="5">
        <f>VLOOKUP(G21,$F$7:$I$12,4,FALSE)</f>
        <v>0</v>
      </c>
      <c r="J21">
        <f t="shared" si="41"/>
        <v>0</v>
      </c>
      <c r="K21">
        <f t="shared" si="41"/>
        <v>0</v>
      </c>
      <c r="L21">
        <f t="shared" si="41"/>
        <v>0</v>
      </c>
      <c r="M21">
        <f t="shared" si="41"/>
        <v>0</v>
      </c>
      <c r="N21">
        <f t="shared" si="41"/>
        <v>0</v>
      </c>
      <c r="O21">
        <f t="shared" si="41"/>
        <v>0</v>
      </c>
      <c r="P21">
        <f t="shared" si="41"/>
        <v>0</v>
      </c>
      <c r="Q21">
        <f t="shared" si="41"/>
        <v>0</v>
      </c>
      <c r="R21">
        <f t="shared" si="41"/>
        <v>0</v>
      </c>
      <c r="S21">
        <f t="shared" si="41"/>
        <v>0</v>
      </c>
      <c r="T21">
        <f t="shared" si="41"/>
        <v>0</v>
      </c>
      <c r="U21">
        <f t="shared" si="41"/>
        <v>0</v>
      </c>
      <c r="V21">
        <f t="shared" si="41"/>
        <v>0</v>
      </c>
      <c r="W21">
        <f t="shared" si="41"/>
        <v>0</v>
      </c>
      <c r="X21">
        <f t="shared" si="41"/>
        <v>0</v>
      </c>
      <c r="Y21">
        <f t="shared" si="41"/>
        <v>0</v>
      </c>
      <c r="AJ21" s="39" t="str">
        <f>IF(ISBLANK($C$5),"",$C$5)</f>
        <v>Category2</v>
      </c>
      <c r="AK21" s="39">
        <f t="shared" ref="AK21:AK30" si="47">IFERROR(IF($AK$2&lt;$AK$1,IF(AND(AJ21=$AK$3,AA5=3),($AK$1-$AK$2),IF(AND(AA5=2,$AA$4&lt;&gt;3),$AK$1-$AK$2,0)),0),0)</f>
        <v>1.8E-3</v>
      </c>
      <c r="AL21" s="39">
        <f t="shared" ref="AL21:AL30" si="48">IFERROR(IF($AL$2&lt;$AL$1,IF(AND(AJ21=$AL$3,AA5=3),($AL$1-$AL$2),IF(AND(AA5=2,$AA$5&lt;&gt;3),$AL$1-$AL$2,0)),0),0)</f>
        <v>1.8E-3</v>
      </c>
      <c r="AM21" s="39">
        <f t="shared" ref="AM21:AM30" si="49">IFERROR(IF($AM$2&lt;$AM$1,IF(AND(AJ21=$AM$3,AA5=3),($AM$1-$AM$2),IF(AND(AA5=2,$AA$6&lt;&gt;3),$AM$1-$AM$2,0)),0),0)</f>
        <v>1.8E-3</v>
      </c>
      <c r="AN21" s="39">
        <f t="shared" ref="AN21:AN30" si="50">IFERROR(IF($AN$2&lt;$AN$1,IF(AND(AJ21=$AN$3,AA5=3),($AN$1-$AN$2),IF(AND(AA5=2,$AA$7&lt;&gt;3),$AN$1-$AN$2,0)),0),0)</f>
        <v>1.8E-3</v>
      </c>
      <c r="AO21" s="39">
        <f t="shared" ref="AO21:AO30" si="51">IFERROR(IF($AO$2&lt;$AO$1,IF(AND(AJ21=$AO$3,AA5=3),($AO$1-$AO$2),IF(AND(AA5=2,$AA$8&lt;&gt;3),$AO$1-$AO$2,0)),0),0)</f>
        <v>1.8E-3</v>
      </c>
      <c r="AP21" s="39">
        <f t="shared" ref="AP21:AP30" si="52">IFERROR(IF($AP$2&lt;$AP$1,IF(AND(AJ21=$AP$3,AA5=3),($AP$1-$AP$2),IF(AND(AA5=2,$AA$9&lt;&gt;3),$AP$1-$AP$2,0)),0),0)</f>
        <v>1.8E-3</v>
      </c>
      <c r="AQ21" s="39">
        <f t="shared" ref="AQ21:AQ30" si="53">IFERROR(IF($AQ$2&lt;$AQ$1,IF(AND(AJ21=$AQ$3,AA5=3),($AQ$1-$AQ$2),IF(AND(AA5=2,$AA$10&lt;&gt;3),$AQ$1-$AQ$2,0)),0),0)</f>
        <v>0</v>
      </c>
      <c r="AR21" s="39">
        <f t="shared" ref="AR21:AR31" si="54">IF($AT$4&gt;1,SUM(AK21:AQ21),0)</f>
        <v>0</v>
      </c>
      <c r="AT21" s="8">
        <f>AT2</f>
        <v>20</v>
      </c>
      <c r="AU21" s="8" t="str">
        <f>CONCATENATE("G17:G"&amp;AT21)</f>
        <v>G17:G20</v>
      </c>
      <c r="AV21" s="9" t="str">
        <f>CONCATENATE("H17:H"&amp;AT21)</f>
        <v>H17:H20</v>
      </c>
      <c r="AW21" s="8" t="str">
        <f>CONCATENATE("I17:I"&amp;AT21)</f>
        <v>I17:I20</v>
      </c>
      <c r="AX21" s="127" t="s">
        <v>105</v>
      </c>
      <c r="AY21" s="129" t="s">
        <v>14</v>
      </c>
      <c r="AZ21" s="9" t="s">
        <v>153</v>
      </c>
      <c r="BA21" s="10" t="s">
        <v>152</v>
      </c>
      <c r="BB21" s="9" t="s">
        <v>154</v>
      </c>
      <c r="BC21" s="133" t="s">
        <v>155</v>
      </c>
      <c r="BD21" s="130" t="s">
        <v>156</v>
      </c>
      <c r="BE21" s="130" t="s">
        <v>151</v>
      </c>
      <c r="BF21" s="130" t="s">
        <v>151</v>
      </c>
      <c r="BG21" s="9" t="s">
        <v>147</v>
      </c>
      <c r="BH21" s="9" t="s">
        <v>148</v>
      </c>
      <c r="BI21" s="9" t="s">
        <v>149</v>
      </c>
      <c r="BJ21" s="130" t="s">
        <v>159</v>
      </c>
      <c r="BK21" s="130" t="s">
        <v>158</v>
      </c>
      <c r="BL21" s="127" t="s">
        <v>157</v>
      </c>
      <c r="BM21" s="132" t="s">
        <v>150</v>
      </c>
      <c r="CY21" s="9" t="s">
        <v>186</v>
      </c>
      <c r="CZ21" s="9"/>
      <c r="DA21" s="126">
        <v>0.2</v>
      </c>
      <c r="DB21" s="9" t="b">
        <f>IF(DB18&gt;1.1,(1-DB18))</f>
        <v>0</v>
      </c>
      <c r="DO21" s="182" t="s">
        <v>131</v>
      </c>
      <c r="DP21" s="8" t="str">
        <f>DR17</f>
        <v>Category3</v>
      </c>
      <c r="DQ21" s="8"/>
      <c r="DR21" s="161" t="s">
        <v>132</v>
      </c>
      <c r="DS21" s="161" t="s">
        <v>178</v>
      </c>
      <c r="DT21" s="159" t="s">
        <v>133</v>
      </c>
      <c r="DU21" s="100" t="s">
        <v>177</v>
      </c>
      <c r="DV21" s="100" t="s">
        <v>134</v>
      </c>
      <c r="DW21" s="164" t="s">
        <v>137</v>
      </c>
      <c r="DX21" s="162" t="s">
        <v>137</v>
      </c>
      <c r="EK21" s="5"/>
      <c r="EL21" s="170">
        <f ca="1">IFERROR(GETPIVOTDATA("[Measures].["&amp;A_Budget1!$BC$7&amp;"]",A_Budget1!$BA$7,"[Budget1Data].[Cat_3]","[Budget1Data].[Cat_3].&amp;["&amp;ControlChart_Budget1!$ER$17&amp;"]","[Budget1Data].[Mois (Month)]","[Budget1Data].[Mois (Month)].&amp;["&amp;EV21&amp;"]","[Budget1Data].[Mois (Year)]","[Budget1Data].[Mois (Year)].&amp;["&amp;$EL$17&amp;"]"),0)</f>
        <v>0</v>
      </c>
      <c r="EM21" s="165">
        <f ca="1">IFERROR(IF($EN$17=1,0,GETPIVOTDATA("[Measures].["&amp;A_Budget1!$BC$7&amp;"]",A_Budget1!$BA$7,"[Budget1Data].[Cat_3]","[Budget1Data].[Cat_3].&amp;["&amp;ControlChart_Budget1!$ER$17&amp;"]","[Budget1Data].[Mois (Month)]","[Budget1Data].[Mois (Month)].&amp;["&amp;EV21&amp;"]","[Budget1Data].[Mois (Year)]","[Budget1Data].[Mois (Year)].&amp;["&amp;$EM$17&amp;"]")),0)</f>
        <v>0</v>
      </c>
      <c r="EN21" s="139">
        <f ca="1">IFERROR(GETPIVOTDATA("[Measures].["&amp;A_Budget1!$BD$7&amp;"]",A_Budget1!$BA$7,"[Budget1Data].[Cat_3]","[Budget1Data].[Cat_3].&amp;["&amp;ControlChart_Budget1!$ER$17&amp;"]","[Budget1Data].[Mois (Month)]","[Budget1Data].[Mois (Month)].&amp;["&amp;EV21&amp;"]","[Budget1Data].[Mois (Year)]","[Budget1Data].[Mois (Year)].&amp;["&amp;$EL$17&amp;"]"),0)</f>
        <v>0</v>
      </c>
      <c r="EO21" s="139">
        <f ca="1">IFERROR(IF($EN$17=1,0,GETPIVOTDATA("[Measures].["&amp;A_Budget1!$BD$7&amp;"]",A_Budget1!$BA$7,"[Budget1Data].[Cat_3]","[Budget1Data].[Cat_3].&amp;["&amp;ControlChart_Budget1!$ER$17&amp;"]","[Budget1Data].[Mois (Month)]","[Budget1Data].[Mois (Month)].&amp;["&amp;EV21&amp;"]","[Budget1Data].[Mois (Year)]","[Budget1Data].[Mois (Year)].&amp;["&amp;$EM$17&amp;"]")),0)</f>
        <v>0</v>
      </c>
      <c r="EP21" s="167">
        <f ca="1">IFERROR(GETPIVOTDATA("[Measures].["&amp;A_Budget1!$BE$7&amp;"]",A_Budget1!$BA$7,"[Budget1Data].[Cat_3]","[Budget1Data].[Cat_3].&amp;["&amp;ControlChart_Budget1!$ER$17&amp;"]","[Budget1Data].[Mois (Month)]","[Budget1Data].[Mois (Month)].&amp;["&amp;EV21&amp;"]","[Budget1Data].[Mois (Year)]","[Budget1Data].[Mois (Year)].&amp;["&amp;$EL$17&amp;"]"),0)</f>
        <v>0</v>
      </c>
      <c r="EQ21" s="167">
        <f ca="1">IFERROR(IF($EN$17=1,0,GETPIVOTDATA("[Measures].["&amp;A_Budget1!$BE$7&amp;"]",A_Budget1!$BA$7,"[Budget1Data].[Cat_3]","[Budget1Data].[Cat_3].&amp;["&amp;ControlChart_Budget1!$ER$17&amp;"]","[Budget1Data].[Mois (Month)]","[Budget1Data].[Mois (Month)].&amp;["&amp;EV21&amp;"]","[Budget1Data].[Mois (Year)]","[Budget1Data].[Mois (Year)].&amp;["&amp;$EM$17&amp;"]")),0)</f>
        <v>0</v>
      </c>
      <c r="ER21" s="9" t="str">
        <f>IFERROR(IF(A_Budget1!BB12=0,"",A_Budget1!BB12),"")</f>
        <v/>
      </c>
      <c r="ES21" s="312">
        <f t="shared" ca="1" si="43"/>
        <v>0</v>
      </c>
      <c r="ET21" s="313">
        <f t="shared" ca="1" si="44"/>
        <v>0</v>
      </c>
      <c r="EU21" s="314">
        <f t="shared" ca="1" si="45"/>
        <v>0</v>
      </c>
      <c r="EV21" t="str">
        <f ca="1">IFERROR(VLOOKUP(ER21,Library!$R$18:$S$29,2,FALSE),Library!S21)</f>
        <v>avr</v>
      </c>
    </row>
    <row r="22" spans="2:173" x14ac:dyDescent="0.25">
      <c r="E22">
        <f ca="1">COUNTIF(A12:A16,D17)</f>
        <v>0</v>
      </c>
      <c r="G22" s="5">
        <v>100</v>
      </c>
      <c r="I22" s="5">
        <f>I23-I24</f>
        <v>2</v>
      </c>
      <c r="AJ22" s="39" t="str">
        <f>IF(ISBLANK($C$6),"",$C$6)</f>
        <v>Category3</v>
      </c>
      <c r="AK22" s="39">
        <f t="shared" si="47"/>
        <v>0</v>
      </c>
      <c r="AL22" s="39">
        <f t="shared" si="48"/>
        <v>0</v>
      </c>
      <c r="AM22" s="39">
        <f t="shared" si="49"/>
        <v>0</v>
      </c>
      <c r="AN22" s="39">
        <f t="shared" si="50"/>
        <v>0</v>
      </c>
      <c r="AO22" s="39">
        <f t="shared" si="51"/>
        <v>0</v>
      </c>
      <c r="AP22" s="39">
        <f t="shared" si="52"/>
        <v>0</v>
      </c>
      <c r="AQ22" s="39">
        <f t="shared" si="53"/>
        <v>0</v>
      </c>
      <c r="AR22" s="39">
        <f t="shared" si="54"/>
        <v>0</v>
      </c>
      <c r="AT22" s="9" t="str">
        <f>AM3</f>
        <v>Category3</v>
      </c>
      <c r="AU22" s="9" cm="1">
        <f t="array" aca="1" ref="AU22:AU25" ca="1">INDIRECT(AU21)</f>
        <v>11</v>
      </c>
      <c r="AV22" s="9" cm="1">
        <f t="array" aca="1" ref="AV22:AV25" ca="1">INDIRECT(AV21)</f>
        <v>2025</v>
      </c>
      <c r="AW22" s="9" t="str" cm="1">
        <f t="array" aca="1" ref="AW22:AW25" ca="1">INDIRECT(AW21)</f>
        <v>Qtr1</v>
      </c>
      <c r="AX22" s="127">
        <f>N17</f>
        <v>2E-3</v>
      </c>
      <c r="AY22" s="129">
        <f>ABS(AM2)</f>
        <v>2.0000000000000001E-4</v>
      </c>
      <c r="AZ22" s="9"/>
      <c r="BA22" s="10">
        <f>IFERROR(AY22+AZ22,NA())</f>
        <v>2.0000000000000001E-4</v>
      </c>
      <c r="BB22" s="9"/>
      <c r="BC22" s="133">
        <f>IF(BB22-BA22&lt;0,0,BB22-BA22)</f>
        <v>0</v>
      </c>
      <c r="BD22" s="130">
        <f>BC22+AX22</f>
        <v>2E-3</v>
      </c>
      <c r="BE22" s="138">
        <f>IF(BD22-BA22&lt;0,0,BD22-BA22)</f>
        <v>1.8E-3</v>
      </c>
      <c r="BF22" s="131">
        <f>BE22/BD22</f>
        <v>0.89999999999999991</v>
      </c>
      <c r="BG22" s="126">
        <f>IFERROR((0.1*BD22)/BD22,NA())</f>
        <v>0.1</v>
      </c>
      <c r="BH22" s="126">
        <f>IFERROR((0.1*BD22)/BD22,NA())</f>
        <v>0.1</v>
      </c>
      <c r="BI22" s="126">
        <f>IFERROR((0.2*BD22)/BD22,NA())</f>
        <v>0.2</v>
      </c>
      <c r="BJ22" s="131">
        <f>IFERROR(IF($AT$4&gt;1,0,BF22),NA())</f>
        <v>0.89999999999999991</v>
      </c>
      <c r="BK22" s="131">
        <f>IFERROR(IF($AT$4&gt;1,BF22,0),NA())</f>
        <v>0</v>
      </c>
      <c r="BL22" s="128">
        <f>IF(BK22&gt;0,0,BC22/AX22)</f>
        <v>0</v>
      </c>
      <c r="BM22" s="135">
        <f>IF((BD22-BE22)=0,0,(BD22-BE22)/BD22)</f>
        <v>0.10000000000000005</v>
      </c>
      <c r="BN22" s="126">
        <f>IFERROR(BF22,"")</f>
        <v>0.89999999999999991</v>
      </c>
      <c r="BO22" s="8">
        <f>IFERROR(BA22,"")</f>
        <v>2.0000000000000001E-4</v>
      </c>
      <c r="BP22" s="8">
        <f>IFERROR(AX22,"")</f>
        <v>2E-3</v>
      </c>
      <c r="BQ22" s="117"/>
      <c r="CY22" s="9" t="s">
        <v>187</v>
      </c>
      <c r="CZ22" s="9"/>
      <c r="DA22" s="126">
        <v>0.3</v>
      </c>
      <c r="DB22" s="9"/>
      <c r="DL22" s="103">
        <f>IFERROR(CHOOSE($DO$19,DR1,EE1,DS1,EF1),"")</f>
        <v>4.0000000000000001E-3</v>
      </c>
      <c r="DM22" s="157">
        <f>IFERROR(CHOOSE($DO$19,DT1,EC1,DU1,ED1),NA())</f>
        <v>4.0000000000000001E-3</v>
      </c>
      <c r="DN22" s="9" t="str">
        <f>IF(AND(DP22=0,DQ22=0),"",DO22)</f>
        <v>Sub-Category3</v>
      </c>
      <c r="DO22" s="90" t="str">
        <f>CHOOSE($DO$19,DQ1,EB1,DQ1,EB1)</f>
        <v>Sub-Category3</v>
      </c>
      <c r="DP22" s="103">
        <f>IFERROR(IF(DL22=0,0.00001,DL22),0.00001)</f>
        <v>4.0000000000000001E-3</v>
      </c>
      <c r="DQ22" s="157">
        <f>IFERROR(IF(DM22=0,0.00001,DM22),0.00001)</f>
        <v>4.0000000000000001E-3</v>
      </c>
      <c r="DR22" s="129">
        <f>IFERROR(IF(DP22&lt;=0,DU22+DV22,MAX(CHOOSE($DO$19,$DR$1:$DR$16,$DR$1:$DR$16,$DS$1:$DS$16,$DS$1:$DS$16))*$DO$20-DS22),NA())</f>
        <v>1.5999999999999999E-3</v>
      </c>
      <c r="DS22" s="163" cm="1">
        <f t="array" ref="DS22">IFERROR(_xlfn.IFS(DN22="",NA(),DP22=0,0,DP22&lt;&gt;"",DP22),NA())</f>
        <v>4.0000000000000001E-3</v>
      </c>
      <c r="DT22" s="160">
        <f>IF(DN22="",NA(),MAX(CHOOSE($DO$19,$DP$1:$DP$16,$DP$1:$DP$16,$DS$1:$DS$16,$DS$1:$DS$16))*$DT$20)</f>
        <v>3.2000000000000002E-3</v>
      </c>
      <c r="DU22" s="11">
        <f>IF(DN22="",NA(),DQ22)</f>
        <v>4.0000000000000001E-3</v>
      </c>
      <c r="DV22" s="11">
        <f>IFERROR(IF(DN22="",NA(),IF(DQ22&lt;=0,DR22+DS22,(MAX(CHOOSE($DO$19,$EA$1:$EA$16,$EA$1:$EA$16,$ED$1:$ED$16,$ED$1:$ED$16))*$DO$20)-DU22)),NA())</f>
        <v>1.5999999999999999E-3</v>
      </c>
      <c r="DW22" s="129" t="str" cm="1">
        <f t="array" ref="DW22">IFERROR(_xlfn.IFS(DT22=0,"",$DO$19=1,TEXT(DS22, "0.00%"),$DO$19=2,TEXT(DS22, "0.00%"),$DO$19=3,TEXT(DS22,"0.00"&amp;WB_Data!$EJ$2),$DO$19=4,TEXT(DS22,"0.00"&amp;WB_Data!$EJ$2)),"")</f>
        <v>0.00$</v>
      </c>
      <c r="DX22" s="11" t="str" cm="1">
        <f t="array" ref="DX22">IFERROR(_xlfn.IFS(DT22=0,"",$DO$19=1,TEXT(DU22, "0.00%"),$DO$19=2,TEXT(DU22, "0.00%"),$DO$19=3,TEXT(DU22,"0.00"&amp;WB_Data!$EJ$2),$DO$19=4,TEXT(DU22,"0.00"&amp;WB_Data!$EJ$2)),"")</f>
        <v>0.00$</v>
      </c>
      <c r="EK22" s="5"/>
      <c r="EL22" s="170">
        <f ca="1">IFERROR(GETPIVOTDATA("[Measures].["&amp;A_Budget1!$BC$7&amp;"]",A_Budget1!$BA$7,"[Budget1Data].[Cat_3]","[Budget1Data].[Cat_3].&amp;["&amp;ControlChart_Budget1!$ER$17&amp;"]","[Budget1Data].[Mois (Month)]","[Budget1Data].[Mois (Month)].&amp;["&amp;EV22&amp;"]","[Budget1Data].[Mois (Year)]","[Budget1Data].[Mois (Year)].&amp;["&amp;$EL$17&amp;"]"),0)</f>
        <v>0</v>
      </c>
      <c r="EM22" s="165">
        <f ca="1">IFERROR(IF($EN$17=1,0,GETPIVOTDATA("[Measures].["&amp;A_Budget1!$BC$7&amp;"]",A_Budget1!$BA$7,"[Budget1Data].[Cat_3]","[Budget1Data].[Cat_3].&amp;["&amp;ControlChart_Budget1!$ER$17&amp;"]","[Budget1Data].[Mois (Month)]","[Budget1Data].[Mois (Month)].&amp;["&amp;EV22&amp;"]","[Budget1Data].[Mois (Year)]","[Budget1Data].[Mois (Year)].&amp;["&amp;$EM$17&amp;"]")),0)</f>
        <v>0</v>
      </c>
      <c r="EN22" s="139">
        <f ca="1">IFERROR(GETPIVOTDATA("[Measures].["&amp;A_Budget1!$BD$7&amp;"]",A_Budget1!$BA$7,"[Budget1Data].[Cat_3]","[Budget1Data].[Cat_3].&amp;["&amp;ControlChart_Budget1!$ER$17&amp;"]","[Budget1Data].[Mois (Month)]","[Budget1Data].[Mois (Month)].&amp;["&amp;EV22&amp;"]","[Budget1Data].[Mois (Year)]","[Budget1Data].[Mois (Year)].&amp;["&amp;$EL$17&amp;"]"),0)</f>
        <v>0</v>
      </c>
      <c r="EO22" s="139">
        <f ca="1">IFERROR(IF($EN$17=1,0,GETPIVOTDATA("[Measures].["&amp;A_Budget1!$BD$7&amp;"]",A_Budget1!$BA$7,"[Budget1Data].[Cat_3]","[Budget1Data].[Cat_3].&amp;["&amp;ControlChart_Budget1!$ER$17&amp;"]","[Budget1Data].[Mois (Month)]","[Budget1Data].[Mois (Month)].&amp;["&amp;EV22&amp;"]","[Budget1Data].[Mois (Year)]","[Budget1Data].[Mois (Year)].&amp;["&amp;$EM$17&amp;"]")),0)</f>
        <v>0</v>
      </c>
      <c r="EP22" s="167">
        <f ca="1">IFERROR(GETPIVOTDATA("[Measures].["&amp;A_Budget1!$BE$7&amp;"]",A_Budget1!$BA$7,"[Budget1Data].[Cat_3]","[Budget1Data].[Cat_3].&amp;["&amp;ControlChart_Budget1!$ER$17&amp;"]","[Budget1Data].[Mois (Month)]","[Budget1Data].[Mois (Month)].&amp;["&amp;EV22&amp;"]","[Budget1Data].[Mois (Year)]","[Budget1Data].[Mois (Year)].&amp;["&amp;$EL$17&amp;"]"),0)</f>
        <v>0</v>
      </c>
      <c r="EQ22" s="167">
        <f ca="1">IFERROR(IF($EN$17=1,0,GETPIVOTDATA("[Measures].["&amp;A_Budget1!$BE$7&amp;"]",A_Budget1!$BA$7,"[Budget1Data].[Cat_3]","[Budget1Data].[Cat_3].&amp;["&amp;ControlChart_Budget1!$ER$17&amp;"]","[Budget1Data].[Mois (Month)]","[Budget1Data].[Mois (Month)].&amp;["&amp;EV22&amp;"]","[Budget1Data].[Mois (Year)]","[Budget1Data].[Mois (Year)].&amp;["&amp;$EM$17&amp;"]")),0)</f>
        <v>0</v>
      </c>
      <c r="ER22" s="9" t="str">
        <f>IFERROR(IF(A_Budget1!BB13=0,"",A_Budget1!BB13),"")</f>
        <v/>
      </c>
      <c r="ES22" s="312">
        <f t="shared" ca="1" si="43"/>
        <v>0</v>
      </c>
      <c r="ET22" s="313">
        <f t="shared" ca="1" si="44"/>
        <v>0</v>
      </c>
      <c r="EU22" s="314">
        <f t="shared" ca="1" si="45"/>
        <v>0</v>
      </c>
      <c r="EV22" t="str">
        <f ca="1">IFERROR(VLOOKUP(ER22,Library!$R$18:$S$29,2,FALSE),Library!S22)</f>
        <v>mai</v>
      </c>
    </row>
    <row r="23" spans="2:173" x14ac:dyDescent="0.25">
      <c r="I23" s="5">
        <f>COUNTIF(I17:I21,"&lt;&gt;"&amp;$A$1)</f>
        <v>4</v>
      </c>
      <c r="AC23" s="119"/>
      <c r="AD23" s="119"/>
      <c r="AE23" s="119"/>
      <c r="AF23" s="119"/>
      <c r="AG23" s="119"/>
      <c r="AH23" s="119"/>
      <c r="AI23" s="119"/>
      <c r="AJ23" s="39" t="str">
        <f>IF(ISBLANK($C$7),"",$C$7)</f>
        <v>Category4</v>
      </c>
      <c r="AK23" s="39">
        <f t="shared" si="47"/>
        <v>0</v>
      </c>
      <c r="AL23" s="39">
        <f t="shared" si="48"/>
        <v>0</v>
      </c>
      <c r="AM23" s="39">
        <f t="shared" si="49"/>
        <v>0</v>
      </c>
      <c r="AN23" s="39">
        <f t="shared" si="50"/>
        <v>0</v>
      </c>
      <c r="AO23" s="39">
        <f t="shared" si="51"/>
        <v>0</v>
      </c>
      <c r="AP23" s="39">
        <f t="shared" si="52"/>
        <v>0</v>
      </c>
      <c r="AQ23" s="39">
        <f t="shared" si="53"/>
        <v>0</v>
      </c>
      <c r="AR23" s="39">
        <f t="shared" si="54"/>
        <v>0</v>
      </c>
      <c r="AT23" s="8"/>
      <c r="AU23" s="9">
        <f ca="1"/>
        <v>21</v>
      </c>
      <c r="AV23" s="9">
        <f ca="1"/>
        <v>2026</v>
      </c>
      <c r="AW23" s="9" t="str">
        <f ca="1"/>
        <v>Qtr1</v>
      </c>
      <c r="AX23" s="127">
        <f>N18</f>
        <v>2E-3</v>
      </c>
      <c r="AY23" s="129">
        <f>ABS(AM43)</f>
        <v>0</v>
      </c>
      <c r="AZ23" s="132">
        <f>IFERROR(IF(AND($AT$4&gt;=2,ABS($AM$41)&lt;0),ABS($AM$41),0),NA())</f>
        <v>0</v>
      </c>
      <c r="BA23" s="10">
        <f>IFERROR(AY23+AZ23,NA())</f>
        <v>0</v>
      </c>
      <c r="BB23" s="127">
        <f>IFERROR(IF(AND($AT$4&gt;=2,$AM$40&gt;0),$AM$40,0),NA())</f>
        <v>0</v>
      </c>
      <c r="BC23" s="133">
        <f>IF(BB23-BA23&lt;0,0,BB23-BA23)</f>
        <v>0</v>
      </c>
      <c r="BD23" s="130">
        <f>BC23+AX23</f>
        <v>2E-3</v>
      </c>
      <c r="BE23" s="138">
        <f>IF(BD23-BA23&lt;0,0,BD23-BA23)</f>
        <v>2E-3</v>
      </c>
      <c r="BF23" s="131">
        <f>BE23/BD23</f>
        <v>1</v>
      </c>
      <c r="BG23" s="126">
        <f>IFERROR((0.1*BD23)/BD23,NA())</f>
        <v>0.1</v>
      </c>
      <c r="BH23" s="126">
        <f>IFERROR((0.1*BD23)/BD23,NA())</f>
        <v>0.1</v>
      </c>
      <c r="BI23" s="126">
        <f>IFERROR((0.2*BD23)/BD23,NA())</f>
        <v>0.2</v>
      </c>
      <c r="BJ23" s="131">
        <f>IFERROR(IF($AT$4&gt;2,0,BF23),NA())</f>
        <v>1</v>
      </c>
      <c r="BK23" s="131">
        <f>IFERROR(IF($AT$4&gt;2,BF23,0),NA())</f>
        <v>0</v>
      </c>
      <c r="BL23" s="128">
        <f>IF(BK23&gt;0,0,BC23/AX23)</f>
        <v>0</v>
      </c>
      <c r="BM23" s="135">
        <f>IF((BD23-BE23)=0,0,(BD23-BE23)/BD23)</f>
        <v>0</v>
      </c>
      <c r="BN23" s="126">
        <f>IFERROR(BF23,"")</f>
        <v>1</v>
      </c>
      <c r="BO23" s="8">
        <f>IFERROR(BA23,"")</f>
        <v>0</v>
      </c>
      <c r="BP23" s="8">
        <f>IFERROR(AX23,"")</f>
        <v>2E-3</v>
      </c>
      <c r="BQ23" s="8" t="str">
        <f>IFERROR(IF(BC23=0,"",BC23),"")</f>
        <v/>
      </c>
      <c r="CY23" s="9" t="str" cm="1">
        <f t="array" ref="CY23">_xlfn.IFS(DB18&lt;=1,CY19,DB18&lt;=1.1,CY20,DB18&lt;=1.2,CY21,DB18&lt;=1.4,CY22,DB18&gt;1.4,CY22)</f>
        <v>Good</v>
      </c>
      <c r="CZ23" s="9"/>
      <c r="DA23" s="126">
        <f>SUM(DA18:DA22)</f>
        <v>1.6</v>
      </c>
      <c r="DB23" s="9"/>
      <c r="DL23" s="103" t="str">
        <f t="shared" ref="DL23:DL37" si="55">IFERROR(CHOOSE($DO$19,DR2,EE2,DS2,EF2),"")</f>
        <v/>
      </c>
      <c r="DM23" s="157" t="str">
        <f t="shared" ref="DM23:DM37" si="56">IFERROR(CHOOSE($DO$19,DT2,EC2,DU2,ED2),NA())</f>
        <v/>
      </c>
      <c r="DN23" s="9" t="str">
        <f t="shared" ref="DN23:DN37" si="57">IF(AND(DP23=0,DQ23=0),"",DO23)</f>
        <v/>
      </c>
      <c r="DO23" s="90" t="str">
        <f t="shared" ref="DO23:DO37" si="58">CHOOSE($DO$19,DQ2,EB2,DQ2,EB2)</f>
        <v/>
      </c>
      <c r="DP23" s="103" t="str">
        <f t="shared" ref="DP23:DP37" si="59">IFERROR(IF(DL23=0,0.00001,DL23),0.00001)</f>
        <v/>
      </c>
      <c r="DQ23" s="157" t="str">
        <f t="shared" ref="DQ23:DQ37" si="60">IFERROR(IF(DM23=0,0.00001,DM23),0.00001)</f>
        <v/>
      </c>
      <c r="DR23" s="129" t="e">
        <f t="shared" ref="DR23:DR37" si="61">IFERROR(IF(DP23&lt;=0,DU23+DV23,MAX(CHOOSE($DO$19,$DR$1:$DR$16,$DR$1:$DR$16,$DS$1:$DS$16,$DS$1:$DS$16))*$DO$20-DS23),NA())</f>
        <v>#N/A</v>
      </c>
      <c r="DS23" s="163" t="e" cm="1">
        <f t="array" ref="DS23">IFERROR(_xlfn.IFS(DN23="",NA(),DP23=0,0,DP23&lt;&gt;"",DP23),NA())</f>
        <v>#N/A</v>
      </c>
      <c r="DT23" s="160" t="e">
        <f t="shared" ref="DT23:DT37" si="62">IF(DN23="",NA(),MAX(CHOOSE($DO$19,$DP$1:$DP$16,$DP$1:$DP$16,$DS$1:$DS$16,$DS$1:$DS$16))*$DT$20)</f>
        <v>#N/A</v>
      </c>
      <c r="DU23" s="11" t="e">
        <f t="shared" ref="DU23:DU37" si="63">IF(DN23="",NA(),DQ23)</f>
        <v>#N/A</v>
      </c>
      <c r="DV23" s="11" t="e">
        <f t="shared" ref="DV23:DV37" si="64">IFERROR(IF(DN23="",NA(),IF(DQ23&lt;=0,DR23+DS23,(MAX(CHOOSE($DO$19,$EA$1:$EA$16,$EA$1:$EA$16,$ED$1:$ED$16,$ED$1:$ED$16))*$DO$20)-DU23)),NA())</f>
        <v>#N/A</v>
      </c>
      <c r="DW23" s="129" t="str" cm="1">
        <f t="array" ref="DW23">IFERROR(_xlfn.IFS(DT23=0,"",$DO$19=1,TEXT(DS23, "0.00%"),$DO$19=2,TEXT(DS23, "0.00%"),$DO$19=3,TEXT(DS23,"0.00"&amp;WB_Data!$EJ$2),$DO$19=4,TEXT(DS23,"0.00"&amp;WB_Data!$EJ$2)),"")</f>
        <v/>
      </c>
      <c r="DX23" s="11" t="str" cm="1">
        <f t="array" ref="DX23">IFERROR(_xlfn.IFS(DT23=0,"",$DO$19=1,TEXT(DU23, "0.00%"),$DO$19=2,TEXT(DU23, "0.00%"),$DO$19=3,TEXT(DU23,"0.00"&amp;WB_Data!$EJ$2),$DO$19=4,TEXT(DU23,"0.00"&amp;WB_Data!$EJ$2)),"")</f>
        <v/>
      </c>
      <c r="EK23" s="5"/>
      <c r="EL23" s="170">
        <f ca="1">IFERROR(GETPIVOTDATA("[Measures].["&amp;A_Budget1!$BC$7&amp;"]",A_Budget1!$BA$7,"[Budget1Data].[Cat_3]","[Budget1Data].[Cat_3].&amp;["&amp;ControlChart_Budget1!$ER$17&amp;"]","[Budget1Data].[Mois (Month)]","[Budget1Data].[Mois (Month)].&amp;["&amp;EV23&amp;"]","[Budget1Data].[Mois (Year)]","[Budget1Data].[Mois (Year)].&amp;["&amp;$EL$17&amp;"]"),0)</f>
        <v>0</v>
      </c>
      <c r="EM23" s="165">
        <f ca="1">IFERROR(IF($EN$17=1,0,GETPIVOTDATA("[Measures].["&amp;A_Budget1!$BC$7&amp;"]",A_Budget1!$BA$7,"[Budget1Data].[Cat_3]","[Budget1Data].[Cat_3].&amp;["&amp;ControlChart_Budget1!$ER$17&amp;"]","[Budget1Data].[Mois (Month)]","[Budget1Data].[Mois (Month)].&amp;["&amp;EV23&amp;"]","[Budget1Data].[Mois (Year)]","[Budget1Data].[Mois (Year)].&amp;["&amp;$EM$17&amp;"]")),0)</f>
        <v>0</v>
      </c>
      <c r="EN23" s="139">
        <f ca="1">IFERROR(GETPIVOTDATA("[Measures].["&amp;A_Budget1!$BD$7&amp;"]",A_Budget1!$BA$7,"[Budget1Data].[Cat_3]","[Budget1Data].[Cat_3].&amp;["&amp;ControlChart_Budget1!$ER$17&amp;"]","[Budget1Data].[Mois (Month)]","[Budget1Data].[Mois (Month)].&amp;["&amp;EV23&amp;"]","[Budget1Data].[Mois (Year)]","[Budget1Data].[Mois (Year)].&amp;["&amp;$EL$17&amp;"]"),0)</f>
        <v>0</v>
      </c>
      <c r="EO23" s="139">
        <f ca="1">IFERROR(IF($EN$17=1,0,GETPIVOTDATA("[Measures].["&amp;A_Budget1!$BD$7&amp;"]",A_Budget1!$BA$7,"[Budget1Data].[Cat_3]","[Budget1Data].[Cat_3].&amp;["&amp;ControlChart_Budget1!$ER$17&amp;"]","[Budget1Data].[Mois (Month)]","[Budget1Data].[Mois (Month)].&amp;["&amp;EV23&amp;"]","[Budget1Data].[Mois (Year)]","[Budget1Data].[Mois (Year)].&amp;["&amp;$EM$17&amp;"]")),0)</f>
        <v>0</v>
      </c>
      <c r="EP23" s="167">
        <f ca="1">IFERROR(GETPIVOTDATA("[Measures].["&amp;A_Budget1!$BE$7&amp;"]",A_Budget1!$BA$7,"[Budget1Data].[Cat_3]","[Budget1Data].[Cat_3].&amp;["&amp;ControlChart_Budget1!$ER$17&amp;"]","[Budget1Data].[Mois (Month)]","[Budget1Data].[Mois (Month)].&amp;["&amp;EV23&amp;"]","[Budget1Data].[Mois (Year)]","[Budget1Data].[Mois (Year)].&amp;["&amp;$EL$17&amp;"]"),0)</f>
        <v>0</v>
      </c>
      <c r="EQ23" s="167">
        <f ca="1">IFERROR(IF($EN$17=1,0,GETPIVOTDATA("[Measures].["&amp;A_Budget1!$BE$7&amp;"]",A_Budget1!$BA$7,"[Budget1Data].[Cat_3]","[Budget1Data].[Cat_3].&amp;["&amp;ControlChart_Budget1!$ER$17&amp;"]","[Budget1Data].[Mois (Month)]","[Budget1Data].[Mois (Month)].&amp;["&amp;EV23&amp;"]","[Budget1Data].[Mois (Year)]","[Budget1Data].[Mois (Year)].&amp;["&amp;$EM$17&amp;"]")),0)</f>
        <v>0</v>
      </c>
      <c r="ER23" s="9" t="str">
        <f>IFERROR(IF(A_Budget1!BB14=0,"",A_Budget1!BB14),"")</f>
        <v/>
      </c>
      <c r="ES23" s="312">
        <f t="shared" ca="1" si="43"/>
        <v>0</v>
      </c>
      <c r="ET23" s="313">
        <f t="shared" ca="1" si="44"/>
        <v>0</v>
      </c>
      <c r="EU23" s="314">
        <f t="shared" ca="1" si="45"/>
        <v>0</v>
      </c>
      <c r="EV23" t="str">
        <f ca="1">IFERROR(VLOOKUP(ER23,Library!$R$18:$S$29,2,FALSE),Library!S23)</f>
        <v>juin</v>
      </c>
    </row>
    <row r="24" spans="2:173" x14ac:dyDescent="0.25">
      <c r="I24" s="5">
        <f>COUNTIF(I17:I21,0)</f>
        <v>2</v>
      </c>
      <c r="AJ24" s="39" t="str">
        <f>IF(ISBLANK($C$8),"",$C$8)</f>
        <v>Category5</v>
      </c>
      <c r="AK24" s="39">
        <f t="shared" si="47"/>
        <v>1.8E-3</v>
      </c>
      <c r="AL24" s="39">
        <f t="shared" si="48"/>
        <v>1.8E-3</v>
      </c>
      <c r="AM24" s="39">
        <f t="shared" si="49"/>
        <v>1.8E-3</v>
      </c>
      <c r="AN24" s="39">
        <f t="shared" si="50"/>
        <v>1.8E-3</v>
      </c>
      <c r="AO24" s="39">
        <f t="shared" si="51"/>
        <v>1.8E-3</v>
      </c>
      <c r="AP24" s="39">
        <f t="shared" si="52"/>
        <v>1.8E-3</v>
      </c>
      <c r="AQ24" s="39">
        <f t="shared" si="53"/>
        <v>0</v>
      </c>
      <c r="AR24" s="39">
        <f t="shared" si="54"/>
        <v>0</v>
      </c>
      <c r="AT24" s="8"/>
      <c r="AU24" s="9">
        <f ca="1"/>
        <v>22</v>
      </c>
      <c r="AV24" s="9">
        <f ca="1"/>
        <v>2026</v>
      </c>
      <c r="AW24" s="9" t="str">
        <f ca="1"/>
        <v>Grand Total</v>
      </c>
      <c r="AX24" s="127" t="str">
        <f>N19</f>
        <v/>
      </c>
      <c r="AY24" s="129">
        <f>ABS(AM82)</f>
        <v>0</v>
      </c>
      <c r="AZ24" s="132">
        <f>IFERROR(IF(AND($AT$4&gt;=3,ABS($AM$80)&lt;0),ABS($AM$80),0),NA())</f>
        <v>0</v>
      </c>
      <c r="BA24" s="10">
        <f>IFERROR(AY24+AZ24,NA())</f>
        <v>0</v>
      </c>
      <c r="BB24" s="127">
        <f>IFERROR(IF(AND($AT$4&gt;=3,$AM$79&gt;0),$AM$79,0),NA())</f>
        <v>0</v>
      </c>
      <c r="BC24" s="133">
        <f>IF(BB24-BA24&lt;0,0,BB24-BA24)</f>
        <v>0</v>
      </c>
      <c r="BD24" s="130" t="e">
        <f>BC24+AX24</f>
        <v>#VALUE!</v>
      </c>
      <c r="BE24" s="138" t="e">
        <f>IF(BD24-BA24&lt;0,0,BD24-BA24)</f>
        <v>#VALUE!</v>
      </c>
      <c r="BF24" s="131" t="e">
        <f>BE24/BD24</f>
        <v>#VALUE!</v>
      </c>
      <c r="BG24" s="126" t="e">
        <f>IFERROR((0.1*BD24)/BD24,NA())</f>
        <v>#N/A</v>
      </c>
      <c r="BH24" s="126" t="e">
        <f>IFERROR((0.1*BD24)/BD24,NA())</f>
        <v>#N/A</v>
      </c>
      <c r="BI24" s="126" t="e">
        <f>IFERROR((0.2*BD24)/BD24,NA())</f>
        <v>#N/A</v>
      </c>
      <c r="BJ24" s="131" t="e">
        <f>IFERROR(IF($AT$4&gt;3,0,BF24),NA())</f>
        <v>#N/A</v>
      </c>
      <c r="BK24" s="131">
        <f>IFERROR(IF($AT$4&gt;3,BF24,0),NA())</f>
        <v>0</v>
      </c>
      <c r="BL24" s="128" t="e">
        <f>IF(BK24&gt;0,0,BC24/AX24)</f>
        <v>#VALUE!</v>
      </c>
      <c r="BM24" s="135" t="e">
        <f>IF((BD24-BE24)=0,0,(BD24-BE24)/BD24)</f>
        <v>#VALUE!</v>
      </c>
      <c r="BN24" s="126" t="str">
        <f>IFERROR(BF24,"")</f>
        <v/>
      </c>
      <c r="BO24" s="8">
        <f>IFERROR(BA24,"")</f>
        <v>0</v>
      </c>
      <c r="BP24" s="8" t="str">
        <f>IFERROR(AX24,"")</f>
        <v/>
      </c>
      <c r="BQ24" s="8" t="str">
        <f>IFERROR(IF(BC24=0,"",BC24),"")</f>
        <v/>
      </c>
      <c r="DL24" s="103" t="str">
        <f t="shared" si="55"/>
        <v/>
      </c>
      <c r="DM24" s="157" t="str">
        <f t="shared" si="56"/>
        <v/>
      </c>
      <c r="DN24" s="9" t="str">
        <f t="shared" si="57"/>
        <v/>
      </c>
      <c r="DO24" s="90" t="str">
        <f t="shared" si="58"/>
        <v/>
      </c>
      <c r="DP24" s="103" t="str">
        <f t="shared" si="59"/>
        <v/>
      </c>
      <c r="DQ24" s="157" t="str">
        <f t="shared" si="60"/>
        <v/>
      </c>
      <c r="DR24" s="129" t="e">
        <f t="shared" si="61"/>
        <v>#N/A</v>
      </c>
      <c r="DS24" s="163" t="e" cm="1">
        <f t="array" ref="DS24">IFERROR(_xlfn.IFS(DN24="",NA(),DP24=0,0,DP24&lt;&gt;"",DP24),NA())</f>
        <v>#N/A</v>
      </c>
      <c r="DT24" s="160" t="e">
        <f t="shared" si="62"/>
        <v>#N/A</v>
      </c>
      <c r="DU24" s="11" t="e">
        <f t="shared" si="63"/>
        <v>#N/A</v>
      </c>
      <c r="DV24" s="11" t="e">
        <f t="shared" si="64"/>
        <v>#N/A</v>
      </c>
      <c r="DW24" s="129" t="str" cm="1">
        <f t="array" ref="DW24">IFERROR(_xlfn.IFS(DT24=0,"",$DO$19=1,TEXT(DS24, "0.00%"),$DO$19=2,TEXT(DS24, "0.00%"),$DO$19=3,TEXT(DS24,"0.00"&amp;WB_Data!$EJ$2),$DO$19=4,TEXT(DS24,"0.00"&amp;WB_Data!$EJ$2)),"")</f>
        <v/>
      </c>
      <c r="DX24" s="11" t="str" cm="1">
        <f t="array" ref="DX24">IFERROR(_xlfn.IFS(DT24=0,"",$DO$19=1,TEXT(DU24, "0.00%"),$DO$19=2,TEXT(DU24, "0.00%"),$DO$19=3,TEXT(DU24,"0.00"&amp;WB_Data!$EJ$2),$DO$19=4,TEXT(DU24,"0.00"&amp;WB_Data!$EJ$2)),"")</f>
        <v/>
      </c>
      <c r="EK24" s="5"/>
      <c r="EL24" s="170">
        <f ca="1">IFERROR(GETPIVOTDATA("[Measures].["&amp;A_Budget1!$BC$7&amp;"]",A_Budget1!$BA$7,"[Budget1Data].[Cat_3]","[Budget1Data].[Cat_3].&amp;["&amp;ControlChart_Budget1!$ER$17&amp;"]","[Budget1Data].[Mois (Month)]","[Budget1Data].[Mois (Month)].&amp;["&amp;EV24&amp;"]","[Budget1Data].[Mois (Year)]","[Budget1Data].[Mois (Year)].&amp;["&amp;$EL$17&amp;"]"),0)</f>
        <v>0</v>
      </c>
      <c r="EM24" s="165">
        <f ca="1">IFERROR(IF($EN$17=1,0,GETPIVOTDATA("[Measures].["&amp;A_Budget1!$BC$7&amp;"]",A_Budget1!$BA$7,"[Budget1Data].[Cat_3]","[Budget1Data].[Cat_3].&amp;["&amp;ControlChart_Budget1!$ER$17&amp;"]","[Budget1Data].[Mois (Month)]","[Budget1Data].[Mois (Month)].&amp;["&amp;EV24&amp;"]","[Budget1Data].[Mois (Year)]","[Budget1Data].[Mois (Year)].&amp;["&amp;$EM$17&amp;"]")),0)</f>
        <v>0</v>
      </c>
      <c r="EN24" s="139">
        <f ca="1">IFERROR(GETPIVOTDATA("[Measures].["&amp;A_Budget1!$BD$7&amp;"]",A_Budget1!$BA$7,"[Budget1Data].[Cat_3]","[Budget1Data].[Cat_3].&amp;["&amp;ControlChart_Budget1!$ER$17&amp;"]","[Budget1Data].[Mois (Month)]","[Budget1Data].[Mois (Month)].&amp;["&amp;EV24&amp;"]","[Budget1Data].[Mois (Year)]","[Budget1Data].[Mois (Year)].&amp;["&amp;$EL$17&amp;"]"),0)</f>
        <v>0</v>
      </c>
      <c r="EO24" s="139">
        <f ca="1">IFERROR(IF($EN$17=1,0,GETPIVOTDATA("[Measures].["&amp;A_Budget1!$BD$7&amp;"]",A_Budget1!$BA$7,"[Budget1Data].[Cat_3]","[Budget1Data].[Cat_3].&amp;["&amp;ControlChart_Budget1!$ER$17&amp;"]","[Budget1Data].[Mois (Month)]","[Budget1Data].[Mois (Month)].&amp;["&amp;EV24&amp;"]","[Budget1Data].[Mois (Year)]","[Budget1Data].[Mois (Year)].&amp;["&amp;$EM$17&amp;"]")),0)</f>
        <v>0</v>
      </c>
      <c r="EP24" s="167">
        <f ca="1">IFERROR(GETPIVOTDATA("[Measures].["&amp;A_Budget1!$BE$7&amp;"]",A_Budget1!$BA$7,"[Budget1Data].[Cat_3]","[Budget1Data].[Cat_3].&amp;["&amp;ControlChart_Budget1!$ER$17&amp;"]","[Budget1Data].[Mois (Month)]","[Budget1Data].[Mois (Month)].&amp;["&amp;EV24&amp;"]","[Budget1Data].[Mois (Year)]","[Budget1Data].[Mois (Year)].&amp;["&amp;$EL$17&amp;"]"),0)</f>
        <v>0</v>
      </c>
      <c r="EQ24" s="167">
        <f ca="1">IFERROR(IF($EN$17=1,0,GETPIVOTDATA("[Measures].["&amp;A_Budget1!$BE$7&amp;"]",A_Budget1!$BA$7,"[Budget1Data].[Cat_3]","[Budget1Data].[Cat_3].&amp;["&amp;ControlChart_Budget1!$ER$17&amp;"]","[Budget1Data].[Mois (Month)]","[Budget1Data].[Mois (Month)].&amp;["&amp;EV24&amp;"]","[Budget1Data].[Mois (Year)]","[Budget1Data].[Mois (Year)].&amp;["&amp;$EM$17&amp;"]")),0)</f>
        <v>0</v>
      </c>
      <c r="ER24" s="9" t="str">
        <f>IFERROR(IF(A_Budget1!BB15=0,"",A_Budget1!BB15),"")</f>
        <v/>
      </c>
      <c r="ES24" s="312">
        <f t="shared" ca="1" si="43"/>
        <v>0</v>
      </c>
      <c r="ET24" s="313">
        <f t="shared" ca="1" si="44"/>
        <v>0</v>
      </c>
      <c r="EU24" s="314">
        <f t="shared" ca="1" si="45"/>
        <v>0</v>
      </c>
      <c r="EV24" t="str">
        <f ca="1">IFERROR(VLOOKUP(ER24,Library!$R$18:$S$29,2,FALSE),Library!S24)</f>
        <v>juil</v>
      </c>
    </row>
    <row r="25" spans="2:173" x14ac:dyDescent="0.25">
      <c r="AC25" s="119"/>
      <c r="AD25" s="119"/>
      <c r="AE25" s="119"/>
      <c r="AF25" s="119"/>
      <c r="AG25" s="119"/>
      <c r="AH25" s="119"/>
      <c r="AI25" s="119"/>
      <c r="AJ25" s="39" t="str">
        <f>IF(ISBLANK($C$9),"",$C$9)</f>
        <v>Category6</v>
      </c>
      <c r="AK25" s="39">
        <f t="shared" si="47"/>
        <v>1.8E-3</v>
      </c>
      <c r="AL25" s="39">
        <f t="shared" si="48"/>
        <v>1.8E-3</v>
      </c>
      <c r="AM25" s="39">
        <f t="shared" si="49"/>
        <v>1.8E-3</v>
      </c>
      <c r="AN25" s="39">
        <f t="shared" si="50"/>
        <v>1.8E-3</v>
      </c>
      <c r="AO25" s="39">
        <f t="shared" si="51"/>
        <v>1.8E-3</v>
      </c>
      <c r="AP25" s="39">
        <f t="shared" si="52"/>
        <v>1.8E-3</v>
      </c>
      <c r="AQ25" s="39">
        <f t="shared" si="53"/>
        <v>0</v>
      </c>
      <c r="AR25" s="39">
        <f t="shared" si="54"/>
        <v>0</v>
      </c>
      <c r="AT25" s="8"/>
      <c r="AU25" s="9">
        <f ca="1"/>
        <v>23</v>
      </c>
      <c r="AV25" s="9">
        <f ca="1"/>
        <v>2026</v>
      </c>
      <c r="AW25" s="9">
        <f ca="1"/>
        <v>0</v>
      </c>
      <c r="AX25" s="127">
        <f>N20</f>
        <v>0</v>
      </c>
      <c r="AY25" s="129">
        <f>ABS(AM118)</f>
        <v>0</v>
      </c>
      <c r="AZ25" s="132">
        <f>IFERROR(IF(AND($AT$4&gt;=4,ABS($AM$116)&lt;0),ABS($AM$116),0),NA())</f>
        <v>0</v>
      </c>
      <c r="BA25" s="10">
        <f>IFERROR(AY25+AZ25,NA())</f>
        <v>0</v>
      </c>
      <c r="BB25" s="127">
        <f>IFERROR(IF(AND($AT$4&gt;=4,$AM$115&gt;0),$AM$115,0),NA())</f>
        <v>0</v>
      </c>
      <c r="BC25" s="133">
        <f>IF(BB25-BA25&lt;0,0,BB25-BA25)</f>
        <v>0</v>
      </c>
      <c r="BD25" s="130">
        <f>BC25+AX25</f>
        <v>0</v>
      </c>
      <c r="BE25" s="138">
        <f>IF(BD25-BA25&lt;0,0,BD25-BA25)</f>
        <v>0</v>
      </c>
      <c r="BF25" s="131" t="e">
        <f>BE25/BD25</f>
        <v>#DIV/0!</v>
      </c>
      <c r="BG25" s="126" t="e">
        <f>IFERROR((0.1*BD25)/BD25,NA())</f>
        <v>#N/A</v>
      </c>
      <c r="BH25" s="126" t="e">
        <f>IFERROR((0.1*BD25)/BD25,NA())</f>
        <v>#N/A</v>
      </c>
      <c r="BI25" s="126" t="e">
        <f>IFERROR((0.2*BD25)/BD25,NA())</f>
        <v>#N/A</v>
      </c>
      <c r="BJ25" s="131" t="e">
        <f>IFERROR(IF($AT$4&gt;4,0,BF25),NA())</f>
        <v>#N/A</v>
      </c>
      <c r="BK25" s="131">
        <f>IFERROR(IF($AT$4&gt;4,BF25,0),NA())</f>
        <v>0</v>
      </c>
      <c r="BL25" s="128" t="e">
        <f>IF(BK25&gt;0,0,BC25/AX25)</f>
        <v>#DIV/0!</v>
      </c>
      <c r="BM25" s="135">
        <f>IF((BD25-BE25)=0,0,(BD25-BE25)/BD25)</f>
        <v>0</v>
      </c>
      <c r="BN25" s="126" t="str">
        <f>IFERROR(BF25,"")</f>
        <v/>
      </c>
      <c r="BO25" s="8">
        <f>IFERROR(BA25,"")</f>
        <v>0</v>
      </c>
      <c r="BP25" s="8">
        <f>IFERROR(AX25,"")</f>
        <v>0</v>
      </c>
      <c r="BQ25" s="8" t="str">
        <f>IFERROR(IF(BC25=0,"",BC25),"")</f>
        <v/>
      </c>
      <c r="DL25" s="103" t="str">
        <f t="shared" si="55"/>
        <v/>
      </c>
      <c r="DM25" s="157" t="str">
        <f t="shared" si="56"/>
        <v/>
      </c>
      <c r="DN25" s="9" t="str">
        <f t="shared" si="57"/>
        <v/>
      </c>
      <c r="DO25" s="90" t="str">
        <f t="shared" si="58"/>
        <v/>
      </c>
      <c r="DP25" s="103" t="str">
        <f t="shared" si="59"/>
        <v/>
      </c>
      <c r="DQ25" s="157" t="str">
        <f t="shared" si="60"/>
        <v/>
      </c>
      <c r="DR25" s="129" t="e">
        <f t="shared" si="61"/>
        <v>#N/A</v>
      </c>
      <c r="DS25" s="163" t="e" cm="1">
        <f t="array" ref="DS25">IFERROR(_xlfn.IFS(DN25="",NA(),DP25=0,0,DP25&lt;&gt;"",DP25),NA())</f>
        <v>#N/A</v>
      </c>
      <c r="DT25" s="160" t="e">
        <f t="shared" si="62"/>
        <v>#N/A</v>
      </c>
      <c r="DU25" s="11" t="e">
        <f t="shared" si="63"/>
        <v>#N/A</v>
      </c>
      <c r="DV25" s="11" t="e">
        <f t="shared" si="64"/>
        <v>#N/A</v>
      </c>
      <c r="DW25" s="129" t="str" cm="1">
        <f t="array" ref="DW25">IFERROR(_xlfn.IFS(DT25=0,"",$DO$19=1,TEXT(DS25, "0.00%"),$DO$19=2,TEXT(DS25, "0.00%"),$DO$19=3,TEXT(DS25,"0.00"&amp;WB_Data!$EJ$2),$DO$19=4,TEXT(DS25,"0.00"&amp;WB_Data!$EJ$2)),"")</f>
        <v/>
      </c>
      <c r="DX25" s="11" t="str" cm="1">
        <f t="array" ref="DX25">IFERROR(_xlfn.IFS(DT25=0,"",$DO$19=1,TEXT(DU25, "0.00%"),$DO$19=2,TEXT(DU25, "0.00%"),$DO$19=3,TEXT(DU25,"0.00"&amp;WB_Data!$EJ$2),$DO$19=4,TEXT(DU25,"0.00"&amp;WB_Data!$EJ$2)),"")</f>
        <v/>
      </c>
      <c r="EK25" s="5"/>
      <c r="EL25" s="170">
        <f ca="1">IFERROR(GETPIVOTDATA("[Measures].["&amp;A_Budget1!$BC$7&amp;"]",A_Budget1!$BA$7,"[Budget1Data].[Cat_3]","[Budget1Data].[Cat_3].&amp;["&amp;ControlChart_Budget1!$ER$17&amp;"]","[Budget1Data].[Mois (Month)]","[Budget1Data].[Mois (Month)].&amp;["&amp;EV25&amp;"]","[Budget1Data].[Mois (Year)]","[Budget1Data].[Mois (Year)].&amp;["&amp;$EL$17&amp;"]"),0)</f>
        <v>0</v>
      </c>
      <c r="EM25" s="165">
        <f ca="1">IFERROR(IF($EN$17=1,0,GETPIVOTDATA("[Measures].["&amp;A_Budget1!$BC$7&amp;"]",A_Budget1!$BA$7,"[Budget1Data].[Cat_3]","[Budget1Data].[Cat_3].&amp;["&amp;ControlChart_Budget1!$ER$17&amp;"]","[Budget1Data].[Mois (Month)]","[Budget1Data].[Mois (Month)].&amp;["&amp;EV25&amp;"]","[Budget1Data].[Mois (Year)]","[Budget1Data].[Mois (Year)].&amp;["&amp;$EM$17&amp;"]")),0)</f>
        <v>0</v>
      </c>
      <c r="EN25" s="139">
        <f ca="1">IFERROR(GETPIVOTDATA("[Measures].["&amp;A_Budget1!$BD$7&amp;"]",A_Budget1!$BA$7,"[Budget1Data].[Cat_3]","[Budget1Data].[Cat_3].&amp;["&amp;ControlChart_Budget1!$ER$17&amp;"]","[Budget1Data].[Mois (Month)]","[Budget1Data].[Mois (Month)].&amp;["&amp;EV25&amp;"]","[Budget1Data].[Mois (Year)]","[Budget1Data].[Mois (Year)].&amp;["&amp;$EL$17&amp;"]"),0)</f>
        <v>0</v>
      </c>
      <c r="EO25" s="139">
        <f ca="1">IFERROR(IF($EN$17=1,0,GETPIVOTDATA("[Measures].["&amp;A_Budget1!$BD$7&amp;"]",A_Budget1!$BA$7,"[Budget1Data].[Cat_3]","[Budget1Data].[Cat_3].&amp;["&amp;ControlChart_Budget1!$ER$17&amp;"]","[Budget1Data].[Mois (Month)]","[Budget1Data].[Mois (Month)].&amp;["&amp;EV25&amp;"]","[Budget1Data].[Mois (Year)]","[Budget1Data].[Mois (Year)].&amp;["&amp;$EM$17&amp;"]")),0)</f>
        <v>0</v>
      </c>
      <c r="EP25" s="167">
        <f ca="1">IFERROR(GETPIVOTDATA("[Measures].["&amp;A_Budget1!$BE$7&amp;"]",A_Budget1!$BA$7,"[Budget1Data].[Cat_3]","[Budget1Data].[Cat_3].&amp;["&amp;ControlChart_Budget1!$ER$17&amp;"]","[Budget1Data].[Mois (Month)]","[Budget1Data].[Mois (Month)].&amp;["&amp;EV25&amp;"]","[Budget1Data].[Mois (Year)]","[Budget1Data].[Mois (Year)].&amp;["&amp;$EL$17&amp;"]"),0)</f>
        <v>0</v>
      </c>
      <c r="EQ25" s="167">
        <f ca="1">IFERROR(IF($EN$17=1,0,GETPIVOTDATA("[Measures].["&amp;A_Budget1!$BE$7&amp;"]",A_Budget1!$BA$7,"[Budget1Data].[Cat_3]","[Budget1Data].[Cat_3].&amp;["&amp;ControlChart_Budget1!$ER$17&amp;"]","[Budget1Data].[Mois (Month)]","[Budget1Data].[Mois (Month)].&amp;["&amp;EV25&amp;"]","[Budget1Data].[Mois (Year)]","[Budget1Data].[Mois (Year)].&amp;["&amp;$EM$17&amp;"]")),0)</f>
        <v>0</v>
      </c>
      <c r="ER25" s="9" t="str">
        <f>IFERROR(IF(A_Budget1!BB16=0,"",A_Budget1!BB16),"")</f>
        <v/>
      </c>
      <c r="ES25" s="312">
        <f t="shared" ca="1" si="43"/>
        <v>0</v>
      </c>
      <c r="ET25" s="313">
        <f t="shared" ca="1" si="44"/>
        <v>0</v>
      </c>
      <c r="EU25" s="314">
        <f t="shared" ca="1" si="45"/>
        <v>0</v>
      </c>
      <c r="EV25" t="str">
        <f ca="1">IFERROR(VLOOKUP(ER25,Library!$R$18:$S$29,2,FALSE),Library!S25)</f>
        <v>août</v>
      </c>
    </row>
    <row r="26" spans="2:173" ht="12" thickBot="1" x14ac:dyDescent="0.3">
      <c r="AC26" s="119"/>
      <c r="AD26" s="119"/>
      <c r="AE26" s="119"/>
      <c r="AF26" s="119"/>
      <c r="AG26" s="119"/>
      <c r="AH26" s="119"/>
      <c r="AI26" s="119"/>
      <c r="AJ26" s="39" t="str">
        <f>IF(ISBLANK($C$10),"",$C$10)</f>
        <v>Category7</v>
      </c>
      <c r="AK26" s="39">
        <f t="shared" si="47"/>
        <v>0</v>
      </c>
      <c r="AL26" s="39">
        <f t="shared" si="48"/>
        <v>0</v>
      </c>
      <c r="AM26" s="39">
        <f t="shared" si="49"/>
        <v>0</v>
      </c>
      <c r="AN26" s="39">
        <f t="shared" si="50"/>
        <v>0</v>
      </c>
      <c r="AO26" s="39">
        <f t="shared" si="51"/>
        <v>0</v>
      </c>
      <c r="AP26" s="39">
        <f t="shared" si="52"/>
        <v>0</v>
      </c>
      <c r="AQ26" s="39">
        <f t="shared" si="53"/>
        <v>1.8E-3</v>
      </c>
      <c r="AR26" s="39">
        <f t="shared" si="54"/>
        <v>0</v>
      </c>
      <c r="AT26" s="8"/>
      <c r="AU26" s="9"/>
      <c r="AV26" s="9"/>
      <c r="AW26" s="9"/>
      <c r="AX26" s="127">
        <f>N21</f>
        <v>0</v>
      </c>
      <c r="AY26" s="129">
        <f>ABS(AM151)</f>
        <v>0</v>
      </c>
      <c r="AZ26" s="132">
        <f>IFERROR(IF(AND($AT$4&gt;=5,ABS($AM$149)&lt;0),ABS($AM$149),0),NA())</f>
        <v>0</v>
      </c>
      <c r="BA26" s="10">
        <f>IFERROR(AY26+AZ26,NA())</f>
        <v>0</v>
      </c>
      <c r="BB26" s="127">
        <f>IFERROR(IF(AND($AT$4&gt;=5,$AM$148&gt;0),$AM$148,0),NA())</f>
        <v>0</v>
      </c>
      <c r="BC26" s="133">
        <f>IF(BB26-BA26&lt;0,0,BB26-BA26)</f>
        <v>0</v>
      </c>
      <c r="BD26" s="130">
        <f>BC26+AX26</f>
        <v>0</v>
      </c>
      <c r="BE26" s="138">
        <f>IF(BD26-BA26&lt;0,0,BD26-BA26)</f>
        <v>0</v>
      </c>
      <c r="BF26" s="131" t="e">
        <f>BE26/BD26</f>
        <v>#DIV/0!</v>
      </c>
      <c r="BG26" s="126" t="e">
        <f>IFERROR((0.1*BD26)/BD26,NA())</f>
        <v>#N/A</v>
      </c>
      <c r="BH26" s="126" t="e">
        <f>IFERROR((0.1*BD26)/BD26,NA())</f>
        <v>#N/A</v>
      </c>
      <c r="BI26" s="126" t="e">
        <f>IFERROR((0.2*BD26)/BD26,NA())</f>
        <v>#N/A</v>
      </c>
      <c r="BJ26" s="131" t="e">
        <f>IFERROR(IF($AT$4&gt;5,0,BF26),NA())</f>
        <v>#N/A</v>
      </c>
      <c r="BK26" s="131">
        <f>IFERROR(IF($AT$4&gt;5,BF26,0),NA())</f>
        <v>0</v>
      </c>
      <c r="BL26" s="128" t="e">
        <f>IF(BK26&gt;0,0,BC26/AX26)</f>
        <v>#DIV/0!</v>
      </c>
      <c r="BM26" s="135">
        <f>IF((BD26-BE26)=0,0,(BD26-BE26)/BD26)</f>
        <v>0</v>
      </c>
      <c r="BN26" s="126" t="str">
        <f>IFERROR(BF26,"")</f>
        <v/>
      </c>
      <c r="BO26" s="8">
        <f>IFERROR(BA26,"")</f>
        <v>0</v>
      </c>
      <c r="BP26" s="8">
        <f>IFERROR(AX26,"")</f>
        <v>0</v>
      </c>
      <c r="BQ26" s="8" t="str">
        <f>IFERROR(IF(BC26=0,"",BC26),"")</f>
        <v/>
      </c>
      <c r="DL26" s="103" t="str">
        <f t="shared" si="55"/>
        <v/>
      </c>
      <c r="DM26" s="157" t="str">
        <f t="shared" si="56"/>
        <v/>
      </c>
      <c r="DN26" s="9" t="str">
        <f t="shared" si="57"/>
        <v/>
      </c>
      <c r="DO26" s="90" t="str">
        <f t="shared" si="58"/>
        <v/>
      </c>
      <c r="DP26" s="103" t="str">
        <f t="shared" si="59"/>
        <v/>
      </c>
      <c r="DQ26" s="157" t="str">
        <f t="shared" si="60"/>
        <v/>
      </c>
      <c r="DR26" s="129" t="e">
        <f t="shared" si="61"/>
        <v>#N/A</v>
      </c>
      <c r="DS26" s="163" t="e" cm="1">
        <f t="array" ref="DS26">IFERROR(_xlfn.IFS(DN26="",NA(),DP26=0,0,DP26&lt;&gt;"",DP26),NA())</f>
        <v>#N/A</v>
      </c>
      <c r="DT26" s="160" t="e">
        <f t="shared" si="62"/>
        <v>#N/A</v>
      </c>
      <c r="DU26" s="11" t="e">
        <f t="shared" si="63"/>
        <v>#N/A</v>
      </c>
      <c r="DV26" s="11" t="e">
        <f t="shared" si="64"/>
        <v>#N/A</v>
      </c>
      <c r="DW26" s="129" t="str" cm="1">
        <f t="array" ref="DW26">IFERROR(_xlfn.IFS(DT26=0,"",$DO$19=1,TEXT(DS26, "0.00%"),$DO$19=2,TEXT(DS26, "0.00%"),$DO$19=3,TEXT(DS26,"0.00"&amp;WB_Data!$EJ$2),$DO$19=4,TEXT(DS26,"0.00"&amp;WB_Data!$EJ$2)),"")</f>
        <v/>
      </c>
      <c r="DX26" s="11" t="str" cm="1">
        <f t="array" ref="DX26">IFERROR(_xlfn.IFS(DT26=0,"",$DO$19=1,TEXT(DU26, "0.00%"),$DO$19=2,TEXT(DU26, "0.00%"),$DO$19=3,TEXT(DU26,"0.00"&amp;WB_Data!$EJ$2),$DO$19=4,TEXT(DU26,"0.00"&amp;WB_Data!$EJ$2)),"")</f>
        <v/>
      </c>
      <c r="EK26" s="5"/>
      <c r="EL26" s="170">
        <f ca="1">IFERROR(GETPIVOTDATA("[Measures].["&amp;A_Budget1!$BC$7&amp;"]",A_Budget1!$BA$7,"[Budget1Data].[Cat_3]","[Budget1Data].[Cat_3].&amp;["&amp;ControlChart_Budget1!$ER$17&amp;"]","[Budget1Data].[Mois (Month)]","[Budget1Data].[Mois (Month)].&amp;["&amp;EV26&amp;"]","[Budget1Data].[Mois (Year)]","[Budget1Data].[Mois (Year)].&amp;["&amp;$EL$17&amp;"]"),0)</f>
        <v>0</v>
      </c>
      <c r="EM26" s="165">
        <f ca="1">IFERROR(IF($EN$17=1,0,GETPIVOTDATA("[Measures].["&amp;A_Budget1!$BC$7&amp;"]",A_Budget1!$BA$7,"[Budget1Data].[Cat_3]","[Budget1Data].[Cat_3].&amp;["&amp;ControlChart_Budget1!$ER$17&amp;"]","[Budget1Data].[Mois (Month)]","[Budget1Data].[Mois (Month)].&amp;["&amp;EV26&amp;"]","[Budget1Data].[Mois (Year)]","[Budget1Data].[Mois (Year)].&amp;["&amp;$EM$17&amp;"]")),0)</f>
        <v>0</v>
      </c>
      <c r="EN26" s="139">
        <f ca="1">IFERROR(GETPIVOTDATA("[Measures].["&amp;A_Budget1!$BD$7&amp;"]",A_Budget1!$BA$7,"[Budget1Data].[Cat_3]","[Budget1Data].[Cat_3].&amp;["&amp;ControlChart_Budget1!$ER$17&amp;"]","[Budget1Data].[Mois (Month)]","[Budget1Data].[Mois (Month)].&amp;["&amp;EV26&amp;"]","[Budget1Data].[Mois (Year)]","[Budget1Data].[Mois (Year)].&amp;["&amp;$EL$17&amp;"]"),0)</f>
        <v>0</v>
      </c>
      <c r="EO26" s="139">
        <f ca="1">IFERROR(IF($EN$17=1,0,GETPIVOTDATA("[Measures].["&amp;A_Budget1!$BD$7&amp;"]",A_Budget1!$BA$7,"[Budget1Data].[Cat_3]","[Budget1Data].[Cat_3].&amp;["&amp;ControlChart_Budget1!$ER$17&amp;"]","[Budget1Data].[Mois (Month)]","[Budget1Data].[Mois (Month)].&amp;["&amp;EV26&amp;"]","[Budget1Data].[Mois (Year)]","[Budget1Data].[Mois (Year)].&amp;["&amp;$EM$17&amp;"]")),0)</f>
        <v>0</v>
      </c>
      <c r="EP26" s="167">
        <f ca="1">IFERROR(GETPIVOTDATA("[Measures].["&amp;A_Budget1!$BE$7&amp;"]",A_Budget1!$BA$7,"[Budget1Data].[Cat_3]","[Budget1Data].[Cat_3].&amp;["&amp;ControlChart_Budget1!$ER$17&amp;"]","[Budget1Data].[Mois (Month)]","[Budget1Data].[Mois (Month)].&amp;["&amp;EV26&amp;"]","[Budget1Data].[Mois (Year)]","[Budget1Data].[Mois (Year)].&amp;["&amp;$EL$17&amp;"]"),0)</f>
        <v>0</v>
      </c>
      <c r="EQ26" s="167">
        <f ca="1">IFERROR(IF($EN$17=1,0,GETPIVOTDATA("[Measures].["&amp;A_Budget1!$BE$7&amp;"]",A_Budget1!$BA$7,"[Budget1Data].[Cat_3]","[Budget1Data].[Cat_3].&amp;["&amp;ControlChart_Budget1!$ER$17&amp;"]","[Budget1Data].[Mois (Month)]","[Budget1Data].[Mois (Month)].&amp;["&amp;EV26&amp;"]","[Budget1Data].[Mois (Year)]","[Budget1Data].[Mois (Year)].&amp;["&amp;$EM$17&amp;"]")),0)</f>
        <v>0</v>
      </c>
      <c r="ER26" s="9" t="str">
        <f>IFERROR(IF(A_Budget1!BB17=0,"",A_Budget1!BB17),"")</f>
        <v/>
      </c>
      <c r="ES26" s="312">
        <f t="shared" ca="1" si="43"/>
        <v>0</v>
      </c>
      <c r="ET26" s="313">
        <f t="shared" ca="1" si="44"/>
        <v>0</v>
      </c>
      <c r="EU26" s="314">
        <f t="shared" ca="1" si="45"/>
        <v>0</v>
      </c>
      <c r="EV26" t="str">
        <f ca="1">IFERROR(VLOOKUP(ER26,Library!$R$18:$S$29,2,FALSE),Library!S26)</f>
        <v>sept</v>
      </c>
    </row>
    <row r="27" spans="2:173" ht="12" thickBot="1" x14ac:dyDescent="0.3">
      <c r="AC27" s="119"/>
      <c r="AD27" s="119"/>
      <c r="AE27" s="119"/>
      <c r="AF27" s="119"/>
      <c r="AG27" s="119"/>
      <c r="AH27" s="119"/>
      <c r="AI27" s="119"/>
      <c r="AJ27" s="39" t="str">
        <f>IF(ISBLANK($C$11),"",$C$11)</f>
        <v/>
      </c>
      <c r="AK27" s="39">
        <f t="shared" si="47"/>
        <v>0</v>
      </c>
      <c r="AL27" s="39">
        <f t="shared" si="48"/>
        <v>0</v>
      </c>
      <c r="AM27" s="39">
        <f t="shared" si="49"/>
        <v>0</v>
      </c>
      <c r="AN27" s="39">
        <f t="shared" si="50"/>
        <v>0</v>
      </c>
      <c r="AO27" s="39">
        <f t="shared" si="51"/>
        <v>0</v>
      </c>
      <c r="AP27" s="39">
        <f t="shared" si="52"/>
        <v>0</v>
      </c>
      <c r="AQ27" s="39">
        <f t="shared" si="53"/>
        <v>0</v>
      </c>
      <c r="AR27" s="39">
        <f t="shared" si="54"/>
        <v>0</v>
      </c>
      <c r="AT27" s="304" cm="1">
        <f t="array" ref="AT27">_xlfn.IFS($AT$4=1,BO22,$AT$4=2,BO23,$AT$4=3,BO24,$AT$4=4,BO25,$AT$4=5,BO26)</f>
        <v>2.0000000000000001E-4</v>
      </c>
      <c r="AU27" s="304" cm="1">
        <f t="array" ref="AU27">_xlfn.IFS($AT$4=1,BP22,$AT$4=2,BP23,$AT$4=3,BP24,$AT$4=4,BP25,$AT$4=5,BP26)</f>
        <v>2E-3</v>
      </c>
      <c r="AV27" s="8" t="str">
        <f>IF(AU27&lt;&gt;"","/ "&amp;AU27&amp;WB_Data!EJ2,"")</f>
        <v>/ 0.002$</v>
      </c>
      <c r="AW27" s="303" cm="1">
        <f t="array" ref="AW27">_xlfn.IFS($AT$4=1,BQ22,$AT$4=2,BQ23,$AT$4=3,BQ24,$AT$4=4,BQ25,$AT$4=5,BQ26)</f>
        <v>0</v>
      </c>
      <c r="AX27" s="85" t="str">
        <f>IF(AW27="","","Extra")</f>
        <v>Extra</v>
      </c>
      <c r="CY27" s="188" t="str">
        <f ca="1">IF(CZ27&lt;&gt;"",CX1,"")</f>
        <v/>
      </c>
      <c r="CZ27" s="144" t="str">
        <f ca="1">E19</f>
        <v/>
      </c>
      <c r="DA27" s="9" t="s">
        <v>14</v>
      </c>
      <c r="DB27" s="9">
        <f>IFERROR(IF(AT4&gt;2,CS6+CS10,0),0)</f>
        <v>0</v>
      </c>
      <c r="DL27" s="103" t="str">
        <f t="shared" si="55"/>
        <v/>
      </c>
      <c r="DM27" s="157" t="str">
        <f t="shared" si="56"/>
        <v/>
      </c>
      <c r="DN27" s="9" t="str">
        <f t="shared" si="57"/>
        <v/>
      </c>
      <c r="DO27" s="90" t="str">
        <f t="shared" si="58"/>
        <v/>
      </c>
      <c r="DP27" s="103" t="str">
        <f t="shared" si="59"/>
        <v/>
      </c>
      <c r="DQ27" s="157" t="str">
        <f t="shared" si="60"/>
        <v/>
      </c>
      <c r="DR27" s="129" t="e">
        <f t="shared" si="61"/>
        <v>#N/A</v>
      </c>
      <c r="DS27" s="163" t="e" cm="1">
        <f t="array" ref="DS27">IFERROR(_xlfn.IFS(DN27="",NA(),DP27=0,0,DP27&lt;&gt;"",DP27),NA())</f>
        <v>#N/A</v>
      </c>
      <c r="DT27" s="160" t="e">
        <f t="shared" si="62"/>
        <v>#N/A</v>
      </c>
      <c r="DU27" s="11" t="e">
        <f t="shared" si="63"/>
        <v>#N/A</v>
      </c>
      <c r="DV27" s="11" t="e">
        <f t="shared" si="64"/>
        <v>#N/A</v>
      </c>
      <c r="DW27" s="129" t="str" cm="1">
        <f t="array" ref="DW27">IFERROR(_xlfn.IFS(DT27=0,"",$DO$19=1,TEXT(DS27, "0.00%"),$DO$19=2,TEXT(DS27, "0.00%"),$DO$19=3,TEXT(DS27,"0.00"&amp;WB_Data!$EJ$2),$DO$19=4,TEXT(DS27,"0.00"&amp;WB_Data!$EJ$2)),"")</f>
        <v/>
      </c>
      <c r="DX27" s="11" t="str" cm="1">
        <f t="array" ref="DX27">IFERROR(_xlfn.IFS(DT27=0,"",$DO$19=1,TEXT(DU27, "0.00%"),$DO$19=2,TEXT(DU27, "0.00%"),$DO$19=3,TEXT(DU27,"0.00"&amp;WB_Data!$EJ$2),$DO$19=4,TEXT(DU27,"0.00"&amp;WB_Data!$EJ$2)),"")</f>
        <v/>
      </c>
      <c r="EK27" s="5"/>
      <c r="EL27" s="170">
        <f ca="1">IFERROR(GETPIVOTDATA("[Measures].["&amp;A_Budget1!$BC$7&amp;"]",A_Budget1!$BA$7,"[Budget1Data].[Cat_3]","[Budget1Data].[Cat_3].&amp;["&amp;ControlChart_Budget1!$ER$17&amp;"]","[Budget1Data].[Mois (Month)]","[Budget1Data].[Mois (Month)].&amp;["&amp;EV27&amp;"]","[Budget1Data].[Mois (Year)]","[Budget1Data].[Mois (Year)].&amp;["&amp;$EL$17&amp;"]"),0)</f>
        <v>0</v>
      </c>
      <c r="EM27" s="165">
        <f ca="1">IFERROR(IF($EN$17=1,0,GETPIVOTDATA("[Measures].["&amp;A_Budget1!$BC$7&amp;"]",A_Budget1!$BA$7,"[Budget1Data].[Cat_3]","[Budget1Data].[Cat_3].&amp;["&amp;ControlChart_Budget1!$ER$17&amp;"]","[Budget1Data].[Mois (Month)]","[Budget1Data].[Mois (Month)].&amp;["&amp;EV27&amp;"]","[Budget1Data].[Mois (Year)]","[Budget1Data].[Mois (Year)].&amp;["&amp;$EM$17&amp;"]")),0)</f>
        <v>0</v>
      </c>
      <c r="EN27" s="139">
        <f ca="1">IFERROR(GETPIVOTDATA("[Measures].["&amp;A_Budget1!$BD$7&amp;"]",A_Budget1!$BA$7,"[Budget1Data].[Cat_3]","[Budget1Data].[Cat_3].&amp;["&amp;ControlChart_Budget1!$ER$17&amp;"]","[Budget1Data].[Mois (Month)]","[Budget1Data].[Mois (Month)].&amp;["&amp;EV27&amp;"]","[Budget1Data].[Mois (Year)]","[Budget1Data].[Mois (Year)].&amp;["&amp;$EL$17&amp;"]"),0)</f>
        <v>0</v>
      </c>
      <c r="EO27" s="139">
        <f ca="1">IFERROR(IF($EN$17=1,0,GETPIVOTDATA("[Measures].["&amp;A_Budget1!$BD$7&amp;"]",A_Budget1!$BA$7,"[Budget1Data].[Cat_3]","[Budget1Data].[Cat_3].&amp;["&amp;ControlChart_Budget1!$ER$17&amp;"]","[Budget1Data].[Mois (Month)]","[Budget1Data].[Mois (Month)].&amp;["&amp;EV27&amp;"]","[Budget1Data].[Mois (Year)]","[Budget1Data].[Mois (Year)].&amp;["&amp;$EM$17&amp;"]")),0)</f>
        <v>0</v>
      </c>
      <c r="EP27" s="167">
        <f ca="1">IFERROR(GETPIVOTDATA("[Measures].["&amp;A_Budget1!$BE$7&amp;"]",A_Budget1!$BA$7,"[Budget1Data].[Cat_3]","[Budget1Data].[Cat_3].&amp;["&amp;ControlChart_Budget1!$ER$17&amp;"]","[Budget1Data].[Mois (Month)]","[Budget1Data].[Mois (Month)].&amp;["&amp;EV27&amp;"]","[Budget1Data].[Mois (Year)]","[Budget1Data].[Mois (Year)].&amp;["&amp;$EL$17&amp;"]"),0)</f>
        <v>0</v>
      </c>
      <c r="EQ27" s="167">
        <f ca="1">IFERROR(IF($EN$17=1,0,GETPIVOTDATA("[Measures].["&amp;A_Budget1!$BE$7&amp;"]",A_Budget1!$BA$7,"[Budget1Data].[Cat_3]","[Budget1Data].[Cat_3].&amp;["&amp;ControlChart_Budget1!$ER$17&amp;"]","[Budget1Data].[Mois (Month)]","[Budget1Data].[Mois (Month)].&amp;["&amp;EV27&amp;"]","[Budget1Data].[Mois (Year)]","[Budget1Data].[Mois (Year)].&amp;["&amp;$EM$17&amp;"]")),0)</f>
        <v>0</v>
      </c>
      <c r="ER27" s="9" t="str">
        <f>IFERROR(IF(A_Budget1!BB18=0,"",A_Budget1!BB18),"")</f>
        <v/>
      </c>
      <c r="ES27" s="312">
        <f t="shared" ca="1" si="43"/>
        <v>0</v>
      </c>
      <c r="ET27" s="313">
        <f t="shared" ca="1" si="44"/>
        <v>0</v>
      </c>
      <c r="EU27" s="314">
        <f t="shared" ca="1" si="45"/>
        <v>0</v>
      </c>
      <c r="EV27" t="str">
        <f ca="1">IFERROR(VLOOKUP(ER27,Library!$R$18:$S$29,2,FALSE),Library!S27)</f>
        <v>oct</v>
      </c>
    </row>
    <row r="28" spans="2:173" x14ac:dyDescent="0.25">
      <c r="AC28" s="119"/>
      <c r="AD28" s="119"/>
      <c r="AE28" s="119"/>
      <c r="AF28" s="119"/>
      <c r="AG28" s="119"/>
      <c r="AH28" s="119"/>
      <c r="AI28" s="119"/>
      <c r="AJ28" s="39" t="str">
        <f>IF(ISBLANK($C$12),"",$C$12)</f>
        <v/>
      </c>
      <c r="AK28" s="39">
        <f t="shared" si="47"/>
        <v>0</v>
      </c>
      <c r="AL28" s="39">
        <f t="shared" si="48"/>
        <v>0</v>
      </c>
      <c r="AM28" s="39">
        <f t="shared" si="49"/>
        <v>0</v>
      </c>
      <c r="AN28" s="39">
        <f t="shared" si="50"/>
        <v>0</v>
      </c>
      <c r="AO28" s="39">
        <f t="shared" si="51"/>
        <v>0</v>
      </c>
      <c r="AP28" s="39">
        <f t="shared" si="52"/>
        <v>0</v>
      </c>
      <c r="AQ28" s="39">
        <f t="shared" si="53"/>
        <v>0</v>
      </c>
      <c r="AR28" s="39">
        <f t="shared" si="54"/>
        <v>0</v>
      </c>
      <c r="CY28" s="187" t="str">
        <f>IF(CY31&lt;&gt;"",DB31,"")</f>
        <v/>
      </c>
      <c r="CZ28" s="9"/>
      <c r="DA28" s="9" t="s">
        <v>168</v>
      </c>
      <c r="DB28" s="9">
        <f>IF(DB27&lt;0,ABS(DB27),0)</f>
        <v>0</v>
      </c>
      <c r="DL28" s="103" t="str">
        <f t="shared" si="55"/>
        <v/>
      </c>
      <c r="DM28" s="157" t="str">
        <f t="shared" si="56"/>
        <v/>
      </c>
      <c r="DN28" s="9" t="str">
        <f t="shared" si="57"/>
        <v/>
      </c>
      <c r="DO28" s="90" t="str">
        <f t="shared" si="58"/>
        <v/>
      </c>
      <c r="DP28" s="103" t="str">
        <f t="shared" si="59"/>
        <v/>
      </c>
      <c r="DQ28" s="157" t="str">
        <f t="shared" si="60"/>
        <v/>
      </c>
      <c r="DR28" s="129" t="e">
        <f t="shared" si="61"/>
        <v>#N/A</v>
      </c>
      <c r="DS28" s="163" t="e" cm="1">
        <f t="array" ref="DS28">IFERROR(_xlfn.IFS(DN28="",NA(),DP28=0,0,DP28&lt;&gt;"",DP28),NA())</f>
        <v>#N/A</v>
      </c>
      <c r="DT28" s="160" t="e">
        <f t="shared" si="62"/>
        <v>#N/A</v>
      </c>
      <c r="DU28" s="11" t="e">
        <f t="shared" si="63"/>
        <v>#N/A</v>
      </c>
      <c r="DV28" s="11" t="e">
        <f t="shared" si="64"/>
        <v>#N/A</v>
      </c>
      <c r="DW28" s="129" t="str" cm="1">
        <f t="array" ref="DW28">IFERROR(_xlfn.IFS(DT28=0,"",$DO$19=1,TEXT(DS28, "0.00%"),$DO$19=2,TEXT(DS28, "0.00%"),$DO$19=3,TEXT(DS28,"0.00"&amp;WB_Data!$EJ$2),$DO$19=4,TEXT(DS28,"0.00"&amp;WB_Data!$EJ$2)),"")</f>
        <v/>
      </c>
      <c r="DX28" s="11" t="str" cm="1">
        <f t="array" ref="DX28">IFERROR(_xlfn.IFS(DT28=0,"",$DO$19=1,TEXT(DU28, "0.00%"),$DO$19=2,TEXT(DU28, "0.00%"),$DO$19=3,TEXT(DU28,"0.00"&amp;WB_Data!$EJ$2),$DO$19=4,TEXT(DU28,"0.00"&amp;WB_Data!$EJ$2)),"")</f>
        <v/>
      </c>
      <c r="EK28" s="5"/>
      <c r="EL28" s="170">
        <f ca="1">IFERROR(GETPIVOTDATA("[Measures].["&amp;A_Budget1!$BC$7&amp;"]",A_Budget1!$BA$7,"[Budget1Data].[Cat_3]","[Budget1Data].[Cat_3].&amp;["&amp;ControlChart_Budget1!$ER$17&amp;"]","[Budget1Data].[Mois (Month)]","[Budget1Data].[Mois (Month)].&amp;["&amp;EV28&amp;"]","[Budget1Data].[Mois (Year)]","[Budget1Data].[Mois (Year)].&amp;["&amp;$EL$17&amp;"]"),0)</f>
        <v>0</v>
      </c>
      <c r="EM28" s="165">
        <f ca="1">IFERROR(IF($EN$17=1,0,GETPIVOTDATA("[Measures].["&amp;A_Budget1!$BC$7&amp;"]",A_Budget1!$BA$7,"[Budget1Data].[Cat_3]","[Budget1Data].[Cat_3].&amp;["&amp;ControlChart_Budget1!$ER$17&amp;"]","[Budget1Data].[Mois (Month)]","[Budget1Data].[Mois (Month)].&amp;["&amp;EV28&amp;"]","[Budget1Data].[Mois (Year)]","[Budget1Data].[Mois (Year)].&amp;["&amp;$EM$17&amp;"]")),0)</f>
        <v>0</v>
      </c>
      <c r="EN28" s="139">
        <f ca="1">IFERROR(GETPIVOTDATA("[Measures].["&amp;A_Budget1!$BD$7&amp;"]",A_Budget1!$BA$7,"[Budget1Data].[Cat_3]","[Budget1Data].[Cat_3].&amp;["&amp;ControlChart_Budget1!$ER$17&amp;"]","[Budget1Data].[Mois (Month)]","[Budget1Data].[Mois (Month)].&amp;["&amp;EV28&amp;"]","[Budget1Data].[Mois (Year)]","[Budget1Data].[Mois (Year)].&amp;["&amp;$EL$17&amp;"]"),0)</f>
        <v>0</v>
      </c>
      <c r="EO28" s="139">
        <f ca="1">IFERROR(IF($EN$17=1,0,GETPIVOTDATA("[Measures].["&amp;A_Budget1!$BD$7&amp;"]",A_Budget1!$BA$7,"[Budget1Data].[Cat_3]","[Budget1Data].[Cat_3].&amp;["&amp;ControlChart_Budget1!$ER$17&amp;"]","[Budget1Data].[Mois (Month)]","[Budget1Data].[Mois (Month)].&amp;["&amp;EV28&amp;"]","[Budget1Data].[Mois (Year)]","[Budget1Data].[Mois (Year)].&amp;["&amp;$EM$17&amp;"]")),0)</f>
        <v>0</v>
      </c>
      <c r="EP28" s="167">
        <f ca="1">IFERROR(GETPIVOTDATA("[Measures].["&amp;A_Budget1!$BE$7&amp;"]",A_Budget1!$BA$7,"[Budget1Data].[Cat_3]","[Budget1Data].[Cat_3].&amp;["&amp;ControlChart_Budget1!$ER$17&amp;"]","[Budget1Data].[Mois (Month)]","[Budget1Data].[Mois (Month)].&amp;["&amp;EV28&amp;"]","[Budget1Data].[Mois (Year)]","[Budget1Data].[Mois (Year)].&amp;["&amp;$EL$17&amp;"]"),0)</f>
        <v>0</v>
      </c>
      <c r="EQ28" s="167">
        <f ca="1">IFERROR(IF($EN$17=1,0,GETPIVOTDATA("[Measures].["&amp;A_Budget1!$BE$7&amp;"]",A_Budget1!$BA$7,"[Budget1Data].[Cat_3]","[Budget1Data].[Cat_3].&amp;["&amp;ControlChart_Budget1!$ER$17&amp;"]","[Budget1Data].[Mois (Month)]","[Budget1Data].[Mois (Month)].&amp;["&amp;EV28&amp;"]","[Budget1Data].[Mois (Year)]","[Budget1Data].[Mois (Year)].&amp;["&amp;$EM$17&amp;"]")),0)</f>
        <v>0</v>
      </c>
      <c r="ER28" s="9" t="str">
        <f>IFERROR(IF(A_Budget1!BB19=0,"",A_Budget1!BB19),"")</f>
        <v/>
      </c>
      <c r="ES28" s="312">
        <f t="shared" ca="1" si="43"/>
        <v>0</v>
      </c>
      <c r="ET28" s="313">
        <f t="shared" ca="1" si="44"/>
        <v>0</v>
      </c>
      <c r="EU28" s="314">
        <f t="shared" ca="1" si="45"/>
        <v>0</v>
      </c>
      <c r="EV28" t="str">
        <f ca="1">IFERROR(VLOOKUP(ER28,Library!$R$18:$S$29,2,FALSE),Library!S28)</f>
        <v>nov</v>
      </c>
    </row>
    <row r="29" spans="2:173" x14ac:dyDescent="0.25">
      <c r="AC29" s="119"/>
      <c r="AD29" s="119"/>
      <c r="AE29" s="119"/>
      <c r="AF29" s="119"/>
      <c r="AG29" s="119"/>
      <c r="AH29" s="119"/>
      <c r="AI29" s="119"/>
      <c r="AJ29" s="39" t="str">
        <f>IF(ISBLANK($C$13),"",$C$13)</f>
        <v/>
      </c>
      <c r="AK29" s="39">
        <f t="shared" si="47"/>
        <v>0</v>
      </c>
      <c r="AL29" s="39">
        <f t="shared" si="48"/>
        <v>0</v>
      </c>
      <c r="AM29" s="39">
        <f t="shared" si="49"/>
        <v>0</v>
      </c>
      <c r="AN29" s="39">
        <f t="shared" si="50"/>
        <v>0</v>
      </c>
      <c r="AO29" s="39">
        <f t="shared" si="51"/>
        <v>0</v>
      </c>
      <c r="AP29" s="39">
        <f t="shared" si="52"/>
        <v>0</v>
      </c>
      <c r="AQ29" s="39">
        <f t="shared" si="53"/>
        <v>0</v>
      </c>
      <c r="AR29" s="39">
        <f t="shared" si="54"/>
        <v>0</v>
      </c>
      <c r="CY29" s="9" t="str">
        <f>IF(DB31&gt;1,CY36,IF(AND($AT$4&gt;2,CY31&lt;&gt;""),CY36,""))</f>
        <v/>
      </c>
      <c r="CZ29" s="9"/>
      <c r="DA29" s="9" t="s">
        <v>167</v>
      </c>
      <c r="DB29" s="9">
        <f>IF(DB27&gt;0,DB27,0)</f>
        <v>0</v>
      </c>
      <c r="DL29" s="103" t="str">
        <f t="shared" si="55"/>
        <v/>
      </c>
      <c r="DM29" s="157" t="str">
        <f t="shared" si="56"/>
        <v/>
      </c>
      <c r="DN29" s="9" t="str">
        <f t="shared" si="57"/>
        <v/>
      </c>
      <c r="DO29" s="90" t="str">
        <f t="shared" si="58"/>
        <v/>
      </c>
      <c r="DP29" s="103" t="str">
        <f t="shared" si="59"/>
        <v/>
      </c>
      <c r="DQ29" s="157" t="str">
        <f t="shared" si="60"/>
        <v/>
      </c>
      <c r="DR29" s="129" t="e">
        <f t="shared" si="61"/>
        <v>#N/A</v>
      </c>
      <c r="DS29" s="163" t="e" cm="1">
        <f t="array" ref="DS29">IFERROR(_xlfn.IFS(DN29="",NA(),DP29=0,0,DP29&lt;&gt;"",DP29),NA())</f>
        <v>#N/A</v>
      </c>
      <c r="DT29" s="160" t="e">
        <f t="shared" si="62"/>
        <v>#N/A</v>
      </c>
      <c r="DU29" s="11" t="e">
        <f t="shared" si="63"/>
        <v>#N/A</v>
      </c>
      <c r="DV29" s="11" t="e">
        <f t="shared" si="64"/>
        <v>#N/A</v>
      </c>
      <c r="DW29" s="129" t="str" cm="1">
        <f t="array" ref="DW29">IFERROR(_xlfn.IFS(DT29=0,"",$DO$19=1,TEXT(DS29, "0.00%"),$DO$19=2,TEXT(DS29, "0.00%"),$DO$19=3,TEXT(DS29,"0.00"&amp;WB_Data!$EJ$2),$DO$19=4,TEXT(DS29,"0.00"&amp;WB_Data!$EJ$2)),"")</f>
        <v/>
      </c>
      <c r="DX29" s="11" t="str" cm="1">
        <f t="array" ref="DX29">IFERROR(_xlfn.IFS(DT29=0,"",$DO$19=1,TEXT(DU29, "0.00%"),$DO$19=2,TEXT(DU29, "0.00%"),$DO$19=3,TEXT(DU29,"0.00"&amp;WB_Data!$EJ$2),$DO$19=4,TEXT(DU29,"0.00"&amp;WB_Data!$EJ$2)),"")</f>
        <v/>
      </c>
      <c r="EK29" s="5"/>
      <c r="EL29" s="170">
        <f ca="1">IFERROR(GETPIVOTDATA("[Measures].["&amp;A_Budget1!$BC$7&amp;"]",A_Budget1!$BA$7,"[Budget1Data].[Cat_3]","[Budget1Data].[Cat_3].&amp;["&amp;ControlChart_Budget1!$ER$17&amp;"]","[Budget1Data].[Mois (Month)]","[Budget1Data].[Mois (Month)].&amp;["&amp;EV29&amp;"]","[Budget1Data].[Mois (Year)]","[Budget1Data].[Mois (Year)].&amp;["&amp;$EL$17&amp;"]"),0)</f>
        <v>0</v>
      </c>
      <c r="EM29" s="165">
        <f ca="1">IFERROR(IF($EN$17=1,0,GETPIVOTDATA("[Measures].["&amp;A_Budget1!$BC$7&amp;"]",A_Budget1!$BA$7,"[Budget1Data].[Cat_3]","[Budget1Data].[Cat_3].&amp;["&amp;ControlChart_Budget1!$ER$17&amp;"]","[Budget1Data].[Mois (Month)]","[Budget1Data].[Mois (Month)].&amp;["&amp;EV29&amp;"]","[Budget1Data].[Mois (Year)]","[Budget1Data].[Mois (Year)].&amp;["&amp;$EM$17&amp;"]")),0)</f>
        <v>0</v>
      </c>
      <c r="EN29" s="139">
        <f ca="1">IFERROR(GETPIVOTDATA("[Measures].["&amp;A_Budget1!$BD$7&amp;"]",A_Budget1!$BA$7,"[Budget1Data].[Cat_3]","[Budget1Data].[Cat_3].&amp;["&amp;ControlChart_Budget1!$ER$17&amp;"]","[Budget1Data].[Mois (Month)]","[Budget1Data].[Mois (Month)].&amp;["&amp;EV29&amp;"]","[Budget1Data].[Mois (Year)]","[Budget1Data].[Mois (Year)].&amp;["&amp;$EL$17&amp;"]"),0)</f>
        <v>0</v>
      </c>
      <c r="EO29" s="139">
        <f ca="1">IFERROR(IF($EN$17=1,0,GETPIVOTDATA("[Measures].["&amp;A_Budget1!$BD$7&amp;"]",A_Budget1!$BA$7,"[Budget1Data].[Cat_3]","[Budget1Data].[Cat_3].&amp;["&amp;ControlChart_Budget1!$ER$17&amp;"]","[Budget1Data].[Mois (Month)]","[Budget1Data].[Mois (Month)].&amp;["&amp;EV29&amp;"]","[Budget1Data].[Mois (Year)]","[Budget1Data].[Mois (Year)].&amp;["&amp;$EM$17&amp;"]")),0)</f>
        <v>0</v>
      </c>
      <c r="EP29" s="167">
        <f ca="1">IFERROR(GETPIVOTDATA("[Measures].["&amp;A_Budget1!$BE$7&amp;"]",A_Budget1!$BA$7,"[Budget1Data].[Cat_3]","[Budget1Data].[Cat_3].&amp;["&amp;ControlChart_Budget1!$ER$17&amp;"]","[Budget1Data].[Mois (Month)]","[Budget1Data].[Mois (Month)].&amp;["&amp;EV29&amp;"]","[Budget1Data].[Mois (Year)]","[Budget1Data].[Mois (Year)].&amp;["&amp;$EL$17&amp;"]"),0)</f>
        <v>0</v>
      </c>
      <c r="EQ29" s="167">
        <f ca="1">IFERROR(IF($EN$17=1,0,GETPIVOTDATA("[Measures].["&amp;A_Budget1!$BE$7&amp;"]",A_Budget1!$BA$7,"[Budget1Data].[Cat_3]","[Budget1Data].[Cat_3].&amp;["&amp;ControlChart_Budget1!$ER$17&amp;"]","[Budget1Data].[Mois (Month)]","[Budget1Data].[Mois (Month)].&amp;["&amp;EV29&amp;"]","[Budget1Data].[Mois (Year)]","[Budget1Data].[Mois (Year)].&amp;["&amp;$EM$17&amp;"]")),0)</f>
        <v>0</v>
      </c>
      <c r="ER29" s="9" t="str">
        <f>IFERROR(IF(A_Budget1!BB20=0,"",A_Budget1!BB20),"")</f>
        <v/>
      </c>
      <c r="ES29" s="312">
        <f t="shared" ca="1" si="43"/>
        <v>0</v>
      </c>
      <c r="ET29" s="313">
        <f t="shared" ca="1" si="44"/>
        <v>0</v>
      </c>
      <c r="EU29" s="314">
        <f t="shared" ca="1" si="45"/>
        <v>0</v>
      </c>
      <c r="EV29" t="str">
        <f ca="1">IFERROR(VLOOKUP(ER29,Library!$R$18:$S$29,2,FALSE),Library!S29)</f>
        <v>déc</v>
      </c>
    </row>
    <row r="30" spans="2:173" x14ac:dyDescent="0.25">
      <c r="AC30" s="119"/>
      <c r="AD30" s="119"/>
      <c r="AE30" s="119"/>
      <c r="AF30" s="119"/>
      <c r="AG30" s="119"/>
      <c r="AH30" s="119"/>
      <c r="AI30" s="119"/>
      <c r="AJ30" s="39" t="str">
        <f>IF(ISBLANK($C$14),"",$C$14)</f>
        <v/>
      </c>
      <c r="AK30" s="39">
        <f t="shared" si="47"/>
        <v>0</v>
      </c>
      <c r="AL30" s="39">
        <f t="shared" si="48"/>
        <v>0</v>
      </c>
      <c r="AM30" s="39">
        <f t="shared" si="49"/>
        <v>0</v>
      </c>
      <c r="AN30" s="39">
        <f t="shared" si="50"/>
        <v>0</v>
      </c>
      <c r="AO30" s="39">
        <f t="shared" si="51"/>
        <v>0</v>
      </c>
      <c r="AP30" s="39">
        <f t="shared" si="52"/>
        <v>0</v>
      </c>
      <c r="AQ30" s="39">
        <f t="shared" si="53"/>
        <v>0</v>
      </c>
      <c r="AR30" s="39">
        <f t="shared" si="54"/>
        <v>0</v>
      </c>
      <c r="AT30" s="8">
        <f>AT2</f>
        <v>20</v>
      </c>
      <c r="AU30" s="8" t="str">
        <f>CONCATENATE("G17:G"&amp;AT30)</f>
        <v>G17:G20</v>
      </c>
      <c r="AV30" s="9" t="str">
        <f>CONCATENATE("H17:H"&amp;AT30)</f>
        <v>H17:H20</v>
      </c>
      <c r="AW30" s="8" t="str">
        <f>CONCATENATE("I17:I"&amp;AT30)</f>
        <v>I17:I20</v>
      </c>
      <c r="AX30" s="127" t="s">
        <v>105</v>
      </c>
      <c r="AY30" s="129" t="s">
        <v>14</v>
      </c>
      <c r="AZ30" s="9" t="s">
        <v>153</v>
      </c>
      <c r="BA30" s="10" t="s">
        <v>152</v>
      </c>
      <c r="BB30" s="9" t="s">
        <v>154</v>
      </c>
      <c r="BC30" s="133" t="s">
        <v>155</v>
      </c>
      <c r="BD30" s="130" t="s">
        <v>156</v>
      </c>
      <c r="BE30" s="130" t="s">
        <v>151</v>
      </c>
      <c r="BF30" s="130" t="s">
        <v>151</v>
      </c>
      <c r="BG30" s="9" t="s">
        <v>147</v>
      </c>
      <c r="BH30" s="9" t="s">
        <v>148</v>
      </c>
      <c r="BI30" s="9" t="s">
        <v>149</v>
      </c>
      <c r="BJ30" s="130" t="s">
        <v>159</v>
      </c>
      <c r="BK30" s="130" t="s">
        <v>158</v>
      </c>
      <c r="BL30" s="127" t="s">
        <v>157</v>
      </c>
      <c r="BM30" s="132" t="s">
        <v>150</v>
      </c>
      <c r="CY30" s="9" t="s">
        <v>14</v>
      </c>
      <c r="CZ30" s="9" cm="1">
        <f t="array" ref="CZ30">IFERROR(_xlfn.IFS(DB29&gt;0,0%,(DB28/CZ31)&gt;1.4,1.4,DB28&gt;=0,(DB28/CZ31)),0)</f>
        <v>0</v>
      </c>
      <c r="DA30" s="9"/>
      <c r="DB30" s="9" t="s">
        <v>169</v>
      </c>
      <c r="DL30" s="103" t="str">
        <f t="shared" si="55"/>
        <v/>
      </c>
      <c r="DM30" s="157" t="str">
        <f t="shared" si="56"/>
        <v/>
      </c>
      <c r="DN30" s="9" t="str">
        <f t="shared" si="57"/>
        <v/>
      </c>
      <c r="DO30" s="90" t="str">
        <f t="shared" si="58"/>
        <v/>
      </c>
      <c r="DP30" s="103" t="str">
        <f t="shared" si="59"/>
        <v/>
      </c>
      <c r="DQ30" s="157" t="str">
        <f t="shared" si="60"/>
        <v/>
      </c>
      <c r="DR30" s="129" t="e">
        <f t="shared" si="61"/>
        <v>#N/A</v>
      </c>
      <c r="DS30" s="163" t="e" cm="1">
        <f t="array" ref="DS30">IFERROR(_xlfn.IFS(DN30="",NA(),DP30=0,0,DP30&lt;&gt;"",DP30),NA())</f>
        <v>#N/A</v>
      </c>
      <c r="DT30" s="160" t="e">
        <f t="shared" si="62"/>
        <v>#N/A</v>
      </c>
      <c r="DU30" s="11" t="e">
        <f t="shared" si="63"/>
        <v>#N/A</v>
      </c>
      <c r="DV30" s="11" t="e">
        <f t="shared" si="64"/>
        <v>#N/A</v>
      </c>
      <c r="DW30" s="129" t="str" cm="1">
        <f t="array" ref="DW30">IFERROR(_xlfn.IFS(DT30=0,"",$DO$19=1,TEXT(DS30, "0.00%"),$DO$19=2,TEXT(DS30, "0.00%"),$DO$19=3,TEXT(DS30,"0.00"&amp;WB_Data!$EJ$2),$DO$19=4,TEXT(DS30,"0.00"&amp;WB_Data!$EJ$2)),"")</f>
        <v/>
      </c>
      <c r="DX30" s="11" t="str" cm="1">
        <f t="array" ref="DX30">IFERROR(_xlfn.IFS(DT30=0,"",$DO$19=1,TEXT(DU30, "0.00%"),$DO$19=2,TEXT(DU30, "0.00%"),$DO$19=3,TEXT(DU30,"0.00"&amp;WB_Data!$EJ$2),$DO$19=4,TEXT(DU30,"0.00"&amp;WB_Data!$EJ$2)),"")</f>
        <v/>
      </c>
      <c r="EK30" s="5"/>
      <c r="EL30" s="144"/>
      <c r="EM30" s="9"/>
      <c r="EN30" s="9"/>
      <c r="EO30" s="9"/>
      <c r="EP30" s="85" cm="1">
        <f t="array" aca="1" ref="EP30" ca="1">SUM(IFERROR(EP18:EP29,0))</f>
        <v>4.0000000000000002E-4</v>
      </c>
      <c r="EQ30" s="85"/>
      <c r="ER30" s="9"/>
      <c r="ES30" s="302">
        <f ca="1">IFERROR(SUM(ES18:ES29)/ES14,"")</f>
        <v>3.3333333333333335E-5</v>
      </c>
      <c r="ET30" s="313">
        <f ca="1">SUM(ET18:ET29)/ET14</f>
        <v>2E-3</v>
      </c>
      <c r="EU30" s="314">
        <f ca="1">SUM(EU18:EU29)/ET14</f>
        <v>2E-3</v>
      </c>
    </row>
    <row r="31" spans="2:173" x14ac:dyDescent="0.25">
      <c r="AC31" s="119"/>
      <c r="AD31" s="119"/>
      <c r="AE31" s="119"/>
      <c r="AF31" s="119"/>
      <c r="AG31" s="119"/>
      <c r="AH31" s="119"/>
      <c r="AI31" s="119"/>
      <c r="AJ31" s="39"/>
      <c r="AK31" s="39">
        <f t="shared" ref="AK31:AQ31" si="65">SUM(AK20:AK30)</f>
        <v>5.4000000000000003E-3</v>
      </c>
      <c r="AL31" s="39">
        <f t="shared" si="65"/>
        <v>5.4000000000000003E-3</v>
      </c>
      <c r="AM31" s="39">
        <f t="shared" si="65"/>
        <v>5.4000000000000003E-3</v>
      </c>
      <c r="AN31" s="39">
        <f t="shared" si="65"/>
        <v>5.4000000000000003E-3</v>
      </c>
      <c r="AO31" s="39">
        <f t="shared" si="65"/>
        <v>5.4000000000000003E-3</v>
      </c>
      <c r="AP31" s="39">
        <f t="shared" si="65"/>
        <v>5.4000000000000003E-3</v>
      </c>
      <c r="AQ31" s="39">
        <f t="shared" si="65"/>
        <v>1.8E-3</v>
      </c>
      <c r="AR31" s="39">
        <f t="shared" si="54"/>
        <v>0</v>
      </c>
      <c r="AT31" s="9" t="str">
        <f>AN3</f>
        <v>Category4</v>
      </c>
      <c r="AU31" s="9" cm="1">
        <f t="array" aca="1" ref="AU31:AU34" ca="1">INDIRECT(AU30)</f>
        <v>11</v>
      </c>
      <c r="AV31" s="9" cm="1">
        <f t="array" aca="1" ref="AV31:AV34" ca="1">INDIRECT(AV30)</f>
        <v>2025</v>
      </c>
      <c r="AW31" s="9" t="str" cm="1">
        <f t="array" aca="1" ref="AW31:AW34" ca="1">INDIRECT(AW30)</f>
        <v>Qtr1</v>
      </c>
      <c r="AX31" s="127">
        <f>P17</f>
        <v>2E-3</v>
      </c>
      <c r="AY31" s="129">
        <f>ABS(AN2)</f>
        <v>2.0000000000000001E-4</v>
      </c>
      <c r="AZ31" s="9"/>
      <c r="BA31" s="10">
        <f>IFERROR(AY31+AZ31,NA())</f>
        <v>2.0000000000000001E-4</v>
      </c>
      <c r="BB31" s="9"/>
      <c r="BC31" s="133">
        <f>IF(BB31-BA31&lt;0,0,BB31-BA31)</f>
        <v>0</v>
      </c>
      <c r="BD31" s="130">
        <f>BC31+AX31</f>
        <v>2E-3</v>
      </c>
      <c r="BE31" s="130">
        <f>IF(BD31-BA31&lt;0,0,BD31-BA31)</f>
        <v>1.8E-3</v>
      </c>
      <c r="BF31" s="131">
        <f>BE31/BD31</f>
        <v>0.89999999999999991</v>
      </c>
      <c r="BG31" s="126">
        <f>IFERROR((0.1*BD31)/BD31,NA())</f>
        <v>0.1</v>
      </c>
      <c r="BH31" s="126">
        <f>IFERROR((0.1*BD31)/BD31,NA())</f>
        <v>0.1</v>
      </c>
      <c r="BI31" s="126">
        <f>IFERROR((0.2*BD31)/BD31,NA())</f>
        <v>0.2</v>
      </c>
      <c r="BJ31" s="131">
        <f>IFERROR(IF($AT$4&gt;1,0,BF31),NA())</f>
        <v>0.89999999999999991</v>
      </c>
      <c r="BK31" s="131">
        <f>IFERROR(IF($AT$4&gt;1,BF31,0),NA())</f>
        <v>0</v>
      </c>
      <c r="BL31" s="128">
        <f>IF(BK31&gt;0,0,BC31/AX31)</f>
        <v>0</v>
      </c>
      <c r="BM31" s="135">
        <f>IF((BD31-BE31)=0,0,(BD31-BE31)/BD31)</f>
        <v>0.10000000000000005</v>
      </c>
      <c r="BN31" s="126">
        <f>IFERROR(BF31,"")</f>
        <v>0.89999999999999991</v>
      </c>
      <c r="BO31" s="8">
        <f>IFERROR(BA31,"")</f>
        <v>2.0000000000000001E-4</v>
      </c>
      <c r="BP31" s="8">
        <f>IFERROR(AX31,"")</f>
        <v>2E-3</v>
      </c>
      <c r="BQ31" s="117"/>
      <c r="CY31" s="9" t="str">
        <f>F19</f>
        <v/>
      </c>
      <c r="CZ31" s="9">
        <f>CT17</f>
        <v>0</v>
      </c>
      <c r="DA31" s="126">
        <v>0</v>
      </c>
      <c r="DB31" s="126">
        <f>CZ30</f>
        <v>0</v>
      </c>
      <c r="DL31" s="103" t="str">
        <f t="shared" si="55"/>
        <v/>
      </c>
      <c r="DM31" s="157" t="str">
        <f t="shared" si="56"/>
        <v/>
      </c>
      <c r="DN31" s="9" t="str">
        <f t="shared" si="57"/>
        <v/>
      </c>
      <c r="DO31" s="90" t="str">
        <f t="shared" si="58"/>
        <v/>
      </c>
      <c r="DP31" s="103" t="str">
        <f t="shared" si="59"/>
        <v/>
      </c>
      <c r="DQ31" s="157" t="str">
        <f t="shared" si="60"/>
        <v/>
      </c>
      <c r="DR31" s="129" t="e">
        <f>IFERROR(IF(DP31&lt;=0,DU31+DV31,MAX(CHOOSE($DO$19,$DR$1:$DR$16,$DR$1:$DR$16,$DS$1:$DS$16,$DS$1:$DS$16))*$DO$20-DS31),NA())</f>
        <v>#N/A</v>
      </c>
      <c r="DS31" s="163" t="e" cm="1">
        <f t="array" ref="DS31">IFERROR(_xlfn.IFS(DN31="",NA(),DP31=0,0,DP31&lt;&gt;"",DP31),NA())</f>
        <v>#N/A</v>
      </c>
      <c r="DT31" s="160" t="e">
        <f t="shared" si="62"/>
        <v>#N/A</v>
      </c>
      <c r="DU31" s="11" t="e">
        <f t="shared" si="63"/>
        <v>#N/A</v>
      </c>
      <c r="DV31" s="11" t="e">
        <f t="shared" si="64"/>
        <v>#N/A</v>
      </c>
      <c r="DW31" s="129" t="str" cm="1">
        <f t="array" ref="DW31">IFERROR(_xlfn.IFS(DT31=0,"",$DO$19=1,TEXT(DS31, "0.00%"),$DO$19=2,TEXT(DS31, "0.00%"),$DO$19=3,TEXT(DS31,"0.00"&amp;WB_Data!$EJ$2),$DO$19=4,TEXT(DS31,"0.00"&amp;WB_Data!$EJ$2)),"")</f>
        <v/>
      </c>
      <c r="DX31" s="11" t="str" cm="1">
        <f t="array" ref="DX31">IFERROR(_xlfn.IFS(DT31=0,"",$DO$19=1,TEXT(DU31, "0.00%"),$DO$19=2,TEXT(DU31, "0.00%"),$DO$19=3,TEXT(DU31,"0.00"&amp;WB_Data!$EJ$2),$DO$19=4,TEXT(DU31,"0.00"&amp;WB_Data!$EJ$2)),"")</f>
        <v/>
      </c>
    </row>
    <row r="32" spans="2:173" x14ac:dyDescent="0.25">
      <c r="AC32" s="119"/>
      <c r="AD32" s="119"/>
      <c r="AE32" s="119"/>
      <c r="AF32" s="119"/>
      <c r="AG32" s="119"/>
      <c r="AH32" s="119"/>
      <c r="AI32" s="119"/>
      <c r="AJ32" s="35" t="s">
        <v>162</v>
      </c>
      <c r="AK32" s="35">
        <f>IFERROR(IF($AA4=3,($AR$20/$AJ$3)*$AC$3,($AR$20/$AJ$3)*$AC4*$AC$3),0)</f>
        <v>0</v>
      </c>
      <c r="AL32" s="35">
        <f>IFERROR(IF($AA$5=3,($AR$21/$AJ$3)*$AC$3,($AR$21/$AJ$3)*$AC5*$AC$3),0)</f>
        <v>0</v>
      </c>
      <c r="AM32" s="35">
        <f>IFERROR(IF($AA$6=3,($AR$22/$AJ$3)*$AC$3,($AR$22/$AJ$3)*$AC6*$AC$3),0)</f>
        <v>0</v>
      </c>
      <c r="AN32" s="35">
        <f>IFERROR(IF($AA$7=3,($AR$23/$AJ$3)*$AC$3,($AR$23/$AJ$3)*$AC7*$AC$3),0)</f>
        <v>0</v>
      </c>
      <c r="AO32" s="35">
        <f>IFERROR(IF($AA$8=3,($AR24/$AJ$3)*$AC$3,($AR24/$AJ$3)*$AC$8*$AC$3),0)</f>
        <v>0</v>
      </c>
      <c r="AP32" s="35">
        <f>IFERROR(IF($AA$9=3,($AR25/$AJ$3)*$AC$3,($AR25/$AJ$3)*$AC$9*$AC$3),0)</f>
        <v>0</v>
      </c>
      <c r="AQ32" s="35">
        <f>IFERROR(IF($AA$10=3,($AR$26/$AJ$3)*$AC$3,($AR$26/$AJ$3)*$AC$10*$AC$3),0)</f>
        <v>0</v>
      </c>
      <c r="AR32" s="205">
        <f>SUM(AK32:AQ32)</f>
        <v>0</v>
      </c>
      <c r="AT32" s="8"/>
      <c r="AU32" s="9">
        <f ca="1"/>
        <v>21</v>
      </c>
      <c r="AV32" s="9">
        <f ca="1"/>
        <v>2026</v>
      </c>
      <c r="AW32" s="9" t="str">
        <f ca="1"/>
        <v>Qtr1</v>
      </c>
      <c r="AX32" s="127">
        <f>P18</f>
        <v>2E-3</v>
      </c>
      <c r="AY32" s="129">
        <f>ABS(AN43)</f>
        <v>0</v>
      </c>
      <c r="AZ32" s="132">
        <f>IFERROR(IF(AND($AT$4&gt;=2,ABS($AN$41)&lt;0),ABS($AN$41),0),NA())</f>
        <v>0</v>
      </c>
      <c r="BA32" s="10">
        <f>IFERROR(AY32+AZ32,NA())</f>
        <v>0</v>
      </c>
      <c r="BB32" s="127">
        <f>IFERROR(IF(AND($AT$4&gt;=2,$AN$40&gt;0),$AN$40,0),NA())</f>
        <v>0</v>
      </c>
      <c r="BC32" s="133">
        <f>IF(BB32-BA32&lt;0,0,BB32-BA32)</f>
        <v>0</v>
      </c>
      <c r="BD32" s="130">
        <f>BC32+AX32</f>
        <v>2E-3</v>
      </c>
      <c r="BE32" s="130">
        <f>IF(BD32-BA32&lt;0,0,BD32-BA32)</f>
        <v>2E-3</v>
      </c>
      <c r="BF32" s="131">
        <f>BE32/BD32</f>
        <v>1</v>
      </c>
      <c r="BG32" s="126">
        <f>IFERROR((0.1*BD32)/BD32,NA())</f>
        <v>0.1</v>
      </c>
      <c r="BH32" s="126">
        <f>IFERROR((0.1*BD32)/BD32,NA())</f>
        <v>0.1</v>
      </c>
      <c r="BI32" s="126">
        <f>IFERROR((0.2*BD32)/BD32,NA())</f>
        <v>0.2</v>
      </c>
      <c r="BJ32" s="131">
        <f>IFERROR(IF($AT$4&gt;2,0,BF32),NA())</f>
        <v>1</v>
      </c>
      <c r="BK32" s="131">
        <f>IFERROR(IF($AT$4&gt;2,BF32,0),NA())</f>
        <v>0</v>
      </c>
      <c r="BL32" s="128">
        <f>IF(BK32&gt;0,0,BC32/AX32)</f>
        <v>0</v>
      </c>
      <c r="BM32" s="135">
        <f>IF((BD32-BE32)=0,0,(BD32-BE32)/BD32)</f>
        <v>0</v>
      </c>
      <c r="BN32" s="126">
        <f>IFERROR(BF32,"")</f>
        <v>1</v>
      </c>
      <c r="BO32" s="8">
        <f>IFERROR(BA32,"")</f>
        <v>0</v>
      </c>
      <c r="BP32" s="8">
        <f>IFERROR(AX32,"")</f>
        <v>2E-3</v>
      </c>
      <c r="BQ32" s="8" t="str">
        <f>IFERROR(IF(BC32=0,"",BC32),"")</f>
        <v/>
      </c>
      <c r="CY32" s="9" t="s">
        <v>184</v>
      </c>
      <c r="CZ32" s="9"/>
      <c r="DA32" s="126">
        <v>1</v>
      </c>
      <c r="DB32" s="126">
        <v>0.01</v>
      </c>
      <c r="DL32" s="103" t="str">
        <f t="shared" si="55"/>
        <v/>
      </c>
      <c r="DM32" s="157" t="str">
        <f t="shared" si="56"/>
        <v/>
      </c>
      <c r="DN32" s="9" t="str">
        <f t="shared" si="57"/>
        <v/>
      </c>
      <c r="DO32" s="90" t="str">
        <f t="shared" si="58"/>
        <v/>
      </c>
      <c r="DP32" s="103" t="str">
        <f t="shared" si="59"/>
        <v/>
      </c>
      <c r="DQ32" s="157" t="str">
        <f t="shared" si="60"/>
        <v/>
      </c>
      <c r="DR32" s="129" t="e">
        <f t="shared" si="61"/>
        <v>#N/A</v>
      </c>
      <c r="DS32" s="163" t="e" cm="1">
        <f t="array" ref="DS32">IFERROR(_xlfn.IFS(DN32="",NA(),DP32=0,0,DP32&lt;&gt;"",DP32),NA())</f>
        <v>#N/A</v>
      </c>
      <c r="DT32" s="160" t="e">
        <f t="shared" si="62"/>
        <v>#N/A</v>
      </c>
      <c r="DU32" s="11" t="e">
        <f>IF(DN32="",NA(),DQ32)</f>
        <v>#N/A</v>
      </c>
      <c r="DV32" s="11" t="e">
        <f t="shared" si="64"/>
        <v>#N/A</v>
      </c>
      <c r="DW32" s="129" t="str" cm="1">
        <f t="array" ref="DW32">IFERROR(_xlfn.IFS(DT32=0,"",$DO$19=1,TEXT(DS32, "0.00%"),$DO$19=2,TEXT(DS32, "0.00%"),$DO$19=3,TEXT(DS32,"0.00"&amp;WB_Data!$EJ$2),$DO$19=4,TEXT(DS32,"0.00"&amp;WB_Data!$EJ$2)),"")</f>
        <v/>
      </c>
      <c r="DX32" s="11" t="str" cm="1">
        <f t="array" ref="DX32">IFERROR(_xlfn.IFS(DT32=0,"",$DO$19=1,TEXT(DU32, "0.00%"),$DO$19=2,TEXT(DU32, "0.00%"),$DO$19=3,TEXT(DU32,"0.00"&amp;WB_Data!$EJ$2),$DO$19=4,TEXT(DU32,"0.00"&amp;WB_Data!$EJ$2)),"")</f>
        <v/>
      </c>
    </row>
    <row r="33" spans="29:128" x14ac:dyDescent="0.25">
      <c r="AJ33" s="36" t="s">
        <v>163</v>
      </c>
      <c r="AK33" s="36">
        <f>IFERROR(IF($AA4=3,($AR$20/$AJ$3)*$AE$3,($AR$20/$AJ$3)*$AE4*$AE$3),0)</f>
        <v>0</v>
      </c>
      <c r="AL33" s="36">
        <f>IFERROR(IF($AA$5=3,($AR$21/$AJ$3)*$AE$3,($AR$21/$AJ$3)*$AE5*$AE$3),0)</f>
        <v>0</v>
      </c>
      <c r="AM33" s="36">
        <f>IFERROR(IF($AA$6=3,($AR$22/$AJ$3)*$AE$3,($AR$22/$AJ$3)*$AE6*$AE$3),0)</f>
        <v>0</v>
      </c>
      <c r="AN33" s="36">
        <f>IFERROR(IF($AA$7=3,($AR$23/$AJ$3)*$AE$3,($AR$23/$AJ$3)*$AE7*$AE$3),0)</f>
        <v>0</v>
      </c>
      <c r="AO33" s="36">
        <f>IFERROR(IF($AA$8=3,($AR24/$AJ$3)*$AE$3,($AR24/$AJ$3)*$AE$8*$AE$3),0)</f>
        <v>0</v>
      </c>
      <c r="AP33" s="36">
        <f>IFERROR(IF($AA$9=3,($AR25/$AJ$3)*$AE$3,($AR25/$AJ$3)*$AE$9*$AE$3),0)</f>
        <v>0</v>
      </c>
      <c r="AQ33" s="36">
        <f>IFERROR(IF($AA$10=3,($AR$26/$AJ$3)*$AE$3,($AR$26/$AJ$3)*$AE$10*$AE$3),0)</f>
        <v>0</v>
      </c>
      <c r="AR33" s="206">
        <f>SUM(AK33:AQ33)</f>
        <v>0</v>
      </c>
      <c r="AT33" s="8"/>
      <c r="AU33" s="9">
        <f ca="1"/>
        <v>22</v>
      </c>
      <c r="AV33" s="9">
        <f ca="1"/>
        <v>2026</v>
      </c>
      <c r="AW33" s="9" t="str">
        <f ca="1"/>
        <v>Grand Total</v>
      </c>
      <c r="AX33" s="127" t="str">
        <f>P19</f>
        <v/>
      </c>
      <c r="AY33" s="129">
        <f>ABS(AN82)</f>
        <v>0</v>
      </c>
      <c r="AZ33" s="132">
        <f>IFERROR(IF(AND($AT$4&gt;=3,ABS($AN$80)&lt;0),ABS($AN$80),0),NA())</f>
        <v>0</v>
      </c>
      <c r="BA33" s="10">
        <f>IFERROR(AY33+AZ33,NA())</f>
        <v>0</v>
      </c>
      <c r="BB33" s="127">
        <f>IFERROR(IF(AND($AT$4&gt;=3,$AN$79&gt;0),$AN$79,0),NA())</f>
        <v>0</v>
      </c>
      <c r="BC33" s="133">
        <f>IF(BB33-BA33&lt;0,0,BB33-BA33)</f>
        <v>0</v>
      </c>
      <c r="BD33" s="130" t="e">
        <f>BC33+AX33</f>
        <v>#VALUE!</v>
      </c>
      <c r="BE33" s="130" t="e">
        <f>IF(BD33-BA33&lt;0,0,BD33-BA33)</f>
        <v>#VALUE!</v>
      </c>
      <c r="BF33" s="131" t="e">
        <f>BE33/BD33</f>
        <v>#VALUE!</v>
      </c>
      <c r="BG33" s="126" t="e">
        <f>IFERROR((0.1*BD33)/BD33,NA())</f>
        <v>#N/A</v>
      </c>
      <c r="BH33" s="126" t="e">
        <f>IFERROR((0.1*BD33)/BD33,NA())</f>
        <v>#N/A</v>
      </c>
      <c r="BI33" s="126" t="e">
        <f>IFERROR((0.2*BD33)/BD33,NA())</f>
        <v>#N/A</v>
      </c>
      <c r="BJ33" s="131" t="e">
        <f>IFERROR(IF($AT$4&gt;3,0,BF33),NA())</f>
        <v>#N/A</v>
      </c>
      <c r="BK33" s="131">
        <f>IFERROR(IF($AT$4&gt;3,BF33,0),NA())</f>
        <v>0</v>
      </c>
      <c r="BL33" s="128" t="e">
        <f>IF(BK33&gt;0,0,BC33/AX33)</f>
        <v>#VALUE!</v>
      </c>
      <c r="BM33" s="135" t="e">
        <f>IF((BD33-BE33)=0,0,(BD33-BE33)/BD33)</f>
        <v>#VALUE!</v>
      </c>
      <c r="BN33" s="126" t="str">
        <f>IFERROR(BF33,"")</f>
        <v/>
      </c>
      <c r="BO33" s="8">
        <f>IFERROR(BA33,"")</f>
        <v>0</v>
      </c>
      <c r="BP33" s="8" t="str">
        <f>IFERROR(AX33,"")</f>
        <v/>
      </c>
      <c r="BQ33" s="8" t="str">
        <f>IFERROR(IF(BC33=0,"",BC33),"")</f>
        <v/>
      </c>
      <c r="CY33" s="9" t="s">
        <v>185</v>
      </c>
      <c r="CZ33" s="9"/>
      <c r="DA33" s="126">
        <v>0.1</v>
      </c>
      <c r="DB33" s="126">
        <f>(SUM(DA31:DA36)-DB31)+DB34</f>
        <v>3.2</v>
      </c>
      <c r="DL33" s="103" t="str">
        <f t="shared" si="55"/>
        <v/>
      </c>
      <c r="DM33" s="157" t="str">
        <f t="shared" si="56"/>
        <v/>
      </c>
      <c r="DN33" s="9" t="str">
        <f t="shared" si="57"/>
        <v/>
      </c>
      <c r="DO33" s="90" t="str">
        <f t="shared" si="58"/>
        <v/>
      </c>
      <c r="DP33" s="103" t="str">
        <f t="shared" si="59"/>
        <v/>
      </c>
      <c r="DQ33" s="157" t="str">
        <f t="shared" si="60"/>
        <v/>
      </c>
      <c r="DR33" s="129" t="e">
        <f t="shared" si="61"/>
        <v>#N/A</v>
      </c>
      <c r="DS33" s="163" t="e" cm="1">
        <f t="array" ref="DS33">IFERROR(_xlfn.IFS(DN33="",NA(),DP33=0,0,DP33&lt;&gt;"",DP33),NA())</f>
        <v>#N/A</v>
      </c>
      <c r="DT33" s="160" t="e">
        <f t="shared" si="62"/>
        <v>#N/A</v>
      </c>
      <c r="DU33" s="11" t="e">
        <f t="shared" si="63"/>
        <v>#N/A</v>
      </c>
      <c r="DV33" s="11" t="e">
        <f t="shared" si="64"/>
        <v>#N/A</v>
      </c>
      <c r="DW33" s="129" t="str" cm="1">
        <f t="array" ref="DW33">IFERROR(_xlfn.IFS(DT33=0,"",$DO$19=1,TEXT(DS33, "0.00%"),$DO$19=2,TEXT(DS33, "0.00%"),$DO$19=3,TEXT(DS33,"0.00"&amp;WB_Data!$EJ$2),$DO$19=4,TEXT(DS33,"0.00"&amp;WB_Data!$EJ$2)),"")</f>
        <v/>
      </c>
      <c r="DX33" s="11" t="str" cm="1">
        <f t="array" ref="DX33">IFERROR(_xlfn.IFS(DT33=0,"",$DO$19=1,TEXT(DU33, "0.00%"),$DO$19=2,TEXT(DU33, "0.00%"),$DO$19=3,TEXT(DU33,"0.00"&amp;WB_Data!$EJ$2),$DO$19=4,TEXT(DU33,"0.00"&amp;WB_Data!$EJ$2)),"")</f>
        <v/>
      </c>
    </row>
    <row r="34" spans="29:128" x14ac:dyDescent="0.25">
      <c r="AJ34" s="37" t="s">
        <v>164</v>
      </c>
      <c r="AK34" s="37">
        <f>IFERROR(IF($AA4=3,($AR$20/$AJ$3)*$AG$3,($AR$20/$AJ$3)*$AG4*$AG$3),0)</f>
        <v>0</v>
      </c>
      <c r="AL34" s="37">
        <f>IFERROR(IF($AA$5=3,($AR$21/$AJ$3)*$AG$3,($AR$21/$AJ$3)*$AG5*$AG$3),0)</f>
        <v>0</v>
      </c>
      <c r="AM34" s="37">
        <f>IFERROR(IF($AA$6=3,($AR$22/$AJ$3)*$AG$3,($AR$22/$AJ$3)*$AG6*$AG$3),0)</f>
        <v>0</v>
      </c>
      <c r="AN34" s="37">
        <f>IFERROR(IF($AA$7=3,($AR$23/$AJ$3)*$AG$3,($AR$23/$AJ$3)*$AG7*$AG$3),0)</f>
        <v>0</v>
      </c>
      <c r="AO34" s="37">
        <f>IFERROR(IF($AA$8=3,($AR24/$AJ$3)*$AG$3,($AR24/$AJ$3)*$AG$8*$AG$3),0)</f>
        <v>0</v>
      </c>
      <c r="AP34" s="37">
        <f>IFERROR(IF($AA$9=3,($AR25/$AJ$3)*$AG$3,($AR25/$AJ$3)*$AG9*$AG$3),0)</f>
        <v>0</v>
      </c>
      <c r="AQ34" s="37">
        <f>IFERROR(IF($AA$10=3,($AR$26/$AJ$3)*$AG$3,($AR$26/$AJ$3)*$AG$10*$AG$3),0)</f>
        <v>0</v>
      </c>
      <c r="AR34" s="207">
        <f>SUM(AK34:AQ34)</f>
        <v>0</v>
      </c>
      <c r="AT34" s="8"/>
      <c r="AU34" s="9">
        <f ca="1"/>
        <v>23</v>
      </c>
      <c r="AV34" s="9">
        <f ca="1"/>
        <v>2026</v>
      </c>
      <c r="AW34" s="9">
        <f ca="1"/>
        <v>0</v>
      </c>
      <c r="AX34" s="127">
        <f>P20</f>
        <v>0</v>
      </c>
      <c r="AY34" s="129">
        <f>ABS(AN118)</f>
        <v>0</v>
      </c>
      <c r="AZ34" s="132">
        <f>IFERROR(IF(AND($AT$4&gt;=4,ABS($AN$116)&lt;0),ABS($AN$116),0),NA())</f>
        <v>0</v>
      </c>
      <c r="BA34" s="10">
        <f>IFERROR(AY34+AZ34,NA())</f>
        <v>0</v>
      </c>
      <c r="BB34" s="127">
        <f>IFERROR(IF(AND($AT$4&gt;=4,$AN$115&gt;0),$AN$115,0),NA())</f>
        <v>0</v>
      </c>
      <c r="BC34" s="133">
        <f>IF(BB34-BA34&lt;0,0,BB34-BA34)</f>
        <v>0</v>
      </c>
      <c r="BD34" s="130">
        <f>BC34+AX34</f>
        <v>0</v>
      </c>
      <c r="BE34" s="130">
        <f>IF(BD34-BA34&lt;0,0,BD34-BA34)</f>
        <v>0</v>
      </c>
      <c r="BF34" s="131" t="e">
        <f>BE34/BD34</f>
        <v>#DIV/0!</v>
      </c>
      <c r="BG34" s="126" t="e">
        <f>IFERROR((0.1*BD34)/BD34,NA())</f>
        <v>#N/A</v>
      </c>
      <c r="BH34" s="126" t="e">
        <f>IFERROR((0.1*BD34)/BD34,NA())</f>
        <v>#N/A</v>
      </c>
      <c r="BI34" s="126" t="e">
        <f>IFERROR((0.2*BD34)/BD34,NA())</f>
        <v>#N/A</v>
      </c>
      <c r="BJ34" s="131" t="e">
        <f>IFERROR(IF($AT$4&gt;4,0,BF34),NA())</f>
        <v>#N/A</v>
      </c>
      <c r="BK34" s="131">
        <f>IFERROR(IF($AT$4&gt;4,BF34,0),NA())</f>
        <v>0</v>
      </c>
      <c r="BL34" s="128" t="e">
        <f>IF(BK34&gt;0,0,BC34/AX34)</f>
        <v>#DIV/0!</v>
      </c>
      <c r="BM34" s="135">
        <f>IF((BD34-BE34)=0,0,(BD34-BE34)/BD34)</f>
        <v>0</v>
      </c>
      <c r="BN34" s="126" t="str">
        <f>IFERROR(BF34,"")</f>
        <v/>
      </c>
      <c r="BO34" s="8">
        <f>IFERROR(BA34,"")</f>
        <v>0</v>
      </c>
      <c r="BP34" s="8">
        <f>IFERROR(AX34,"")</f>
        <v>0</v>
      </c>
      <c r="BQ34" s="8" t="str">
        <f>IFERROR(IF(BC34=0,"",BC34),"")</f>
        <v/>
      </c>
      <c r="CY34" s="9" t="s">
        <v>186</v>
      </c>
      <c r="CZ34" s="9"/>
      <c r="DA34" s="126">
        <v>0.2</v>
      </c>
      <c r="DB34" s="9" t="b">
        <f>IF(DB31&gt;1.1,(1-DB31))</f>
        <v>0</v>
      </c>
      <c r="DL34" s="103" t="str">
        <f t="shared" si="55"/>
        <v/>
      </c>
      <c r="DM34" s="157" t="str">
        <f t="shared" si="56"/>
        <v/>
      </c>
      <c r="DN34" s="9" t="str">
        <f t="shared" si="57"/>
        <v/>
      </c>
      <c r="DO34" s="90" t="str">
        <f t="shared" si="58"/>
        <v/>
      </c>
      <c r="DP34" s="103" t="str">
        <f t="shared" si="59"/>
        <v/>
      </c>
      <c r="DQ34" s="157" t="str">
        <f t="shared" si="60"/>
        <v/>
      </c>
      <c r="DR34" s="129" t="e">
        <f t="shared" si="61"/>
        <v>#N/A</v>
      </c>
      <c r="DS34" s="163" t="e" cm="1">
        <f t="array" ref="DS34">IFERROR(_xlfn.IFS(DN34="",NA(),DP34=0,0,DP34&lt;&gt;"",DP34),NA())</f>
        <v>#N/A</v>
      </c>
      <c r="DT34" s="160" t="e">
        <f t="shared" si="62"/>
        <v>#N/A</v>
      </c>
      <c r="DU34" s="11" t="e">
        <f t="shared" si="63"/>
        <v>#N/A</v>
      </c>
      <c r="DV34" s="11" t="e">
        <f t="shared" si="64"/>
        <v>#N/A</v>
      </c>
      <c r="DW34" s="129" t="str" cm="1">
        <f t="array" ref="DW34">IFERROR(_xlfn.IFS(DT34=0,"",$DO$19=1,TEXT(DS34, "0.00%"),$DO$19=2,TEXT(DS34, "0.00%"),$DO$19=3,TEXT(DS34,"0.00"&amp;WB_Data!$EJ$2),$DO$19=4,TEXT(DS34,"0.00"&amp;WB_Data!$EJ$2)),"")</f>
        <v/>
      </c>
      <c r="DX34" s="11" t="str" cm="1">
        <f t="array" ref="DX34">IFERROR(_xlfn.IFS(DT34=0,"",$DO$19=1,TEXT(DU34, "0.00%"),$DO$19=2,TEXT(DU34, "0.00%"),$DO$19=3,TEXT(DU34,"0.00"&amp;WB_Data!$EJ$2),$DO$19=4,TEXT(DU34,"0.00"&amp;WB_Data!$EJ$2)),"")</f>
        <v/>
      </c>
    </row>
    <row r="35" spans="29:128" x14ac:dyDescent="0.25">
      <c r="AJ35" s="198" t="s">
        <v>165</v>
      </c>
      <c r="AK35" s="198">
        <f>IFERROR(IF($AA4=3,($AR$20/$AJ$3)*$AI$3,($AR$20/$AJ$3)*$AI4*$AI$3),0)</f>
        <v>0</v>
      </c>
      <c r="AL35" s="198">
        <f>IFERROR(IF($AA$5=3,($AR$21/$AJ$3)*$AI$3,($AR$21/$AJ$3)*$AI5*$AI$3),0)</f>
        <v>0</v>
      </c>
      <c r="AM35" s="198">
        <f>IFERROR(IF($AA$6=3,($AR$22/$AJ$3)*$AI$3,($AR$22/$AJ$3)*$AI6*$AI$3),0)</f>
        <v>0</v>
      </c>
      <c r="AN35" s="198">
        <f>IFERROR(IF($AA$7=3,($AR$23/$AJ$3)*$AI$3,($AR$23/$AJ$3)*$AI7*$AI$3),0)</f>
        <v>0</v>
      </c>
      <c r="AO35" s="198">
        <f>IFERROR(IF($AA$8=3,($AR24/$AJ$3)*$AI$3,($AR24/$AJ$3)*$AI$8*$AI$3),0)</f>
        <v>0</v>
      </c>
      <c r="AP35" s="198">
        <f>IFERROR(IF($AA$9=3,($AR25/$AJ$3)*$AI$3,($AR25/$AJ$3)*$AI$9*$AI$3),0)</f>
        <v>0</v>
      </c>
      <c r="AQ35" s="198">
        <f>IFERROR(IF($AA$10=3,($AR$26/$AJ$3)*$AI$3,($AR$26/$AJ$3)*$AI$10*$AI$3),0)</f>
        <v>0</v>
      </c>
      <c r="AR35" s="208">
        <f>SUM(AK35:AQ35)</f>
        <v>0</v>
      </c>
      <c r="AT35" s="8"/>
      <c r="AU35" s="9"/>
      <c r="AV35" s="9"/>
      <c r="AW35" s="9"/>
      <c r="AX35" s="127">
        <f>P21</f>
        <v>0</v>
      </c>
      <c r="AY35" s="129">
        <f>ABS(AN151)</f>
        <v>0</v>
      </c>
      <c r="AZ35" s="132">
        <f>IFERROR(IF(AND($AT$4&gt;=5,ABS($AN$149)&lt;0),ABS($AN$149),0),NA())</f>
        <v>0</v>
      </c>
      <c r="BA35" s="10">
        <f>IFERROR(AY35+AZ35,NA())</f>
        <v>0</v>
      </c>
      <c r="BB35" s="127">
        <f>IFERROR(IF(AND($AT$4&gt;=5,$AN$148&gt;0),$AN$148,0),NA())</f>
        <v>0</v>
      </c>
      <c r="BC35" s="133">
        <f>IF(BB35-BA35&lt;0,0,BB35-BA35)</f>
        <v>0</v>
      </c>
      <c r="BD35" s="130">
        <f>BC35+AX35</f>
        <v>0</v>
      </c>
      <c r="BE35" s="130">
        <f>IF(BD35-BA35&lt;0,0,BD35-BA35)</f>
        <v>0</v>
      </c>
      <c r="BF35" s="131" t="e">
        <f>BE35/BD35</f>
        <v>#DIV/0!</v>
      </c>
      <c r="BG35" s="126" t="e">
        <f>IFERROR((0.1*BD35)/BD35,NA())</f>
        <v>#N/A</v>
      </c>
      <c r="BH35" s="126" t="e">
        <f>IFERROR((0.1*BD35)/BD35,NA())</f>
        <v>#N/A</v>
      </c>
      <c r="BI35" s="126" t="e">
        <f>IFERROR((0.2*BD35)/BD35,NA())</f>
        <v>#N/A</v>
      </c>
      <c r="BJ35" s="131" t="e">
        <f>IFERROR(IF($AT$4&gt;5,0,BF35),NA())</f>
        <v>#N/A</v>
      </c>
      <c r="BK35" s="131">
        <f>IFERROR(IF($AT$4&gt;5,BF35,0),NA())</f>
        <v>0</v>
      </c>
      <c r="BL35" s="128" t="e">
        <f>IF(BK35&gt;0,0,BC35/AX35)</f>
        <v>#DIV/0!</v>
      </c>
      <c r="BM35" s="135">
        <f>IF((BD35-BE35)=0,0,(BD35-BE35)/BD35)</f>
        <v>0</v>
      </c>
      <c r="BN35" s="126" t="str">
        <f>IFERROR(BF35,"")</f>
        <v/>
      </c>
      <c r="BO35" s="8">
        <f>IFERROR(BA35,"")</f>
        <v>0</v>
      </c>
      <c r="BP35" s="8">
        <f>IFERROR(AX35,"")</f>
        <v>0</v>
      </c>
      <c r="BQ35" s="8" t="str">
        <f>IFERROR(IF(BC35=0,"",BC35),"")</f>
        <v/>
      </c>
      <c r="CY35" s="9" t="s">
        <v>187</v>
      </c>
      <c r="CZ35" s="9"/>
      <c r="DA35" s="126">
        <v>0.3</v>
      </c>
      <c r="DB35" s="9"/>
      <c r="DL35" s="103" t="str">
        <f t="shared" si="55"/>
        <v/>
      </c>
      <c r="DM35" s="157" t="str">
        <f t="shared" si="56"/>
        <v/>
      </c>
      <c r="DN35" s="9" t="str">
        <f t="shared" si="57"/>
        <v/>
      </c>
      <c r="DO35" s="90" t="str">
        <f t="shared" si="58"/>
        <v/>
      </c>
      <c r="DP35" s="103" t="str">
        <f t="shared" si="59"/>
        <v/>
      </c>
      <c r="DQ35" s="157" t="str">
        <f t="shared" si="60"/>
        <v/>
      </c>
      <c r="DR35" s="129" t="e">
        <f t="shared" si="61"/>
        <v>#N/A</v>
      </c>
      <c r="DS35" s="163" t="e" cm="1">
        <f t="array" ref="DS35">IFERROR(_xlfn.IFS(DN35="",NA(),DP35=0,0,DP35&lt;&gt;"",DP35),NA())</f>
        <v>#N/A</v>
      </c>
      <c r="DT35" s="160" t="e">
        <f t="shared" si="62"/>
        <v>#N/A</v>
      </c>
      <c r="DU35" s="11" t="e">
        <f t="shared" si="63"/>
        <v>#N/A</v>
      </c>
      <c r="DV35" s="11" t="e">
        <f t="shared" si="64"/>
        <v>#N/A</v>
      </c>
      <c r="DW35" s="129" t="str" cm="1">
        <f t="array" ref="DW35">IFERROR(_xlfn.IFS(DT35=0,"",$DO$19=1,TEXT(DS35, "0.00%"),$DO$19=2,TEXT(DS35, "0.00%"),$DO$19=3,TEXT(DS35,"0.00"&amp;WB_Data!$EJ$2),$DO$19=4,TEXT(DS35,"0.00"&amp;WB_Data!$EJ$2)),"")</f>
        <v/>
      </c>
      <c r="DX35" s="11" t="str" cm="1">
        <f t="array" ref="DX35">IFERROR(_xlfn.IFS(DT35=0,"",$DO$19=1,TEXT(DU35, "0.00%"),$DO$19=2,TEXT(DU35, "0.00%"),$DO$19=3,TEXT(DU35,"0.00"&amp;WB_Data!$EJ$2),$DO$19=4,TEXT(DU35,"0.00"&amp;WB_Data!$EJ$2)),"")</f>
        <v/>
      </c>
    </row>
    <row r="36" spans="29:128" x14ac:dyDescent="0.25">
      <c r="AJ36" s="124" t="s">
        <v>162</v>
      </c>
      <c r="AK36" s="124">
        <f>AK32-AK16</f>
        <v>0</v>
      </c>
      <c r="AL36" s="124">
        <f t="shared" ref="AL36:AQ36" si="66">AL32-AL16</f>
        <v>0</v>
      </c>
      <c r="AM36" s="124">
        <f t="shared" si="66"/>
        <v>0</v>
      </c>
      <c r="AN36" s="124">
        <f t="shared" si="66"/>
        <v>0</v>
      </c>
      <c r="AO36" s="124">
        <f t="shared" si="66"/>
        <v>0</v>
      </c>
      <c r="AP36" s="124">
        <f t="shared" si="66"/>
        <v>0</v>
      </c>
      <c r="AQ36" s="124">
        <f t="shared" si="66"/>
        <v>0</v>
      </c>
      <c r="AR36" s="5"/>
      <c r="AT36" s="304" cm="1">
        <f t="array" ref="AT36">_xlfn.IFS($AT$4=1,BO31,$AT$4=2,BO32,$AT$4=3,BO33,$AT$4=4,BO34,$AT$4=5,BO35)</f>
        <v>2.0000000000000001E-4</v>
      </c>
      <c r="AU36" s="304" cm="1">
        <f t="array" ref="AU36">_xlfn.IFS($AT$4=1,BP31,$AT$4=2,BP32,$AT$4=3,BP33,$AT$4=4,BP34,$AT$4=5,BP35)</f>
        <v>2E-3</v>
      </c>
      <c r="AV36" s="8" t="str">
        <f>IF(AU36&lt;&gt;"","/ "&amp;AU36&amp;WB_Data!EJ2,"")</f>
        <v>/ 0.002$</v>
      </c>
      <c r="AW36" s="303" cm="1">
        <f t="array" ref="AW36">_xlfn.IFS($AT$4=1,BQ31,$AT$4=2,BQ32,$AT$4=3,BQ33,$AT$4=4,BQ34,$AT$4=5,BQ35)</f>
        <v>0</v>
      </c>
      <c r="AX36" s="85" t="str">
        <f>IF(AW36="","","Extra")</f>
        <v>Extra</v>
      </c>
      <c r="CY36" s="9" t="str" cm="1">
        <f t="array" ref="CY36">_xlfn.IFS(DB31&lt;=1,CY32,DB31&lt;=1.1,CY33,DB31&lt;=1.2,CY34,DB31&lt;=1.4,CY35,DB31&gt;1.4,CY35)</f>
        <v>Good</v>
      </c>
      <c r="CZ36" s="9"/>
      <c r="DA36" s="126">
        <f>SUM(DA31:DA35)</f>
        <v>1.6</v>
      </c>
      <c r="DB36" s="9"/>
      <c r="DL36" s="103" t="str">
        <f t="shared" si="55"/>
        <v/>
      </c>
      <c r="DM36" s="157" t="str">
        <f t="shared" si="56"/>
        <v/>
      </c>
      <c r="DN36" s="9" t="str">
        <f t="shared" si="57"/>
        <v/>
      </c>
      <c r="DO36" s="90" t="str">
        <f t="shared" si="58"/>
        <v/>
      </c>
      <c r="DP36" s="103" t="str">
        <f t="shared" si="59"/>
        <v/>
      </c>
      <c r="DQ36" s="157" t="str">
        <f t="shared" si="60"/>
        <v/>
      </c>
      <c r="DR36" s="129" t="e">
        <f t="shared" si="61"/>
        <v>#N/A</v>
      </c>
      <c r="DS36" s="163" t="e" cm="1">
        <f t="array" ref="DS36">IFERROR(_xlfn.IFS(DN36="",NA(),DP36=0,0,DP36&lt;&gt;"",DP36),NA())</f>
        <v>#N/A</v>
      </c>
      <c r="DT36" s="160" t="e">
        <f t="shared" si="62"/>
        <v>#N/A</v>
      </c>
      <c r="DU36" s="11" t="e">
        <f t="shared" si="63"/>
        <v>#N/A</v>
      </c>
      <c r="DV36" s="11" t="e">
        <f t="shared" si="64"/>
        <v>#N/A</v>
      </c>
      <c r="DW36" s="129" t="str" cm="1">
        <f t="array" ref="DW36">IFERROR(_xlfn.IFS(DT36=0,"",$DO$19=1,TEXT(DS36, "0.00%"),$DO$19=2,TEXT(DS36, "0.00%"),$DO$19=3,TEXT(DS36,"0.00"&amp;WB_Data!$EJ$2),$DO$19=4,TEXT(DS36,"0.00"&amp;WB_Data!$EJ$2)),"")</f>
        <v/>
      </c>
      <c r="DX36" s="11" t="str" cm="1">
        <f t="array" ref="DX36">IFERROR(_xlfn.IFS(DT36=0,"",$DO$19=1,TEXT(DU36, "0.00%"),$DO$19=2,TEXT(DU36, "0.00%"),$DO$19=3,TEXT(DU36,"0.00"&amp;WB_Data!$EJ$2),$DO$19=4,TEXT(DU36,"0.00"&amp;WB_Data!$EJ$2)),"")</f>
        <v/>
      </c>
    </row>
    <row r="37" spans="29:128" x14ac:dyDescent="0.25">
      <c r="AJ37" s="124" t="s">
        <v>163</v>
      </c>
      <c r="AK37" s="124">
        <f>AK33-AK17</f>
        <v>0</v>
      </c>
      <c r="AL37" s="124">
        <f t="shared" ref="AK37:AP39" si="67">AL33-AL17</f>
        <v>0</v>
      </c>
      <c r="AM37" s="124">
        <f t="shared" si="67"/>
        <v>0</v>
      </c>
      <c r="AN37" s="124">
        <f t="shared" ref="AN37:AO39" si="68">AN33-AN17</f>
        <v>0</v>
      </c>
      <c r="AO37" s="124">
        <f t="shared" si="68"/>
        <v>0</v>
      </c>
      <c r="AP37" s="124">
        <f t="shared" si="67"/>
        <v>0</v>
      </c>
      <c r="AQ37" s="124">
        <f>AQ33-AQ17</f>
        <v>0</v>
      </c>
      <c r="AR37" s="5"/>
      <c r="DL37" s="103" t="str">
        <f t="shared" si="55"/>
        <v/>
      </c>
      <c r="DM37" s="157" t="str">
        <f t="shared" si="56"/>
        <v/>
      </c>
      <c r="DN37" s="9" t="str">
        <f t="shared" si="57"/>
        <v/>
      </c>
      <c r="DO37" s="90" t="str">
        <f t="shared" si="58"/>
        <v/>
      </c>
      <c r="DP37" s="103" t="str">
        <f t="shared" si="59"/>
        <v/>
      </c>
      <c r="DQ37" s="157" t="str">
        <f t="shared" si="60"/>
        <v/>
      </c>
      <c r="DR37" s="129" t="e">
        <f t="shared" si="61"/>
        <v>#N/A</v>
      </c>
      <c r="DS37" s="163" t="e" cm="1">
        <f t="array" ref="DS37">IFERROR(_xlfn.IFS(DN37="",NA(),DP37=0,0,DP37&lt;&gt;"",DP37),NA())</f>
        <v>#N/A</v>
      </c>
      <c r="DT37" s="160" t="e">
        <f t="shared" si="62"/>
        <v>#N/A</v>
      </c>
      <c r="DU37" s="11" t="e">
        <f t="shared" si="63"/>
        <v>#N/A</v>
      </c>
      <c r="DV37" s="11" t="e">
        <f t="shared" si="64"/>
        <v>#N/A</v>
      </c>
      <c r="DW37" s="129" t="str" cm="1">
        <f t="array" ref="DW37">IFERROR(_xlfn.IFS(DT37=0,"",$DO$19=1,TEXT(DS37, "0.00%"),$DO$19=2,TEXT(DS37, "0.00%"),$DO$19=3,TEXT(DS37,"0.00"&amp;WB_Data!$EJ$2),$DO$19=4,TEXT(DS37,"0.00"&amp;WB_Data!$EJ$2)),"")</f>
        <v/>
      </c>
      <c r="DX37" s="11" t="str" cm="1">
        <f t="array" ref="DX37">IFERROR(_xlfn.IFS(DT37=0,"",$DO$19=1,TEXT(DU37, "0.00%"),$DO$19=2,TEXT(DU37, "0.00%"),$DO$19=3,TEXT(DU37,"0.00"&amp;WB_Data!$EJ$2),$DO$19=4,TEXT(DU37,"0.00"&amp;WB_Data!$EJ$2)),"")</f>
        <v/>
      </c>
    </row>
    <row r="38" spans="29:128" x14ac:dyDescent="0.25">
      <c r="AJ38" s="124" t="s">
        <v>164</v>
      </c>
      <c r="AK38" s="124">
        <f t="shared" si="67"/>
        <v>0</v>
      </c>
      <c r="AL38" s="124">
        <f t="shared" si="67"/>
        <v>0</v>
      </c>
      <c r="AM38" s="124">
        <f t="shared" si="67"/>
        <v>0</v>
      </c>
      <c r="AN38" s="124">
        <f t="shared" si="68"/>
        <v>0</v>
      </c>
      <c r="AO38" s="124">
        <f t="shared" si="68"/>
        <v>0</v>
      </c>
      <c r="AP38" s="124">
        <f t="shared" si="67"/>
        <v>0</v>
      </c>
      <c r="AQ38" s="124">
        <f>AQ34-AQ18</f>
        <v>0</v>
      </c>
      <c r="AR38" s="5"/>
      <c r="DT38" s="86"/>
      <c r="DW38" s="88"/>
    </row>
    <row r="39" spans="29:128" x14ac:dyDescent="0.25">
      <c r="AJ39" s="124" t="s">
        <v>165</v>
      </c>
      <c r="AK39" s="124">
        <f t="shared" si="67"/>
        <v>0</v>
      </c>
      <c r="AL39" s="124">
        <f>AL35-AL19</f>
        <v>0</v>
      </c>
      <c r="AM39" s="124">
        <f t="shared" si="67"/>
        <v>0</v>
      </c>
      <c r="AN39" s="124">
        <f t="shared" si="68"/>
        <v>0</v>
      </c>
      <c r="AO39" s="124">
        <f t="shared" si="68"/>
        <v>0</v>
      </c>
      <c r="AP39" s="124">
        <f t="shared" si="67"/>
        <v>0</v>
      </c>
      <c r="AQ39" s="124">
        <f>AQ35-AQ19</f>
        <v>0</v>
      </c>
      <c r="AR39" s="5"/>
      <c r="AT39" s="8">
        <f>$AT$2</f>
        <v>20</v>
      </c>
      <c r="AU39" s="8" t="str">
        <f>CONCATENATE("G17:G"&amp;AT39)</f>
        <v>G17:G20</v>
      </c>
      <c r="AV39" s="9" t="str">
        <f>CONCATENATE("H17:H"&amp;AT39)</f>
        <v>H17:H20</v>
      </c>
      <c r="AW39" s="8" t="str">
        <f>CONCATENATE("I17:I"&amp;AT39)</f>
        <v>I17:I20</v>
      </c>
      <c r="AX39" s="127" t="s">
        <v>105</v>
      </c>
      <c r="AY39" s="129" t="s">
        <v>14</v>
      </c>
      <c r="AZ39" s="9" t="s">
        <v>153</v>
      </c>
      <c r="BA39" s="10" t="s">
        <v>152</v>
      </c>
      <c r="BB39" s="9" t="s">
        <v>154</v>
      </c>
      <c r="BC39" s="133" t="s">
        <v>155</v>
      </c>
      <c r="BD39" s="130" t="s">
        <v>156</v>
      </c>
      <c r="BE39" s="130" t="s">
        <v>151</v>
      </c>
      <c r="BF39" s="130" t="s">
        <v>151</v>
      </c>
      <c r="BG39" s="9" t="s">
        <v>147</v>
      </c>
      <c r="BH39" s="9" t="s">
        <v>148</v>
      </c>
      <c r="BI39" s="9" t="s">
        <v>149</v>
      </c>
      <c r="BJ39" s="130" t="s">
        <v>159</v>
      </c>
      <c r="BK39" s="130" t="s">
        <v>158</v>
      </c>
      <c r="BL39" s="127" t="s">
        <v>157</v>
      </c>
      <c r="BM39" s="132" t="s">
        <v>150</v>
      </c>
      <c r="DT39" s="86"/>
      <c r="DW39" s="88"/>
    </row>
    <row r="40" spans="29:128" x14ac:dyDescent="0.25">
      <c r="AJ40" s="125" t="s">
        <v>145</v>
      </c>
      <c r="AK40" s="125">
        <f>IF(AND($AT$4&gt;1,AK36&gt;=0),AK36,0)</f>
        <v>0</v>
      </c>
      <c r="AL40" s="125">
        <f t="shared" ref="AL40:AQ40" si="69">IF(AND($AT$4&gt;1,AL36&gt;=0),AL36,0)</f>
        <v>0</v>
      </c>
      <c r="AM40" s="125">
        <f t="shared" si="69"/>
        <v>0</v>
      </c>
      <c r="AN40" s="125">
        <f t="shared" si="69"/>
        <v>0</v>
      </c>
      <c r="AO40" s="125">
        <f t="shared" si="69"/>
        <v>0</v>
      </c>
      <c r="AP40" s="125">
        <f t="shared" si="69"/>
        <v>0</v>
      </c>
      <c r="AQ40" s="125">
        <f t="shared" si="69"/>
        <v>0</v>
      </c>
      <c r="AR40" s="5"/>
      <c r="AT40" s="9" t="str">
        <f>AO3</f>
        <v>Category5</v>
      </c>
      <c r="AU40" s="9" cm="1">
        <f t="array" aca="1" ref="AU40:AU43" ca="1">INDIRECT(AU39)</f>
        <v>11</v>
      </c>
      <c r="AV40" s="9" cm="1">
        <f t="array" aca="1" ref="AV40:AV43" ca="1">INDIRECT(AV39)</f>
        <v>2025</v>
      </c>
      <c r="AW40" s="9" t="str" cm="1">
        <f t="array" aca="1" ref="AW40:AW43" ca="1">INDIRECT(AW39)</f>
        <v>Qtr1</v>
      </c>
      <c r="AX40" s="127">
        <f>R17</f>
        <v>2E-3</v>
      </c>
      <c r="AY40" s="129">
        <f>ABS(AO2)</f>
        <v>2.0000000000000001E-4</v>
      </c>
      <c r="AZ40" s="9"/>
      <c r="BA40" s="10">
        <f>IFERROR(AY40+AZ40,NA())</f>
        <v>2.0000000000000001E-4</v>
      </c>
      <c r="BB40" s="9"/>
      <c r="BC40" s="133">
        <f>IF(BB40-BA40&lt;0,0,BB40-BA40)</f>
        <v>0</v>
      </c>
      <c r="BD40" s="130">
        <f>BC40+AX40</f>
        <v>2E-3</v>
      </c>
      <c r="BE40" s="130">
        <f>IF(BD40-BA40&lt;0,0,BD40-BA40)</f>
        <v>1.8E-3</v>
      </c>
      <c r="BF40" s="131">
        <f>BE40/BD40</f>
        <v>0.89999999999999991</v>
      </c>
      <c r="BG40" s="126">
        <f>IFERROR((0.1*BD40)/BD40,NA())</f>
        <v>0.1</v>
      </c>
      <c r="BH40" s="126">
        <f>IFERROR((0.1*BD40)/BD40,NA())</f>
        <v>0.1</v>
      </c>
      <c r="BI40" s="126">
        <f>IFERROR((0.2*BD40)/BD40,NA())</f>
        <v>0.2</v>
      </c>
      <c r="BJ40" s="131">
        <f>IFERROR(IF($AT$4&gt;1,0,BF40),NA())</f>
        <v>0.89999999999999991</v>
      </c>
      <c r="BK40" s="131">
        <f>IFERROR(IF($AT$4&gt;1,BF40,0),NA())</f>
        <v>0</v>
      </c>
      <c r="BL40" s="128">
        <f>IF(BK40&gt;0,0,BC40/AX40)</f>
        <v>0</v>
      </c>
      <c r="BM40" s="135">
        <f>IF((BD40-BE40)=0,0,(BD40-BE40)/BD40)</f>
        <v>0.10000000000000005</v>
      </c>
      <c r="BN40" s="126">
        <f>IFERROR(BF40,"")</f>
        <v>0.89999999999999991</v>
      </c>
      <c r="BO40" s="8">
        <f>IFERROR(BA40,"")</f>
        <v>2.0000000000000001E-4</v>
      </c>
      <c r="BP40" s="8">
        <f>IFERROR(AX40,"")</f>
        <v>2E-3</v>
      </c>
      <c r="BQ40" s="117"/>
      <c r="CY40" s="126" t="str">
        <f>IF(CY44&lt;&gt;"",DB44,"")</f>
        <v/>
      </c>
      <c r="CZ40" s="9"/>
      <c r="DA40" s="9" t="s">
        <v>14</v>
      </c>
      <c r="DB40" s="9">
        <f>IFERROR(IF(AT4&gt;3,CS7+CS11,0),0)</f>
        <v>0</v>
      </c>
      <c r="DT40" s="86"/>
      <c r="DW40" s="88"/>
    </row>
    <row r="41" spans="29:128" ht="12" thickBot="1" x14ac:dyDescent="0.3">
      <c r="AC41" s="119"/>
      <c r="AD41" s="119"/>
      <c r="AE41" s="119"/>
      <c r="AF41" s="119"/>
      <c r="AG41" s="119"/>
      <c r="AH41" s="119"/>
      <c r="AI41" s="119"/>
      <c r="AJ41" s="125" t="s">
        <v>160</v>
      </c>
      <c r="AK41" s="125">
        <f t="shared" ref="AK41:AQ41" si="70">IF(AK$36&lt;0,ABS(AK$36),0)</f>
        <v>0</v>
      </c>
      <c r="AL41" s="125">
        <f t="shared" si="70"/>
        <v>0</v>
      </c>
      <c r="AM41" s="125">
        <f t="shared" si="70"/>
        <v>0</v>
      </c>
      <c r="AN41" s="125">
        <f t="shared" si="70"/>
        <v>0</v>
      </c>
      <c r="AO41" s="125">
        <f t="shared" si="70"/>
        <v>0</v>
      </c>
      <c r="AP41" s="125">
        <f t="shared" si="70"/>
        <v>0</v>
      </c>
      <c r="AQ41" s="125">
        <f t="shared" si="70"/>
        <v>0</v>
      </c>
      <c r="AR41" s="5"/>
      <c r="AT41" s="8"/>
      <c r="AU41" s="9">
        <f ca="1"/>
        <v>21</v>
      </c>
      <c r="AV41" s="9">
        <f ca="1"/>
        <v>2026</v>
      </c>
      <c r="AW41" s="9" t="str">
        <f ca="1"/>
        <v>Qtr1</v>
      </c>
      <c r="AX41" s="127">
        <f>R18</f>
        <v>2E-3</v>
      </c>
      <c r="AY41" s="129">
        <f>ABS(AO43)</f>
        <v>0</v>
      </c>
      <c r="AZ41" s="132">
        <f>IFERROR(IF(AND($AT$4&gt;=2,ABS($AO$41)&lt;0),ABS($AO$41),0),NA())</f>
        <v>0</v>
      </c>
      <c r="BA41" s="10">
        <f>IFERROR(AY41+AZ41,NA())</f>
        <v>0</v>
      </c>
      <c r="BB41" s="127">
        <f>IFERROR(IF(AND($AT$4&gt;=2,$AO$40&gt;0),$AO$40,0),NA())</f>
        <v>0</v>
      </c>
      <c r="BC41" s="133">
        <f>IF(BB41-BA41&lt;0,0,BB41-BA41)</f>
        <v>0</v>
      </c>
      <c r="BD41" s="130">
        <f>BC41+AX41</f>
        <v>2E-3</v>
      </c>
      <c r="BE41" s="130">
        <f>IF(BD41-BA41&lt;0,0,BD41-BA41)</f>
        <v>2E-3</v>
      </c>
      <c r="BF41" s="131">
        <f>BE41/BD41</f>
        <v>1</v>
      </c>
      <c r="BG41" s="126">
        <f>IFERROR((0.1*BD41)/BD41,NA())</f>
        <v>0.1</v>
      </c>
      <c r="BH41" s="126">
        <f>IFERROR((0.1*BD41)/BD41,NA())</f>
        <v>0.1</v>
      </c>
      <c r="BI41" s="126">
        <f>IFERROR((0.2*BD41)/BD41,NA())</f>
        <v>0.2</v>
      </c>
      <c r="BJ41" s="131">
        <f>IFERROR(IF($AT$4&gt;2,0,BF41),NA())</f>
        <v>1</v>
      </c>
      <c r="BK41" s="131">
        <f>IFERROR(IF($AT$4&gt;2,BF41,0),NA())</f>
        <v>0</v>
      </c>
      <c r="BL41" s="128">
        <f>IF(BK41&gt;0,0,BC41/AX41)</f>
        <v>0</v>
      </c>
      <c r="BM41" s="135">
        <f>IF((BD41-BE41)=0,0,(BD41-BE41)/BD41)</f>
        <v>0</v>
      </c>
      <c r="BN41" s="126">
        <f>IFERROR(BF41,"")</f>
        <v>1</v>
      </c>
      <c r="BO41" s="8">
        <f>IFERROR(BA41,"")</f>
        <v>0</v>
      </c>
      <c r="BP41" s="8">
        <f>IFERROR(AX41,"")</f>
        <v>2E-3</v>
      </c>
      <c r="BQ41" s="8" t="str">
        <f>IFERROR(IF(BC41=0,"",BC41),"")</f>
        <v/>
      </c>
      <c r="CY41" s="9" t="str">
        <f>IF(DB44&gt;1,CY49,IF(AND($AT$4&gt;3,CY44&lt;&gt;""),CY49,""))</f>
        <v/>
      </c>
      <c r="CZ41" s="9"/>
      <c r="DA41" s="9" t="s">
        <v>168</v>
      </c>
      <c r="DB41" s="9">
        <f>IF(DB40&lt;0,ABS(DB40),0)</f>
        <v>0</v>
      </c>
      <c r="DT41" s="86"/>
      <c r="DW41" s="88"/>
    </row>
    <row r="42" spans="29:128" ht="12" thickBot="1" x14ac:dyDescent="0.3">
      <c r="AC42" s="119"/>
      <c r="AD42" s="119"/>
      <c r="AE42" s="119"/>
      <c r="AF42" s="119"/>
      <c r="AG42" s="119"/>
      <c r="AH42" s="119"/>
      <c r="AI42" s="119"/>
      <c r="AJ42" s="5"/>
      <c r="AK42" s="9">
        <f>J18</f>
        <v>2E-3</v>
      </c>
      <c r="AL42" s="9">
        <f>L18</f>
        <v>2E-3</v>
      </c>
      <c r="AM42" s="9">
        <f>N18</f>
        <v>2E-3</v>
      </c>
      <c r="AN42" s="9">
        <f>P18</f>
        <v>2E-3</v>
      </c>
      <c r="AO42" s="9">
        <f>R18</f>
        <v>2E-3</v>
      </c>
      <c r="AP42" s="9">
        <f>T18</f>
        <v>2E-3</v>
      </c>
      <c r="AQ42" s="9">
        <f>V18</f>
        <v>2E-3</v>
      </c>
      <c r="AR42" s="5"/>
      <c r="AT42" s="8"/>
      <c r="AU42" s="9">
        <f ca="1"/>
        <v>22</v>
      </c>
      <c r="AV42" s="9">
        <f ca="1"/>
        <v>2026</v>
      </c>
      <c r="AW42" s="9" t="str">
        <f ca="1"/>
        <v>Grand Total</v>
      </c>
      <c r="AX42" s="127" t="str">
        <f>R19</f>
        <v/>
      </c>
      <c r="AY42" s="129">
        <f>ABS(AO82)</f>
        <v>0</v>
      </c>
      <c r="AZ42" s="132">
        <f>IFERROR(IF(AND($AT$4&gt;=3,ABS($AO$80)&lt;0),ABS($AO$80),0),NA())</f>
        <v>0</v>
      </c>
      <c r="BA42" s="10">
        <f>IFERROR(AY42+AZ42,NA())</f>
        <v>0</v>
      </c>
      <c r="BB42" s="127">
        <f>IFERROR(IF(AND($AT$4&gt;=3,$AO$79&gt;0),$AO$79,0),NA())</f>
        <v>0</v>
      </c>
      <c r="BC42" s="133">
        <f>IF(BB42-BA42&lt;0,0,BB42-BA42)</f>
        <v>0</v>
      </c>
      <c r="BD42" s="130" t="e">
        <f>BC42+AX42</f>
        <v>#VALUE!</v>
      </c>
      <c r="BE42" s="130" t="e">
        <f>IF(BD42-BA42&lt;0,0,BD42-BA42)</f>
        <v>#VALUE!</v>
      </c>
      <c r="BF42" s="131" t="e">
        <f>BE42/BD42</f>
        <v>#VALUE!</v>
      </c>
      <c r="BG42" s="126" t="e">
        <f>IFERROR((0.1*BD42)/BD42,NA())</f>
        <v>#N/A</v>
      </c>
      <c r="BH42" s="126" t="e">
        <f>IFERROR((0.1*BD42)/BD42,NA())</f>
        <v>#N/A</v>
      </c>
      <c r="BI42" s="126" t="e">
        <f>IFERROR((0.2*BD42)/BD42,NA())</f>
        <v>#N/A</v>
      </c>
      <c r="BJ42" s="131" t="e">
        <f>IFERROR(IF($AT$4&gt;3,0,BF42),NA())</f>
        <v>#N/A</v>
      </c>
      <c r="BK42" s="131">
        <f>IFERROR(IF($AT$4&gt;3,BF42,0),NA())</f>
        <v>0</v>
      </c>
      <c r="BL42" s="128" t="e">
        <f>IF(BK42&gt;0,0,BC42/AX42)</f>
        <v>#VALUE!</v>
      </c>
      <c r="BM42" s="135" t="e">
        <f>IF((BD42-BE42)=0,0,(BD42-BE42)/BD42)</f>
        <v>#VALUE!</v>
      </c>
      <c r="BN42" s="126" t="str">
        <f>IFERROR(BF42,"")</f>
        <v/>
      </c>
      <c r="BO42" s="8">
        <f>IFERROR(BA42,"")</f>
        <v>0</v>
      </c>
      <c r="BP42" s="8" t="str">
        <f>IFERROR(AX42,"")</f>
        <v/>
      </c>
      <c r="BQ42" s="8" t="str">
        <f>IFERROR(IF(BC42=0,"",BC42),"")</f>
        <v/>
      </c>
      <c r="CX42" s="188" t="str">
        <f ca="1">IF(CY42&lt;&gt;"",CX1,"")</f>
        <v/>
      </c>
      <c r="CY42" s="144" t="str">
        <f ca="1">E20</f>
        <v/>
      </c>
      <c r="CZ42" s="9"/>
      <c r="DA42" s="9" t="s">
        <v>167</v>
      </c>
      <c r="DB42" s="9">
        <f>IF(DB40&gt;0,DB40,0)</f>
        <v>0</v>
      </c>
    </row>
    <row r="43" spans="29:128" x14ac:dyDescent="0.25">
      <c r="AC43" s="119"/>
      <c r="AD43" s="119"/>
      <c r="AE43" s="119"/>
      <c r="AF43" s="119"/>
      <c r="AG43" s="119"/>
      <c r="AH43" s="119"/>
      <c r="AI43" s="119"/>
      <c r="AJ43" s="5"/>
      <c r="AK43" s="9">
        <f>IF(AT4&gt;1,K18+AK41,AK41)</f>
        <v>0</v>
      </c>
      <c r="AL43" s="9">
        <f>IF(AT4&gt;1,M18+AL41,AL41)</f>
        <v>0</v>
      </c>
      <c r="AM43" s="9">
        <f>IF(AT4&gt;1,O18+AM41,AM41)</f>
        <v>0</v>
      </c>
      <c r="AN43" s="9">
        <f>IF(AT4&gt;1,Q18+AN41,AN41)</f>
        <v>0</v>
      </c>
      <c r="AO43" s="9">
        <f>IF(AT4&gt;1,S18+AO41,AO41)</f>
        <v>0</v>
      </c>
      <c r="AP43" s="9">
        <f>IF(AT4&gt;1,U18+AP41,AP41)</f>
        <v>0</v>
      </c>
      <c r="AQ43" s="9">
        <f>IF(AT4&gt;1,W18+AQ41,AQ41)</f>
        <v>0</v>
      </c>
      <c r="AR43" s="5"/>
      <c r="AT43" s="8"/>
      <c r="AU43" s="9">
        <f ca="1"/>
        <v>23</v>
      </c>
      <c r="AV43" s="9">
        <f ca="1"/>
        <v>2026</v>
      </c>
      <c r="AW43" s="9">
        <f ca="1"/>
        <v>0</v>
      </c>
      <c r="AX43" s="127">
        <f>R20</f>
        <v>0</v>
      </c>
      <c r="AY43" s="129">
        <f>ABS(AO118)</f>
        <v>0</v>
      </c>
      <c r="AZ43" s="132">
        <f>IFERROR(IF(AND($AT$4&gt;=4,ABS($AO$116)&lt;0),ABS($AO$116),0),NA())</f>
        <v>0</v>
      </c>
      <c r="BA43" s="10">
        <f>IFERROR(AY43+AZ43,NA())</f>
        <v>0</v>
      </c>
      <c r="BB43" s="127">
        <f>IFERROR(IF(AND($AT$4&gt;=4,$AO$115&gt;0),$AO$115,0),NA())</f>
        <v>0</v>
      </c>
      <c r="BC43" s="133">
        <f>IF(BB43-BA43&lt;0,0,BB43-BA43)</f>
        <v>0</v>
      </c>
      <c r="BD43" s="130">
        <f>BC43+AX43</f>
        <v>0</v>
      </c>
      <c r="BE43" s="130">
        <f>IF(BD43-BA43&lt;0,0,BD43-BA43)</f>
        <v>0</v>
      </c>
      <c r="BF43" s="131" t="e">
        <f>BE43/BD43</f>
        <v>#DIV/0!</v>
      </c>
      <c r="BG43" s="126" t="e">
        <f>IFERROR((0.1*BD43)/BD43,NA())</f>
        <v>#N/A</v>
      </c>
      <c r="BH43" s="126" t="e">
        <f>IFERROR((0.1*BD43)/BD43,NA())</f>
        <v>#N/A</v>
      </c>
      <c r="BI43" s="126" t="e">
        <f>IFERROR((0.2*BD43)/BD43,NA())</f>
        <v>#N/A</v>
      </c>
      <c r="BJ43" s="131" t="e">
        <f>IFERROR(IF($AT$4&gt;4,0,BF43),NA())</f>
        <v>#N/A</v>
      </c>
      <c r="BK43" s="131">
        <f>IFERROR(IF($AT$4&gt;4,BF43,0),NA())</f>
        <v>0</v>
      </c>
      <c r="BL43" s="128" t="e">
        <f>IF(BK43&gt;0,0,BC43/AX43)</f>
        <v>#DIV/0!</v>
      </c>
      <c r="BM43" s="135">
        <f>IF((BD43-BE43)=0,0,(BD43-BE43)/BD43)</f>
        <v>0</v>
      </c>
      <c r="BN43" s="126" t="str">
        <f>IFERROR(BF43,"")</f>
        <v/>
      </c>
      <c r="BO43" s="8">
        <f>IFERROR(BA43,"")</f>
        <v>0</v>
      </c>
      <c r="BP43" s="8">
        <f>IFERROR(AX43,"")</f>
        <v>0</v>
      </c>
      <c r="BQ43" s="8" t="str">
        <f>IFERROR(IF(BC43=0,"",BC43),"")</f>
        <v/>
      </c>
      <c r="CY43" s="9" t="s">
        <v>14</v>
      </c>
      <c r="CZ43" s="9" cm="1">
        <f t="array" ref="CZ43">IFERROR(_xlfn.IFS(DB42&gt;0,0%,(DB41/CZ44)&gt;1.4,1.4,DB41&gt;=0,(DB41/CZ44)),0)</f>
        <v>0</v>
      </c>
      <c r="DA43" s="9"/>
      <c r="DB43" s="9" t="s">
        <v>169</v>
      </c>
    </row>
    <row r="44" spans="29:128" x14ac:dyDescent="0.25">
      <c r="AC44" s="119"/>
      <c r="AD44" s="119"/>
      <c r="AE44" s="119"/>
      <c r="AF44" s="119"/>
      <c r="AG44" s="119"/>
      <c r="AH44" s="119"/>
      <c r="AI44" s="119"/>
      <c r="AJ44" s="204">
        <f>IF($AJ$3-1&lt;0,0,$AJ$3-1)</f>
        <v>0</v>
      </c>
      <c r="AK44" s="123" t="str">
        <f>$J$4</f>
        <v>Category1</v>
      </c>
      <c r="AL44" s="123" t="str">
        <f>$L$4</f>
        <v>Category2</v>
      </c>
      <c r="AM44" s="123" t="str">
        <f>$N$4</f>
        <v>Category3</v>
      </c>
      <c r="AN44" s="123" t="str">
        <f>$P$4</f>
        <v>Category4</v>
      </c>
      <c r="AO44" s="123" t="str">
        <f>$R$4</f>
        <v>Category5</v>
      </c>
      <c r="AP44" s="123" t="str">
        <f>$T$4</f>
        <v>Category6</v>
      </c>
      <c r="AQ44" s="123" t="str">
        <f>$V$4</f>
        <v>Category7</v>
      </c>
      <c r="AR44" s="22" t="s">
        <v>144</v>
      </c>
      <c r="AT44" s="8"/>
      <c r="AU44" s="9"/>
      <c r="AV44" s="9"/>
      <c r="AW44" s="9"/>
      <c r="AX44" s="127">
        <f>R21</f>
        <v>0</v>
      </c>
      <c r="AY44" s="129">
        <f>ABS(AO151)</f>
        <v>0</v>
      </c>
      <c r="AZ44" s="132">
        <f>IFERROR(IF(AND($AT$4&gt;=5,ABS($AO$149)&lt;0),ABS($AO$149),0),NA())</f>
        <v>0</v>
      </c>
      <c r="BA44" s="10">
        <f>IFERROR(AY44+AZ44,NA())</f>
        <v>0</v>
      </c>
      <c r="BB44" s="127">
        <f>IFERROR(IF(AND($AT$4&gt;=5,$AO$148&gt;0),$AO$148,0),NA())</f>
        <v>0</v>
      </c>
      <c r="BC44" s="133">
        <f>IF(BB44-BA44&lt;0,0,BB44-BA44)</f>
        <v>0</v>
      </c>
      <c r="BD44" s="130">
        <f>BC44+AX44</f>
        <v>0</v>
      </c>
      <c r="BE44" s="130">
        <f>IF(BD44-BA44&lt;0,0,BD44-BA44)</f>
        <v>0</v>
      </c>
      <c r="BF44" s="131" t="e">
        <f>BE44/BD44</f>
        <v>#DIV/0!</v>
      </c>
      <c r="BG44" s="126" t="e">
        <f>IFERROR((0.1*BD44)/BD44,NA())</f>
        <v>#N/A</v>
      </c>
      <c r="BH44" s="126" t="e">
        <f>IFERROR((0.1*BD44)/BD44,NA())</f>
        <v>#N/A</v>
      </c>
      <c r="BI44" s="126" t="e">
        <f>IFERROR((0.2*BD44)/BD44,NA())</f>
        <v>#N/A</v>
      </c>
      <c r="BJ44" s="131" t="e">
        <f>IFERROR(IF($AT$4&gt;5,0,BF44),NA())</f>
        <v>#N/A</v>
      </c>
      <c r="BK44" s="131">
        <f>IFERROR(IF($AT$4&gt;5,BF44,0),NA())</f>
        <v>0</v>
      </c>
      <c r="BL44" s="128" t="e">
        <f>IF(BK44&gt;0,0,BC44/AX44)</f>
        <v>#DIV/0!</v>
      </c>
      <c r="BM44" s="135">
        <f>IF((BD44-BE44)=0,0,(BD44-BE44)/BD44)</f>
        <v>0</v>
      </c>
      <c r="BN44" s="126" t="str">
        <f>IFERROR(BF44,"")</f>
        <v/>
      </c>
      <c r="BO44" s="8">
        <f>IFERROR(BA44,"")</f>
        <v>0</v>
      </c>
      <c r="BP44" s="8">
        <f>IFERROR(AX44,"")</f>
        <v>0</v>
      </c>
      <c r="BQ44" s="8" t="str">
        <f>IFERROR(IF(BC44=0,"",BC44),"")</f>
        <v/>
      </c>
      <c r="CY44" s="9" t="str">
        <f>F20</f>
        <v/>
      </c>
      <c r="CZ44" s="9">
        <f>CT18</f>
        <v>0</v>
      </c>
      <c r="DA44" s="126">
        <v>0</v>
      </c>
      <c r="DB44" s="126">
        <f>CZ43</f>
        <v>0</v>
      </c>
    </row>
    <row r="45" spans="29:128" x14ac:dyDescent="0.25">
      <c r="AC45" s="119"/>
      <c r="AD45" s="119"/>
      <c r="AE45" s="119"/>
      <c r="AF45" s="119"/>
      <c r="AG45" s="119"/>
      <c r="AH45" s="119"/>
      <c r="AI45" s="119"/>
      <c r="AJ45" s="210" t="str">
        <f>IF(ISBLANK($C$4),"",$C$4)</f>
        <v>Category1</v>
      </c>
      <c r="AK45" s="210">
        <f>IFERROR(IF($AK$43&gt;$AK$42,IF(AND(AJ45=$AK$44,AA4=3),($AK$43-$AK$42),IF(AND(AA4=2,$AA$4&lt;&gt;3),$AK$43-$AK$42)),0),0)</f>
        <v>0</v>
      </c>
      <c r="AL45" s="210">
        <f>IFERROR(IF($AL$43&gt;$AL$42,IF(AND(AJ45=$AL$44,AA4=3),($AL$43-$AL$42),IF(AND(AA4=2,$AA$5&lt;&gt;3),$AL$43-$AL$42)),0),0)</f>
        <v>0</v>
      </c>
      <c r="AM45" s="210">
        <f>IFERROR(IF($AM$43&gt;$AM$42,IF(AND(AJ45=$AM$44,AA4=3),($AM$43-$AM$42),IF(AND(AA4=2,$AA$6&lt;&gt;3),$AM$43-$AM$42)),0),0)</f>
        <v>0</v>
      </c>
      <c r="AN45" s="210">
        <f>IFERROR(IF($AN$43&gt;$AN$42,IF(AND(AJ45=$AN$44,AA4=3),($AN$43-$AN$42),IF(AND(AA4=2,$AA$7&lt;&gt;3),$AN$43-$AN$42)),0),0)</f>
        <v>0</v>
      </c>
      <c r="AO45" s="210">
        <f>IFERROR(IF($AO$43&gt;$AO$42,IF(AND(AJ45=$AO$44,AA4=3),($AO$43-$AO$42),IF(AND(AA4=2,$AA$8&lt;&gt;3),$AO$43-$AO$42)),0),0)</f>
        <v>0</v>
      </c>
      <c r="AP45" s="210">
        <f>IFERROR(IF($AP$43&gt;$AP$42,IF(AND(AJ45=$AP$44,AA4=3),($AP$43-$AP$42),IF(AND(AA4=2,$AA$9&lt;&gt;3),$AP$43-$AP$42)),0),0)</f>
        <v>0</v>
      </c>
      <c r="AQ45" s="210">
        <f>IFERROR(IF($AQ$43&gt;$AQ$42,IF(AND(AJ45=$AQ$44,AA4=3),($AQ$43-$AQ$42),IF(AND(AA4=2,$AA$10&lt;&gt;3),$AQ$43-$AQ$42)),0),0)</f>
        <v>0</v>
      </c>
      <c r="AR45" s="94">
        <f t="shared" ref="AR45:AR55" si="71">IF($AT$4&gt;1,SUM(AK45:AQ45),0)</f>
        <v>0</v>
      </c>
      <c r="AT45" s="304" cm="1">
        <f t="array" ref="AT45">_xlfn.IFS($AT$4=1,BO40,$AT$4=2,BO41,$AT$4=3,BO42,$AT$4=4,BO43,$AT$4=5,BO44)</f>
        <v>2.0000000000000001E-4</v>
      </c>
      <c r="AU45" s="304" cm="1">
        <f t="array" ref="AU45">_xlfn.IFS($AT$4=1,BP40,$AT$4=2,BP41,$AT$4=3,BP42,$AT$4=4,BP43,$AT$4=5,BP44)</f>
        <v>2E-3</v>
      </c>
      <c r="AV45" s="8" t="str">
        <f>IF(AU45&lt;&gt;"","/ "&amp;AU45&amp;WB_Data!EJ2,"")</f>
        <v>/ 0.002$</v>
      </c>
      <c r="AW45" s="303" cm="1">
        <f t="array" ref="AW45">_xlfn.IFS($AT$4=1,BQ40,$AT$4=2,BQ41,$AT$4=3,BQ42,$AT$4=4,BQ43,$AT$4=5,BQ44)</f>
        <v>0</v>
      </c>
      <c r="AX45" s="85" t="str">
        <f>IF(AW45="","","Extra")</f>
        <v>Extra</v>
      </c>
      <c r="CY45" s="9" t="s">
        <v>184</v>
      </c>
      <c r="CZ45" s="9"/>
      <c r="DA45" s="126">
        <v>1</v>
      </c>
      <c r="DB45" s="126">
        <v>0.01</v>
      </c>
    </row>
    <row r="46" spans="29:128" x14ac:dyDescent="0.25">
      <c r="AC46" s="119"/>
      <c r="AD46" s="119"/>
      <c r="AE46" s="119"/>
      <c r="AF46" s="119"/>
      <c r="AG46" s="119"/>
      <c r="AH46" s="119"/>
      <c r="AI46" s="119"/>
      <c r="AJ46" s="210" t="str">
        <f>IF(ISBLANK($C$5),"",$C$5)</f>
        <v>Category2</v>
      </c>
      <c r="AK46" s="210">
        <f t="shared" ref="AK46:AK55" si="72">IFERROR(IF($AK$43&gt;$AK$42,IF(AND(AJ46=$AK$44,AA5=3),($AK$43-$AK$42),IF(AND(AA5=2,$AA$4&lt;&gt;3),$AK$43-$AK$42)),0),0)</f>
        <v>0</v>
      </c>
      <c r="AL46" s="210">
        <f t="shared" ref="AL46:AL55" si="73">IFERROR(IF($AL$43&gt;$AL$42,IF(AND(AJ46=$AL$44,AA5=3),($AL$43-$AL$42),IF(AND(AA5=2,$AA$5&lt;&gt;3),$AL$43-$AL$42)),0),0)</f>
        <v>0</v>
      </c>
      <c r="AM46" s="210">
        <f t="shared" ref="AM46:AM55" si="74">IFERROR(IF($AM$43&gt;$AM$42,IF(AND(AJ46=$AM$44,AA5=3),($AM$43-$AM$42),IF(AND(AA5=2,$AA$6&lt;&gt;3),$AM$43-$AM$42)),0),0)</f>
        <v>0</v>
      </c>
      <c r="AN46" s="210">
        <f t="shared" ref="AN46:AN55" si="75">IFERROR(IF($AN$43&gt;$AN$42,IF(AND(AJ46=$AN$44,AA5=3),($AN$43-$AN$42),IF(AND(AA5=2,$AA$7&lt;&gt;3),$AN$43-$AN$42)),0),0)</f>
        <v>0</v>
      </c>
      <c r="AO46" s="210">
        <f t="shared" ref="AO46:AO55" si="76">IFERROR(IF($AO$43&gt;$AO$42,IF(AND(AJ46=$AO$44,AA5=3),($AO$43-$AO$42),IF(AND(AA5=2,$AA$8&lt;&gt;3),$AO$43-$AO$42)),0),0)</f>
        <v>0</v>
      </c>
      <c r="AP46" s="210">
        <f t="shared" ref="AP46:AP55" si="77">IFERROR(IF($AP$43&gt;$AP$42,IF(AND(AJ46=$AP$44,AA5=3),($AP$43-$AP$42),IF(AND(AA5=2,$AA$9&lt;&gt;3),$AP$43-$AP$42)),0),0)</f>
        <v>0</v>
      </c>
      <c r="AQ46" s="210">
        <f t="shared" ref="AQ46:AQ55" si="78">IFERROR(IF($AQ$43&gt;$AQ$42,IF(AND(AJ46=$AQ$44,AA5=3),($AQ$43-$AQ$42),IF(AND(AA5=2,$AA$10&lt;&gt;3),$AQ$43-$AQ$42)),0),0)</f>
        <v>0</v>
      </c>
      <c r="AR46" s="94">
        <f t="shared" si="71"/>
        <v>0</v>
      </c>
      <c r="CY46" s="9" t="s">
        <v>185</v>
      </c>
      <c r="CZ46" s="9"/>
      <c r="DA46" s="126">
        <v>0.1</v>
      </c>
      <c r="DB46" s="126">
        <f>(SUM(DA44:DA49)-DB44)+DB47</f>
        <v>3.2</v>
      </c>
    </row>
    <row r="47" spans="29:128" x14ac:dyDescent="0.25">
      <c r="AC47" s="119"/>
      <c r="AD47" s="119"/>
      <c r="AE47" s="119"/>
      <c r="AF47" s="119"/>
      <c r="AG47" s="119"/>
      <c r="AH47" s="119"/>
      <c r="AI47" s="119"/>
      <c r="AJ47" s="210" t="str">
        <f>IF(ISBLANK($C$6),"",$C$6)</f>
        <v>Category3</v>
      </c>
      <c r="AK47" s="210">
        <f t="shared" si="72"/>
        <v>0</v>
      </c>
      <c r="AL47" s="210">
        <f t="shared" si="73"/>
        <v>0</v>
      </c>
      <c r="AM47" s="210">
        <f t="shared" si="74"/>
        <v>0</v>
      </c>
      <c r="AN47" s="210">
        <f t="shared" si="75"/>
        <v>0</v>
      </c>
      <c r="AO47" s="210">
        <f t="shared" si="76"/>
        <v>0</v>
      </c>
      <c r="AP47" s="210">
        <f t="shared" si="77"/>
        <v>0</v>
      </c>
      <c r="AQ47" s="210">
        <f t="shared" si="78"/>
        <v>0</v>
      </c>
      <c r="AR47" s="94">
        <f t="shared" si="71"/>
        <v>0</v>
      </c>
      <c r="CY47" s="9" t="s">
        <v>186</v>
      </c>
      <c r="CZ47" s="9"/>
      <c r="DA47" s="126">
        <v>0.2</v>
      </c>
      <c r="DB47" s="9" t="b">
        <f>IF(DB44&gt;1.1,(1-DB44))</f>
        <v>0</v>
      </c>
    </row>
    <row r="48" spans="29:128" x14ac:dyDescent="0.25">
      <c r="AC48" s="119"/>
      <c r="AD48" s="119"/>
      <c r="AE48" s="119"/>
      <c r="AF48" s="119"/>
      <c r="AG48" s="119"/>
      <c r="AH48" s="119"/>
      <c r="AI48" s="119"/>
      <c r="AJ48" s="210" t="str">
        <f>IF(ISBLANK($C$7),"",$C$7)</f>
        <v>Category4</v>
      </c>
      <c r="AK48" s="210">
        <f t="shared" si="72"/>
        <v>0</v>
      </c>
      <c r="AL48" s="210">
        <f t="shared" si="73"/>
        <v>0</v>
      </c>
      <c r="AM48" s="210">
        <f t="shared" si="74"/>
        <v>0</v>
      </c>
      <c r="AN48" s="210">
        <f t="shared" si="75"/>
        <v>0</v>
      </c>
      <c r="AO48" s="210">
        <f t="shared" si="76"/>
        <v>0</v>
      </c>
      <c r="AP48" s="210">
        <f t="shared" si="77"/>
        <v>0</v>
      </c>
      <c r="AQ48" s="210">
        <f t="shared" si="78"/>
        <v>0</v>
      </c>
      <c r="AR48" s="94">
        <f t="shared" si="71"/>
        <v>0</v>
      </c>
      <c r="AT48" s="8">
        <f>$AT$2</f>
        <v>20</v>
      </c>
      <c r="AU48" s="8" t="str">
        <f>CONCATENATE("G17:G"&amp;AT48)</f>
        <v>G17:G20</v>
      </c>
      <c r="AV48" s="9" t="str">
        <f>CONCATENATE("H17:H"&amp;AT48)</f>
        <v>H17:H20</v>
      </c>
      <c r="AW48" s="8" t="str">
        <f>CONCATENATE("I17:I"&amp;AT48)</f>
        <v>I17:I20</v>
      </c>
      <c r="AX48" s="127" t="s">
        <v>105</v>
      </c>
      <c r="AY48" s="129" t="s">
        <v>14</v>
      </c>
      <c r="AZ48" s="9" t="s">
        <v>153</v>
      </c>
      <c r="BA48" s="10" t="s">
        <v>152</v>
      </c>
      <c r="BB48" s="9" t="s">
        <v>154</v>
      </c>
      <c r="BC48" s="133" t="s">
        <v>155</v>
      </c>
      <c r="BD48" s="130" t="s">
        <v>156</v>
      </c>
      <c r="BE48" s="130" t="s">
        <v>151</v>
      </c>
      <c r="BF48" s="130" t="s">
        <v>151</v>
      </c>
      <c r="BG48" s="9" t="s">
        <v>147</v>
      </c>
      <c r="BH48" s="9" t="s">
        <v>148</v>
      </c>
      <c r="BI48" s="9" t="s">
        <v>149</v>
      </c>
      <c r="BJ48" s="130" t="s">
        <v>159</v>
      </c>
      <c r="BK48" s="130" t="s">
        <v>158</v>
      </c>
      <c r="BL48" s="127" t="s">
        <v>157</v>
      </c>
      <c r="BM48" s="132" t="s">
        <v>150</v>
      </c>
      <c r="CY48" s="9" t="s">
        <v>187</v>
      </c>
      <c r="CZ48" s="9"/>
      <c r="DA48" s="126">
        <v>0.3</v>
      </c>
      <c r="DB48" s="9"/>
    </row>
    <row r="49" spans="29:106" x14ac:dyDescent="0.25">
      <c r="AC49" s="119"/>
      <c r="AD49" s="119"/>
      <c r="AE49" s="119"/>
      <c r="AF49" s="119"/>
      <c r="AG49" s="119"/>
      <c r="AH49" s="119"/>
      <c r="AI49" s="119"/>
      <c r="AJ49" s="210" t="str">
        <f>IF(ISBLANK($C$8),"",$C$8)</f>
        <v>Category5</v>
      </c>
      <c r="AK49" s="210">
        <f t="shared" si="72"/>
        <v>0</v>
      </c>
      <c r="AL49" s="210">
        <f t="shared" si="73"/>
        <v>0</v>
      </c>
      <c r="AM49" s="210">
        <f t="shared" si="74"/>
        <v>0</v>
      </c>
      <c r="AN49" s="210">
        <f t="shared" si="75"/>
        <v>0</v>
      </c>
      <c r="AO49" s="210">
        <f t="shared" si="76"/>
        <v>0</v>
      </c>
      <c r="AP49" s="210">
        <f t="shared" si="77"/>
        <v>0</v>
      </c>
      <c r="AQ49" s="210">
        <f t="shared" si="78"/>
        <v>0</v>
      </c>
      <c r="AR49" s="94">
        <f t="shared" si="71"/>
        <v>0</v>
      </c>
      <c r="AT49" s="9" t="str">
        <f>AP3</f>
        <v>Category6</v>
      </c>
      <c r="AU49" s="9" cm="1">
        <f t="array" aca="1" ref="AU49:AU52" ca="1">INDIRECT(AU48)</f>
        <v>11</v>
      </c>
      <c r="AV49" s="9" cm="1">
        <f t="array" aca="1" ref="AV49:AV52" ca="1">INDIRECT(AV48)</f>
        <v>2025</v>
      </c>
      <c r="AW49" s="9" t="str" cm="1">
        <f t="array" aca="1" ref="AW49:AW52" ca="1">INDIRECT(AW48)</f>
        <v>Qtr1</v>
      </c>
      <c r="AX49" s="127">
        <f>T17</f>
        <v>2E-3</v>
      </c>
      <c r="AY49" s="129">
        <f>ABS(AP2)</f>
        <v>2.0000000000000001E-4</v>
      </c>
      <c r="AZ49" s="9"/>
      <c r="BA49" s="10">
        <f>IFERROR(AY49+AZ49,NA())</f>
        <v>2.0000000000000001E-4</v>
      </c>
      <c r="BB49" s="9"/>
      <c r="BC49" s="133">
        <f>IF(BB49-BA49&lt;0,0,BB49-BA49)</f>
        <v>0</v>
      </c>
      <c r="BD49" s="130">
        <f>BC49+AX49</f>
        <v>2E-3</v>
      </c>
      <c r="BE49" s="130">
        <f>IF(BD49-BA49&lt;0,0,BD49-BA49)</f>
        <v>1.8E-3</v>
      </c>
      <c r="BF49" s="131">
        <f>BE49/BD49</f>
        <v>0.89999999999999991</v>
      </c>
      <c r="BG49" s="126">
        <f>IFERROR((0.1*BD49)/BD49,NA())</f>
        <v>0.1</v>
      </c>
      <c r="BH49" s="126">
        <f>IFERROR((0.1*BD49)/BD49,NA())</f>
        <v>0.1</v>
      </c>
      <c r="BI49" s="126">
        <f>IFERROR((0.2*BD49)/BD49,NA())</f>
        <v>0.2</v>
      </c>
      <c r="BJ49" s="131">
        <f>IFERROR(IF($AT$4&gt;1,0,BF49),NA())</f>
        <v>0.89999999999999991</v>
      </c>
      <c r="BK49" s="131">
        <f>IFERROR(IF($AT$4&gt;1,BF49,0),NA())</f>
        <v>0</v>
      </c>
      <c r="BL49" s="128">
        <f>IF(BK49&gt;0,0,BC49/AX49)</f>
        <v>0</v>
      </c>
      <c r="BM49" s="135">
        <f>IF((BD49-BE49)=0,0,(BD49-BE49)/BD49)</f>
        <v>0.10000000000000005</v>
      </c>
      <c r="BN49" s="126">
        <f>IFERROR(BF49,"")</f>
        <v>0.89999999999999991</v>
      </c>
      <c r="BO49" s="8">
        <f>IFERROR(BA49,"")</f>
        <v>2.0000000000000001E-4</v>
      </c>
      <c r="BP49" s="8">
        <f>IFERROR(AX49,"")</f>
        <v>2E-3</v>
      </c>
      <c r="BQ49" s="117"/>
      <c r="CY49" s="9" t="str" cm="1">
        <f t="array" ref="CY49">_xlfn.IFS(DB44&lt;=1,CY45,DB44&lt;=1.1,CY46,DB44&lt;=1.2,CY47,DB44&lt;=1.4,CY48,DB44&gt;1.4,CY48)</f>
        <v>Good</v>
      </c>
      <c r="CZ49" s="9"/>
      <c r="DA49" s="126">
        <f>SUM(DA44:DA48)</f>
        <v>1.6</v>
      </c>
      <c r="DB49" s="9"/>
    </row>
    <row r="50" spans="29:106" x14ac:dyDescent="0.25">
      <c r="AC50" s="119"/>
      <c r="AD50" s="119"/>
      <c r="AE50" s="119"/>
      <c r="AF50" s="119"/>
      <c r="AG50" s="119"/>
      <c r="AH50" s="119"/>
      <c r="AJ50" s="210" t="str">
        <f>IF(ISBLANK($C$9),"",$C$9)</f>
        <v>Category6</v>
      </c>
      <c r="AK50" s="210">
        <f t="shared" si="72"/>
        <v>0</v>
      </c>
      <c r="AL50" s="210">
        <f t="shared" si="73"/>
        <v>0</v>
      </c>
      <c r="AM50" s="210">
        <f t="shared" si="74"/>
        <v>0</v>
      </c>
      <c r="AN50" s="210">
        <f t="shared" si="75"/>
        <v>0</v>
      </c>
      <c r="AO50" s="210">
        <f t="shared" si="76"/>
        <v>0</v>
      </c>
      <c r="AP50" s="210">
        <f t="shared" si="77"/>
        <v>0</v>
      </c>
      <c r="AQ50" s="210">
        <f t="shared" si="78"/>
        <v>0</v>
      </c>
      <c r="AR50" s="94">
        <f t="shared" si="71"/>
        <v>0</v>
      </c>
      <c r="AT50" s="8"/>
      <c r="AU50" s="9">
        <f ca="1"/>
        <v>21</v>
      </c>
      <c r="AV50" s="9">
        <f ca="1"/>
        <v>2026</v>
      </c>
      <c r="AW50" s="9" t="str">
        <f ca="1"/>
        <v>Qtr1</v>
      </c>
      <c r="AX50" s="127">
        <f>T18</f>
        <v>2E-3</v>
      </c>
      <c r="AY50" s="129">
        <f>ABS(AP43)</f>
        <v>0</v>
      </c>
      <c r="AZ50" s="132">
        <f>IFERROR(IF(AND($AT$4&gt;=2,ABS($AP$41)&lt;0),ABS($AP$41),0),NA())</f>
        <v>0</v>
      </c>
      <c r="BA50" s="10">
        <f>IFERROR(AY50+AZ50,NA())</f>
        <v>0</v>
      </c>
      <c r="BB50" s="127">
        <f>IFERROR(IF(AND($AT$4&gt;=2,$AP$40&gt;0),$AP$40,0),NA())</f>
        <v>0</v>
      </c>
      <c r="BC50" s="133">
        <f>IF(BB50-BA50&lt;0,0,BB50-BA50)</f>
        <v>0</v>
      </c>
      <c r="BD50" s="130">
        <f>BC50+AX50</f>
        <v>2E-3</v>
      </c>
      <c r="BE50" s="130">
        <f>IF(BD50-BA50&lt;0,0,BD50-BA50)</f>
        <v>2E-3</v>
      </c>
      <c r="BF50" s="131">
        <f>BE50/BD50</f>
        <v>1</v>
      </c>
      <c r="BG50" s="126">
        <f>IFERROR((0.1*BD50)/BD50,NA())</f>
        <v>0.1</v>
      </c>
      <c r="BH50" s="126">
        <f>IFERROR((0.1*BD50)/BD50,NA())</f>
        <v>0.1</v>
      </c>
      <c r="BI50" s="126">
        <f>IFERROR((0.2*BD50)/BD50,NA())</f>
        <v>0.2</v>
      </c>
      <c r="BJ50" s="131">
        <f>IFERROR(IF($AT$4&gt;2,0,BF50),NA())</f>
        <v>1</v>
      </c>
      <c r="BK50" s="131">
        <f>IFERROR(IF($AT$4&gt;2,BF50,0),NA())</f>
        <v>0</v>
      </c>
      <c r="BL50" s="128">
        <f>IF(BK50&gt;0,0,BC50/AX50)</f>
        <v>0</v>
      </c>
      <c r="BM50" s="135">
        <f>IF((BD50-BE50)=0,0,(BD50-BE50)/BD50)</f>
        <v>0</v>
      </c>
      <c r="BN50" s="126">
        <f>IFERROR(BF50,"")</f>
        <v>1</v>
      </c>
      <c r="BO50" s="8">
        <f>IFERROR(BA50,"")</f>
        <v>0</v>
      </c>
      <c r="BP50" s="8">
        <f>IFERROR(AX50,"")</f>
        <v>2E-3</v>
      </c>
      <c r="BQ50" s="8" t="str">
        <f>IFERROR(IF(BC50=0,"",BC50),"")</f>
        <v/>
      </c>
    </row>
    <row r="51" spans="29:106" x14ac:dyDescent="0.25">
      <c r="AC51" s="119"/>
      <c r="AD51" s="119"/>
      <c r="AE51" s="119"/>
      <c r="AF51" s="119"/>
      <c r="AG51" s="119"/>
      <c r="AH51" s="119"/>
      <c r="AI51" s="119"/>
      <c r="AJ51" s="210" t="str">
        <f>IF(ISBLANK($C$10),"",$C$10)</f>
        <v>Category7</v>
      </c>
      <c r="AK51" s="210">
        <f t="shared" si="72"/>
        <v>0</v>
      </c>
      <c r="AL51" s="210">
        <f t="shared" si="73"/>
        <v>0</v>
      </c>
      <c r="AM51" s="210">
        <f t="shared" si="74"/>
        <v>0</v>
      </c>
      <c r="AN51" s="210">
        <f t="shared" si="75"/>
        <v>0</v>
      </c>
      <c r="AO51" s="210">
        <f t="shared" si="76"/>
        <v>0</v>
      </c>
      <c r="AP51" s="210">
        <f t="shared" si="77"/>
        <v>0</v>
      </c>
      <c r="AQ51" s="210">
        <f t="shared" si="78"/>
        <v>0</v>
      </c>
      <c r="AR51" s="94">
        <f t="shared" si="71"/>
        <v>0</v>
      </c>
      <c r="AT51" s="8"/>
      <c r="AU51" s="9">
        <f ca="1"/>
        <v>22</v>
      </c>
      <c r="AV51" s="9">
        <f ca="1"/>
        <v>2026</v>
      </c>
      <c r="AW51" s="9" t="str">
        <f ca="1"/>
        <v>Grand Total</v>
      </c>
      <c r="AX51" s="127" t="str">
        <f>T19</f>
        <v/>
      </c>
      <c r="AY51" s="129">
        <f>ABS(AP82)</f>
        <v>0</v>
      </c>
      <c r="AZ51" s="132">
        <f>IFERROR(IF(AND($AT$4&gt;=3,ABS($AP$80)&lt;0),ABS($AP$80),0),NA())</f>
        <v>0</v>
      </c>
      <c r="BA51" s="10">
        <f>IFERROR(AY51+AZ51,NA())</f>
        <v>0</v>
      </c>
      <c r="BB51" s="127">
        <f>IFERROR(IF(AND($AT$4&gt;=3,$AP$79&gt;0),$AP$79,0),NA())</f>
        <v>0</v>
      </c>
      <c r="BC51" s="133">
        <f>IF(BB51-BA51&lt;0,0,BB51-BA51)</f>
        <v>0</v>
      </c>
      <c r="BD51" s="130" t="e">
        <f>BC51+AX51</f>
        <v>#VALUE!</v>
      </c>
      <c r="BE51" s="130" t="e">
        <f>IF(BD51-BA51&lt;0,0,BD51-BA51)</f>
        <v>#VALUE!</v>
      </c>
      <c r="BF51" s="131" t="e">
        <f>BE51/BD51</f>
        <v>#VALUE!</v>
      </c>
      <c r="BG51" s="126" t="e">
        <f>IFERROR((0.1*BD51)/BD51,NA())</f>
        <v>#N/A</v>
      </c>
      <c r="BH51" s="126" t="e">
        <f>IFERROR((0.1*BD51)/BD51,NA())</f>
        <v>#N/A</v>
      </c>
      <c r="BI51" s="126" t="e">
        <f>IFERROR((0.2*BD51)/BD51,NA())</f>
        <v>#N/A</v>
      </c>
      <c r="BJ51" s="131" t="e">
        <f>IFERROR(IF($AT$4&gt;3,0,BF51),NA())</f>
        <v>#N/A</v>
      </c>
      <c r="BK51" s="131">
        <f>IFERROR(IF($AT$4&gt;3,BF51,0),NA())</f>
        <v>0</v>
      </c>
      <c r="BL51" s="128" t="e">
        <f>IF(BK51&gt;0,0,BC51/AX51)</f>
        <v>#VALUE!</v>
      </c>
      <c r="BM51" s="135" t="e">
        <f>IF((BD51-BE51)=0,0,(BD51-BE51)/BD51)</f>
        <v>#VALUE!</v>
      </c>
      <c r="BN51" s="126" t="str">
        <f>IFERROR(BF51,"")</f>
        <v/>
      </c>
      <c r="BO51" s="8">
        <f>IFERROR(BA51,"")</f>
        <v>0</v>
      </c>
      <c r="BP51" s="8" t="str">
        <f>IFERROR(AX51,"")</f>
        <v/>
      </c>
      <c r="BQ51" s="8" t="str">
        <f>IFERROR(IF(BC51=0,"",BC51),"")</f>
        <v/>
      </c>
    </row>
    <row r="52" spans="29:106" x14ac:dyDescent="0.25">
      <c r="AJ52" s="210" t="str">
        <f>IF(ISBLANK($C$11),"",$C$11)</f>
        <v/>
      </c>
      <c r="AK52" s="210">
        <f t="shared" si="72"/>
        <v>0</v>
      </c>
      <c r="AL52" s="210">
        <f t="shared" si="73"/>
        <v>0</v>
      </c>
      <c r="AM52" s="210">
        <f t="shared" si="74"/>
        <v>0</v>
      </c>
      <c r="AN52" s="210">
        <f t="shared" si="75"/>
        <v>0</v>
      </c>
      <c r="AO52" s="210">
        <f t="shared" si="76"/>
        <v>0</v>
      </c>
      <c r="AP52" s="210">
        <f t="shared" si="77"/>
        <v>0</v>
      </c>
      <c r="AQ52" s="210">
        <f t="shared" si="78"/>
        <v>0</v>
      </c>
      <c r="AR52" s="94">
        <f t="shared" si="71"/>
        <v>0</v>
      </c>
      <c r="AT52" s="8"/>
      <c r="AU52" s="9">
        <f ca="1"/>
        <v>23</v>
      </c>
      <c r="AV52" s="9">
        <f ca="1"/>
        <v>2026</v>
      </c>
      <c r="AW52" s="9">
        <f ca="1"/>
        <v>0</v>
      </c>
      <c r="AX52" s="127">
        <f>T20</f>
        <v>0</v>
      </c>
      <c r="AY52" s="129">
        <f>ABS(AP118)</f>
        <v>0</v>
      </c>
      <c r="AZ52" s="132">
        <f>IFERROR(IF(AND($AT$4&gt;=4,ABS($AP$116)&lt;0),ABS($AP$116),0),NA())</f>
        <v>0</v>
      </c>
      <c r="BA52" s="10">
        <f>IFERROR(AY52+AZ52,NA())</f>
        <v>0</v>
      </c>
      <c r="BB52" s="127">
        <f>IFERROR(IF(AND($AT$4&gt;=4,$AP$115&gt;0),$AP$115,0),NA())</f>
        <v>0</v>
      </c>
      <c r="BC52" s="133">
        <f>IF(BB52-BA52&lt;0,0,BB52-BA52)</f>
        <v>0</v>
      </c>
      <c r="BD52" s="130">
        <f>BC52+AX52</f>
        <v>0</v>
      </c>
      <c r="BE52" s="130">
        <f>IF(BD52-BA52&lt;0,0,BD52-BA52)</f>
        <v>0</v>
      </c>
      <c r="BF52" s="131" t="e">
        <f>BE52/BD52</f>
        <v>#DIV/0!</v>
      </c>
      <c r="BG52" s="126" t="e">
        <f>IFERROR((0.1*BD52)/BD52,NA())</f>
        <v>#N/A</v>
      </c>
      <c r="BH52" s="126" t="e">
        <f>IFERROR((0.1*BD52)/BD52,NA())</f>
        <v>#N/A</v>
      </c>
      <c r="BI52" s="126" t="e">
        <f>IFERROR((0.2*BD52)/BD52,NA())</f>
        <v>#N/A</v>
      </c>
      <c r="BJ52" s="131" t="e">
        <f>IFERROR(IF($AT$4&gt;4,0,BF52),NA())</f>
        <v>#N/A</v>
      </c>
      <c r="BK52" s="131">
        <f>IFERROR(IF($AT$4&gt;4,BF52,0),NA())</f>
        <v>0</v>
      </c>
      <c r="BL52" s="128" t="e">
        <f>IF(BK52&gt;0,0,BC52/AX52)</f>
        <v>#DIV/0!</v>
      </c>
      <c r="BM52" s="135">
        <f>IF((BD52-BE52)=0,0,(BD52-BE52)/BD52)</f>
        <v>0</v>
      </c>
      <c r="BN52" s="126" t="str">
        <f>IFERROR(BF52,"")</f>
        <v/>
      </c>
      <c r="BO52" s="8">
        <f>IFERROR(BA52,"")</f>
        <v>0</v>
      </c>
      <c r="BP52" s="8">
        <f>IFERROR(AX52,"")</f>
        <v>0</v>
      </c>
      <c r="BQ52" s="8" t="str">
        <f>IFERROR(IF(BC52=0,"",BC52),"")</f>
        <v/>
      </c>
    </row>
    <row r="53" spans="29:106" x14ac:dyDescent="0.25">
      <c r="AJ53" s="210" t="str">
        <f>IF(ISBLANK($C$12),"",$C$12)</f>
        <v/>
      </c>
      <c r="AK53" s="210">
        <f t="shared" si="72"/>
        <v>0</v>
      </c>
      <c r="AL53" s="210">
        <f t="shared" si="73"/>
        <v>0</v>
      </c>
      <c r="AM53" s="210">
        <f t="shared" si="74"/>
        <v>0</v>
      </c>
      <c r="AN53" s="210">
        <f t="shared" si="75"/>
        <v>0</v>
      </c>
      <c r="AO53" s="210">
        <f t="shared" si="76"/>
        <v>0</v>
      </c>
      <c r="AP53" s="210">
        <f t="shared" si="77"/>
        <v>0</v>
      </c>
      <c r="AQ53" s="210">
        <f t="shared" si="78"/>
        <v>0</v>
      </c>
      <c r="AR53" s="94">
        <f t="shared" si="71"/>
        <v>0</v>
      </c>
      <c r="AT53" s="8"/>
      <c r="AU53" s="9"/>
      <c r="AV53" s="9"/>
      <c r="AW53" s="9"/>
      <c r="AX53" s="127">
        <f>T21</f>
        <v>0</v>
      </c>
      <c r="AY53" s="129">
        <f>ABS(AP151)</f>
        <v>0</v>
      </c>
      <c r="AZ53" s="132">
        <f>IFERROR(IF(AND($AT$4&gt;=5,ABS($AP$149)&lt;0),ABS($AP$149),0),NA())</f>
        <v>0</v>
      </c>
      <c r="BA53" s="10">
        <f>IFERROR(AY53+AZ53,NA())</f>
        <v>0</v>
      </c>
      <c r="BB53" s="127">
        <f>IFERROR(IF(AND($AT$4&gt;=5,$AP$148&gt;0),$AP$148,0),NA())</f>
        <v>0</v>
      </c>
      <c r="BC53" s="133">
        <f>IF(BB53-BA53&lt;0,0,BB53-BA53)</f>
        <v>0</v>
      </c>
      <c r="BD53" s="130">
        <f>BC53+AX53</f>
        <v>0</v>
      </c>
      <c r="BE53" s="130">
        <f>IF(BD53-BA53&lt;0,0,BD53-BA53)</f>
        <v>0</v>
      </c>
      <c r="BF53" s="131" t="e">
        <f>BE53/BD53</f>
        <v>#DIV/0!</v>
      </c>
      <c r="BG53" s="126" t="e">
        <f>IFERROR((0.1*BD53)/BD53,NA())</f>
        <v>#N/A</v>
      </c>
      <c r="BH53" s="126" t="e">
        <f>IFERROR((0.1*BD53)/BD53,NA())</f>
        <v>#N/A</v>
      </c>
      <c r="BI53" s="126" t="e">
        <f>IFERROR((0.2*BD53)/BD53,NA())</f>
        <v>#N/A</v>
      </c>
      <c r="BJ53" s="131" t="e">
        <f>IFERROR(IF($AT$4&gt;5,0,BF53),NA())</f>
        <v>#N/A</v>
      </c>
      <c r="BK53" s="131">
        <f>IFERROR(IF($AT$4&gt;5,BF53,0),NA())</f>
        <v>0</v>
      </c>
      <c r="BL53" s="128" t="e">
        <f>IF(BK53&gt;0,0,BC53/AX53)</f>
        <v>#DIV/0!</v>
      </c>
      <c r="BM53" s="135">
        <f>IF((BD53-BE53)=0,0,(BD53-BE53)/BD53)</f>
        <v>0</v>
      </c>
      <c r="BN53" s="126" t="str">
        <f>IFERROR(BF53,"")</f>
        <v/>
      </c>
      <c r="BO53" s="8">
        <f>IFERROR(BA53,"")</f>
        <v>0</v>
      </c>
      <c r="BP53" s="8">
        <f>IFERROR(AX53,"")</f>
        <v>0</v>
      </c>
      <c r="BQ53" s="8" t="str">
        <f>IFERROR(IF(BC53=0,"",BC53),"")</f>
        <v/>
      </c>
      <c r="CY53" s="126" t="str">
        <f>IF(CY57&lt;&gt;"",DB57,"")</f>
        <v/>
      </c>
      <c r="CZ53" s="9"/>
      <c r="DA53" s="9" t="s">
        <v>14</v>
      </c>
      <c r="DB53" s="9">
        <f>IFERROR(IF(AT4&gt;4,CS8+CS12,0),0)</f>
        <v>0</v>
      </c>
    </row>
    <row r="54" spans="29:106" ht="12" thickBot="1" x14ac:dyDescent="0.3">
      <c r="AC54" s="119"/>
      <c r="AD54" s="119"/>
      <c r="AE54" s="119"/>
      <c r="AF54" s="119"/>
      <c r="AG54" s="119"/>
      <c r="AH54" s="119"/>
      <c r="AI54" s="119"/>
      <c r="AJ54" s="210" t="str">
        <f>IF(ISBLANK($C$13),"",$C$13)</f>
        <v/>
      </c>
      <c r="AK54" s="210">
        <f t="shared" si="72"/>
        <v>0</v>
      </c>
      <c r="AL54" s="210">
        <f t="shared" si="73"/>
        <v>0</v>
      </c>
      <c r="AM54" s="210">
        <f t="shared" si="74"/>
        <v>0</v>
      </c>
      <c r="AN54" s="210">
        <f t="shared" si="75"/>
        <v>0</v>
      </c>
      <c r="AO54" s="210">
        <f t="shared" si="76"/>
        <v>0</v>
      </c>
      <c r="AP54" s="210">
        <f t="shared" si="77"/>
        <v>0</v>
      </c>
      <c r="AQ54" s="210">
        <f t="shared" si="78"/>
        <v>0</v>
      </c>
      <c r="AR54" s="94">
        <f t="shared" si="71"/>
        <v>0</v>
      </c>
      <c r="AT54" s="304" cm="1">
        <f t="array" ref="AT54">_xlfn.IFS($AT$4=1,BO49,$AT$4=2,BO50,$AT$4=3,BO51,$AT$4=4,BO52,$AT$4=5,BO53)</f>
        <v>2.0000000000000001E-4</v>
      </c>
      <c r="AU54" s="304" cm="1">
        <f t="array" ref="AU54">_xlfn.IFS($AT$4=1,BP49,$AT$4=2,BP50,$AT$4=3,BP51,$AT$4=4,BP52,$AT$4=5,BP53)</f>
        <v>2E-3</v>
      </c>
      <c r="AV54" s="8" t="str">
        <f>IF(AU54&lt;&gt;"","/ "&amp;AU54&amp;WB_Data!EJ2,"")</f>
        <v>/ 0.002$</v>
      </c>
      <c r="AW54" s="303" cm="1">
        <f t="array" ref="AW54">_xlfn.IFS($AT$4=1,BQ49,$AT$4=2,BQ50,$AT$4=3,BQ51,$AT$4=4,BQ52,$AT$4=5,BQ53)</f>
        <v>0</v>
      </c>
      <c r="AX54" s="85" t="str">
        <f>IF(AW54="","","Extra")</f>
        <v>Extra</v>
      </c>
      <c r="CY54" s="9" t="str">
        <f>IF(DB57&gt;1,CY62,IF(AND($AT$4&gt;4,CY57&lt;&gt;""),CY62,""))</f>
        <v/>
      </c>
      <c r="CZ54" s="9"/>
      <c r="DA54" s="9" t="s">
        <v>168</v>
      </c>
      <c r="DB54" s="9">
        <f>IF(DB53&lt;0,ABS(DB53),0)</f>
        <v>0</v>
      </c>
    </row>
    <row r="55" spans="29:106" ht="12" thickBot="1" x14ac:dyDescent="0.3">
      <c r="AJ55" s="210" t="str">
        <f>IF(ISBLANK($C$14),"",$C$14)</f>
        <v/>
      </c>
      <c r="AK55" s="210">
        <f t="shared" si="72"/>
        <v>0</v>
      </c>
      <c r="AL55" s="210">
        <f t="shared" si="73"/>
        <v>0</v>
      </c>
      <c r="AM55" s="210">
        <f t="shared" si="74"/>
        <v>0</v>
      </c>
      <c r="AN55" s="210">
        <f t="shared" si="75"/>
        <v>0</v>
      </c>
      <c r="AO55" s="210">
        <f t="shared" si="76"/>
        <v>0</v>
      </c>
      <c r="AP55" s="210">
        <f t="shared" si="77"/>
        <v>0</v>
      </c>
      <c r="AQ55" s="210">
        <f t="shared" si="78"/>
        <v>0</v>
      </c>
      <c r="AR55" s="94">
        <f t="shared" si="71"/>
        <v>0</v>
      </c>
      <c r="CX55" s="188" t="str">
        <f ca="1">IF(CY55&lt;&gt;"",CX1,"")</f>
        <v/>
      </c>
      <c r="CY55" s="144" t="str">
        <f ca="1">E21</f>
        <v/>
      </c>
      <c r="CZ55" s="9"/>
      <c r="DA55" s="9" t="s">
        <v>167</v>
      </c>
      <c r="DB55" s="9">
        <f>IF(DB53&gt;0,DB53,0)</f>
        <v>0</v>
      </c>
    </row>
    <row r="56" spans="29:106" x14ac:dyDescent="0.25">
      <c r="AC56" s="119"/>
      <c r="AD56" s="119"/>
      <c r="AE56" s="119"/>
      <c r="AF56" s="119"/>
      <c r="AG56" s="119"/>
      <c r="AH56" s="119"/>
      <c r="AI56" s="119"/>
      <c r="AJ56" s="210" t="s">
        <v>144</v>
      </c>
      <c r="AK56" s="210">
        <f t="shared" ref="AK56:AQ56" si="79">SUM(AK45:AK55)</f>
        <v>0</v>
      </c>
      <c r="AL56" s="210">
        <f t="shared" si="79"/>
        <v>0</v>
      </c>
      <c r="AM56" s="210">
        <f t="shared" si="79"/>
        <v>0</v>
      </c>
      <c r="AN56" s="210">
        <f t="shared" si="79"/>
        <v>0</v>
      </c>
      <c r="AO56" s="210">
        <f t="shared" si="79"/>
        <v>0</v>
      </c>
      <c r="AP56" s="210">
        <f t="shared" si="79"/>
        <v>0</v>
      </c>
      <c r="AQ56" s="210">
        <f t="shared" si="79"/>
        <v>0</v>
      </c>
      <c r="AR56" s="94"/>
      <c r="CY56" s="9" t="s">
        <v>14</v>
      </c>
      <c r="CZ56" s="9" cm="1">
        <f t="array" ref="CZ56">IFERROR(_xlfn.IFS(DB55&gt;0,0%,(DB54/CZ57)&gt;1.4,1.4,DB54&gt;=0,(DB54/CZ57)),0)</f>
        <v>0</v>
      </c>
      <c r="DA56" s="9"/>
      <c r="DB56" s="9" t="s">
        <v>169</v>
      </c>
    </row>
    <row r="57" spans="29:106" x14ac:dyDescent="0.25">
      <c r="AC57" s="119"/>
      <c r="AD57" s="119"/>
      <c r="AE57" s="119"/>
      <c r="AF57" s="119"/>
      <c r="AG57" s="119"/>
      <c r="AH57" s="119"/>
      <c r="AI57" s="119"/>
      <c r="AJ57" s="36" t="s">
        <v>163</v>
      </c>
      <c r="AK57" s="36">
        <f>IFERROR(IF($AA$4=3,($AR$45/$AJ$44)*$AE$3,($AR$45/$AJ$44)*$AE4*$AE$3),0)</f>
        <v>0</v>
      </c>
      <c r="AL57" s="36">
        <f>IFERROR(IF($AA$5=3,($AR$46/$AJ$44)*$AE$3,($AR$46/$AJ$44)*$AE5*$AE$3),0)</f>
        <v>0</v>
      </c>
      <c r="AM57" s="36">
        <f>IFERROR(IF($AA$6=3,($AR$47/$AJ$44)*$AE$3,($AR$47/$AJ$44)*$AE6*$AE$3),0)</f>
        <v>0</v>
      </c>
      <c r="AN57" s="36">
        <f>IFERROR(IF($AA$7=3,($AR$48/$AJ$44)*$AE$3,($AR$48/$AJ$44)*$AE7*$AE$3),0)</f>
        <v>0</v>
      </c>
      <c r="AO57" s="36">
        <f>IFERROR(IF($AA$8=3,($AR49/$AJ$44)*$AE$3,($AR49/$AJ$44)*$AE8*$AE$3),0)</f>
        <v>0</v>
      </c>
      <c r="AP57" s="36">
        <f>IFERROR(IF($AA$9=3,($AR$50/$AJ$44)*$AE$3,($AR$50/$AJ$44)*$AE9*$AE$3),0)</f>
        <v>0</v>
      </c>
      <c r="AQ57" s="36">
        <f>IFERROR(IF($AA10=3,($AR$51/$AJ$44)*$AE$3,($AR$51/$AJ$44)*$AE$10*$AE$3),0)</f>
        <v>0</v>
      </c>
      <c r="AR57" s="206">
        <f>SUM(AK57:AQ57)</f>
        <v>0</v>
      </c>
      <c r="AT57" s="8">
        <f>$AT$2</f>
        <v>20</v>
      </c>
      <c r="AU57" s="8" t="str">
        <f>CONCATENATE("G17:G"&amp;AT57)</f>
        <v>G17:G20</v>
      </c>
      <c r="AV57" s="9" t="str">
        <f>CONCATENATE("H17:H"&amp;AT57)</f>
        <v>H17:H20</v>
      </c>
      <c r="AW57" s="8" t="str">
        <f>CONCATENATE("I17:I"&amp;AT57)</f>
        <v>I17:I20</v>
      </c>
      <c r="AX57" s="127" t="s">
        <v>105</v>
      </c>
      <c r="AY57" s="129" t="s">
        <v>14</v>
      </c>
      <c r="AZ57" s="9" t="s">
        <v>153</v>
      </c>
      <c r="BA57" s="10" t="s">
        <v>152</v>
      </c>
      <c r="BB57" s="9" t="s">
        <v>154</v>
      </c>
      <c r="BC57" s="133" t="s">
        <v>155</v>
      </c>
      <c r="BD57" s="130" t="s">
        <v>156</v>
      </c>
      <c r="BE57" s="130" t="s">
        <v>151</v>
      </c>
      <c r="BF57" s="130" t="s">
        <v>151</v>
      </c>
      <c r="BG57" s="9" t="s">
        <v>147</v>
      </c>
      <c r="BH57" s="9" t="s">
        <v>148</v>
      </c>
      <c r="BI57" s="9" t="s">
        <v>149</v>
      </c>
      <c r="BJ57" s="130" t="s">
        <v>159</v>
      </c>
      <c r="BK57" s="130" t="s">
        <v>158</v>
      </c>
      <c r="BL57" s="127" t="s">
        <v>157</v>
      </c>
      <c r="BM57" s="132" t="s">
        <v>150</v>
      </c>
      <c r="CY57" s="9" t="str">
        <f>F21</f>
        <v/>
      </c>
      <c r="CZ57" s="9">
        <f>CT19</f>
        <v>0</v>
      </c>
      <c r="DA57" s="126">
        <v>0</v>
      </c>
      <c r="DB57" s="126">
        <f>CZ56</f>
        <v>0</v>
      </c>
    </row>
    <row r="58" spans="29:106" x14ac:dyDescent="0.25">
      <c r="AC58" s="119"/>
      <c r="AD58" s="119"/>
      <c r="AE58" s="119"/>
      <c r="AF58" s="119"/>
      <c r="AG58" s="119"/>
      <c r="AH58" s="119"/>
      <c r="AI58" s="119"/>
      <c r="AJ58" s="37" t="s">
        <v>164</v>
      </c>
      <c r="AK58" s="37">
        <f>IFERROR(IF($AA$4=3,($AR$45/$AJ$44)*$AG$3,($AR$45/$AJ$44)*$AG4*$AG$3),0)</f>
        <v>0</v>
      </c>
      <c r="AL58" s="37">
        <f>IFERROR(IF($AA$5=3,($AR$46/$AJ$44)*$AG$3,($AR$46/$AJ$44)*$AG5*$AG$3),0)</f>
        <v>0</v>
      </c>
      <c r="AM58" s="37">
        <f>IFERROR(IF($AA$6=3,($AR$47/$AJ$44)*$AG$3,($AR$47/$AJ$44)*$AG6*$AG$3),0)</f>
        <v>0</v>
      </c>
      <c r="AN58" s="37">
        <f>IFERROR(IF($AA$7=3,($AR$48/$AJ$44)*$AG$3,($AR$48/$AJ$44)*$AG7*$AG$3),0)</f>
        <v>0</v>
      </c>
      <c r="AO58" s="37">
        <f>IFERROR(IF($AA$8=3,($AR$49/$AJ$44)*$AG$3,($AR$49/$AJ$44)*$AG8*$AG$3),0)</f>
        <v>0</v>
      </c>
      <c r="AP58" s="37">
        <f>IFERROR(IF($AA$9=3,($AR$50/$AJ$44)*$AG$3,($AR$50/$AJ$44)*$AG9*$AG$3),0)</f>
        <v>0</v>
      </c>
      <c r="AQ58" s="37">
        <f>IFERROR(IF($AA10=3,($AR$51/$AJ$44)*$AG$3,($AR$51/$AJ$44)*$AG$10*$AG$3),0)</f>
        <v>0</v>
      </c>
      <c r="AR58" s="207">
        <f>SUM(AK58:AQ58)</f>
        <v>0</v>
      </c>
      <c r="AT58" s="9" t="str">
        <f>AQ3</f>
        <v>Category7</v>
      </c>
      <c r="AU58" s="9" cm="1">
        <f t="array" aca="1" ref="AU58:AU61" ca="1">INDIRECT(AU57)</f>
        <v>11</v>
      </c>
      <c r="AV58" s="9" cm="1">
        <f t="array" aca="1" ref="AV58:AV61" ca="1">INDIRECT(AV57)</f>
        <v>2025</v>
      </c>
      <c r="AW58" s="9" t="str" cm="1">
        <f t="array" aca="1" ref="AW58:AW61" ca="1">INDIRECT(AW57)</f>
        <v>Qtr1</v>
      </c>
      <c r="AX58" s="127">
        <f>V17</f>
        <v>2E-3</v>
      </c>
      <c r="AY58" s="129">
        <f>ABS(AQ2)</f>
        <v>2.0000000000000001E-4</v>
      </c>
      <c r="AZ58" s="9"/>
      <c r="BA58" s="10">
        <f>IFERROR(AY58+AZ58,NA())</f>
        <v>2.0000000000000001E-4</v>
      </c>
      <c r="BB58" s="9"/>
      <c r="BC58" s="133">
        <f>IF(BB58-BA58&lt;0,0,BB58-BA58)</f>
        <v>0</v>
      </c>
      <c r="BD58" s="130">
        <f>BC58+AX58</f>
        <v>2E-3</v>
      </c>
      <c r="BE58" s="130">
        <f>IF(BD58-BA58&lt;0,0,BD58-BA58)</f>
        <v>1.8E-3</v>
      </c>
      <c r="BF58" s="131">
        <f>BE58/BD58</f>
        <v>0.89999999999999991</v>
      </c>
      <c r="BG58" s="126">
        <f>IFERROR((0.1*BD58)/BD58,NA())</f>
        <v>0.1</v>
      </c>
      <c r="BH58" s="126">
        <f>IFERROR((0.1*BD58)/BD58,NA())</f>
        <v>0.1</v>
      </c>
      <c r="BI58" s="126">
        <f>IFERROR((0.2*BD58)/BD58,NA())</f>
        <v>0.2</v>
      </c>
      <c r="BJ58" s="131">
        <f>IFERROR(IF($AT$4&gt;1,0,BF58),NA())</f>
        <v>0.89999999999999991</v>
      </c>
      <c r="BK58" s="131">
        <f>IFERROR(IF($AT$4&gt;1,BF58,0),NA())</f>
        <v>0</v>
      </c>
      <c r="BL58" s="128">
        <f>IF(BK58&gt;0,0,BC58/AX58)</f>
        <v>0</v>
      </c>
      <c r="BM58" s="135">
        <f>IF((BD58-BE58)=0,0,(BD58-BE58)/BD58)</f>
        <v>0.10000000000000005</v>
      </c>
      <c r="BN58" s="126">
        <f>IFERROR(BF58,"")</f>
        <v>0.89999999999999991</v>
      </c>
      <c r="BO58" s="8">
        <f>IFERROR(BA58,"")</f>
        <v>2.0000000000000001E-4</v>
      </c>
      <c r="BP58" s="8">
        <f>IFERROR(AX58,"")</f>
        <v>2E-3</v>
      </c>
      <c r="BQ58" s="117"/>
      <c r="CY58" s="9" t="s">
        <v>184</v>
      </c>
      <c r="CZ58" s="9"/>
      <c r="DA58" s="126">
        <v>1</v>
      </c>
      <c r="DB58" s="126">
        <v>0.01</v>
      </c>
    </row>
    <row r="59" spans="29:106" x14ac:dyDescent="0.25">
      <c r="AC59" s="119"/>
      <c r="AD59" s="119"/>
      <c r="AE59" s="119"/>
      <c r="AF59" s="119"/>
      <c r="AG59" s="119"/>
      <c r="AH59" s="119"/>
      <c r="AI59" s="119"/>
      <c r="AJ59" s="198" t="s">
        <v>165</v>
      </c>
      <c r="AK59" s="198">
        <f>IFERROR(IF($AA$4=3,($AR$45/$AJ$44)*$AI$3,($AR$45/$AJ$44)*$AI4*$AI$3),0)</f>
        <v>0</v>
      </c>
      <c r="AL59" s="198">
        <f>IFERROR(IF($AA$5=3,($AR$46/$AJ$44)*$AI$3,($AR$46/$AJ$44)*$AI5*$AI$3),0)</f>
        <v>0</v>
      </c>
      <c r="AM59" s="198">
        <f>IFERROR(IF($AA$6=3,($AR$47/$AJ$44)*$AI$3,($AR$47/$AJ$44)*$AI6*$AI$3),0)</f>
        <v>0</v>
      </c>
      <c r="AN59" s="198">
        <f>IFERROR(IF($AA$7=3,($AR$48/$AJ$44)*$AI$3,($AR$48/$AJ$44)*$AI7*$AI$3),0)</f>
        <v>0</v>
      </c>
      <c r="AO59" s="198">
        <f>IFERROR(IF($AA$8=3,($AR$49/$AJ$44)*$AI$3,($AR$49/$AJ$44)*$AI8*$AI$3),0)</f>
        <v>0</v>
      </c>
      <c r="AP59" s="198">
        <f>IFERROR(IF($AA$9=3,($AR$50/$AJ$44)*$AI$3,($AR$50/$AJ$44)*$AI9*$AI$3),0)</f>
        <v>0</v>
      </c>
      <c r="AQ59" s="198">
        <f>IFERROR(IF($AA10=3,($AR$51/$AJ$44)*$AI$3,($AR$51/$AJ$44)*$AI$10*$AI$3),0)</f>
        <v>0</v>
      </c>
      <c r="AR59" s="208">
        <f>SUM(AK59:AQ59)</f>
        <v>0</v>
      </c>
      <c r="AT59" s="8"/>
      <c r="AU59" s="9">
        <f ca="1"/>
        <v>21</v>
      </c>
      <c r="AV59" s="9">
        <f ca="1"/>
        <v>2026</v>
      </c>
      <c r="AW59" s="9" t="str">
        <f ca="1"/>
        <v>Qtr1</v>
      </c>
      <c r="AX59" s="127">
        <f>V18</f>
        <v>2E-3</v>
      </c>
      <c r="AY59" s="129">
        <f>ABS(AQ43)</f>
        <v>0</v>
      </c>
      <c r="AZ59" s="132">
        <f>IFERROR(IF(AND($AT$4&gt;=2,ABS($AQ$41)&lt;0),ABS($AQ$41),0),NA())</f>
        <v>0</v>
      </c>
      <c r="BA59" s="10">
        <f>IFERROR(AY59+AZ59,NA())</f>
        <v>0</v>
      </c>
      <c r="BB59" s="127">
        <f>IFERROR(IF(AND($AT$4&gt;=2,$AQ$40&gt;0),$AQ$40,0),NA())</f>
        <v>0</v>
      </c>
      <c r="BC59" s="133">
        <f>IF(BB59-BA59&lt;0,0,BB59-BA59)</f>
        <v>0</v>
      </c>
      <c r="BD59" s="130">
        <f>BC59+AX59</f>
        <v>2E-3</v>
      </c>
      <c r="BE59" s="130">
        <f>IF(BD59-BA59&lt;0,0,BD59-BA59)</f>
        <v>2E-3</v>
      </c>
      <c r="BF59" s="131">
        <f>BE59/BD59</f>
        <v>1</v>
      </c>
      <c r="BG59" s="126">
        <f>IFERROR((0.1*BD59)/BD59,NA())</f>
        <v>0.1</v>
      </c>
      <c r="BH59" s="126">
        <f>IFERROR((0.1*BD59)/BD59,NA())</f>
        <v>0.1</v>
      </c>
      <c r="BI59" s="126">
        <f>IFERROR((0.2*BD59)/BD59,NA())</f>
        <v>0.2</v>
      </c>
      <c r="BJ59" s="131">
        <f>IFERROR(IF($AT$4&gt;2,0,BF59),NA())</f>
        <v>1</v>
      </c>
      <c r="BK59" s="131">
        <f>IFERROR(IF($AT$4&gt;2,BF59,0),NA())</f>
        <v>0</v>
      </c>
      <c r="BL59" s="128">
        <f>IF(BK59&gt;0,0,BC59/AX59)</f>
        <v>0</v>
      </c>
      <c r="BM59" s="135">
        <f>IF((BD59-BE59)=0,0,(BD59-BE59)/BD59)</f>
        <v>0</v>
      </c>
      <c r="BN59" s="126">
        <f>IFERROR(BF59,"")</f>
        <v>1</v>
      </c>
      <c r="BO59" s="8">
        <f>IFERROR(BA59,"")</f>
        <v>0</v>
      </c>
      <c r="BP59" s="8">
        <f>IFERROR(AX59,"")</f>
        <v>2E-3</v>
      </c>
      <c r="BQ59" s="8" t="str">
        <f>IFERROR(IF(BC59=0,"",BC59),"")</f>
        <v/>
      </c>
      <c r="CY59" s="9" t="s">
        <v>185</v>
      </c>
      <c r="CZ59" s="9"/>
      <c r="DA59" s="126">
        <v>0.1</v>
      </c>
      <c r="DB59" s="126">
        <f>(SUM(DA57:DA62)-DB57)+DB60</f>
        <v>3.2</v>
      </c>
    </row>
    <row r="60" spans="29:106" x14ac:dyDescent="0.25">
      <c r="AC60" s="119"/>
      <c r="AD60" s="119"/>
      <c r="AE60" s="119"/>
      <c r="AF60" s="119"/>
      <c r="AG60" s="119"/>
      <c r="AH60" s="119"/>
      <c r="AI60" s="119"/>
      <c r="AJ60" s="39" t="str">
        <f>IF(ISBLANK($C$4),"",$C$4)</f>
        <v>Category1</v>
      </c>
      <c r="AK60" s="39">
        <f>IFERROR(IF($AK$43&lt;$AK$42,IF(AND(AJ60=$AK$44,AA4=3),($AK$42-$AK$43),IF(AND(AA4=2,$AA$4&lt;&gt;3),$AK$42-$AK$43,0)),0),0)</f>
        <v>0</v>
      </c>
      <c r="AL60" s="39">
        <f>IFERROR(IF($AL$43&lt;$AL$42,IF(AND(AJ60=$AL$44,AA4=3),($AL$42-$AL$43),IF(AND(AA4=2,$AA$5&lt;&gt;3),$AL$42-$AL$43,0)),0),0)</f>
        <v>0</v>
      </c>
      <c r="AM60" s="39">
        <f>IFERROR(IF($AM$43&lt;$AM$42,IF(AND(AJ60=$AM$44,AA4=3),($AM$42-$AM$43),IF(AND(AA4=2,$AA$6&lt;&gt;3),$AM$42-$AM$43,0)),0),0)</f>
        <v>0</v>
      </c>
      <c r="AN60" s="39">
        <f>IFERROR(IF($AN$43&lt;$AN$42,IF(AND(AJ60=$AN$44,AA4=3),($AN$42-$AN$43),IF(AND(AA4=2,$AA$7&lt;&gt;3),$AN$42-$AN$43,0)),0),0)</f>
        <v>0</v>
      </c>
      <c r="AO60" s="39">
        <f>IFERROR(IF($AO$43&lt;$AO$42,IF(AND(AJ60=$AO$44,AA4=3),($AO$42-$AO$43),IF(AND(AA4=2,$AA$8&lt;&gt;3),$AO$42-$AO$43,0)),0),0)</f>
        <v>0</v>
      </c>
      <c r="AP60" s="39">
        <f>IFERROR(IF($AP$43&lt;$AP$42,IF(AND(AJ60=$AP$44,AA4=3),($AP$42-$AP$43),IF(AND(AA4=2,$AA$9&lt;&gt;3),$AP$42-$AP$43,0)),0),0)</f>
        <v>0</v>
      </c>
      <c r="AQ60" s="39">
        <f>IFERROR(IF($AQ$43&lt;$AQ$42,IF(AND(AJ60=$AQ$44,AA4=3),($AQ$42-$AQ$43),IF(AND(AA4=2,$AA$10&lt;&gt;3),$AQ$42-$AQ$43,0)),0),0)</f>
        <v>0</v>
      </c>
      <c r="AR60" s="122">
        <f t="shared" ref="AR60:AR70" si="80">IF($AT$4&gt;2,SUM(AK60:AQ60),0)</f>
        <v>0</v>
      </c>
      <c r="AT60" s="8"/>
      <c r="AU60" s="9">
        <f ca="1"/>
        <v>22</v>
      </c>
      <c r="AV60" s="9">
        <f ca="1"/>
        <v>2026</v>
      </c>
      <c r="AW60" s="9" t="str">
        <f ca="1"/>
        <v>Grand Total</v>
      </c>
      <c r="AX60" s="127" t="str">
        <f>V19</f>
        <v/>
      </c>
      <c r="AY60" s="129">
        <f>ABS(AQ82)</f>
        <v>0</v>
      </c>
      <c r="AZ60" s="132">
        <f>IFERROR(IF(AND($AT$4&gt;=3,ABS($AQ$80)&lt;0),ABS($AQ$80),0),NA())</f>
        <v>0</v>
      </c>
      <c r="BA60" s="10">
        <f>IFERROR(AY60+AZ60,NA())</f>
        <v>0</v>
      </c>
      <c r="BB60" s="127">
        <f>IFERROR(IF(AND($AT$4&gt;=3,$AQ$79&gt;0),$AQ$79,0),NA())</f>
        <v>0</v>
      </c>
      <c r="BC60" s="133">
        <f>IF(BB60-BA60&lt;0,0,BB60-BA60)</f>
        <v>0</v>
      </c>
      <c r="BD60" s="130" t="e">
        <f>BC60+AX60</f>
        <v>#VALUE!</v>
      </c>
      <c r="BE60" s="130" t="e">
        <f>IF(BD60-BA60&lt;0,0,BD60-BA60)</f>
        <v>#VALUE!</v>
      </c>
      <c r="BF60" s="131" t="e">
        <f>BE60/BD60</f>
        <v>#VALUE!</v>
      </c>
      <c r="BG60" s="126" t="e">
        <f>IFERROR((0.1*BD60)/BD60,NA())</f>
        <v>#N/A</v>
      </c>
      <c r="BH60" s="126" t="e">
        <f>IFERROR((0.1*BD60)/BD60,NA())</f>
        <v>#N/A</v>
      </c>
      <c r="BI60" s="126" t="e">
        <f>IFERROR((0.2*BD60)/BD60,NA())</f>
        <v>#N/A</v>
      </c>
      <c r="BJ60" s="131" t="e">
        <f>IFERROR(IF($AT$4&gt;3,0,BF60),NA())</f>
        <v>#N/A</v>
      </c>
      <c r="BK60" s="131">
        <f>IFERROR(IF($AT$4&gt;3,BF60,0),NA())</f>
        <v>0</v>
      </c>
      <c r="BL60" s="128" t="e">
        <f>IF(BK60&gt;0,0,BC60/AX60)</f>
        <v>#VALUE!</v>
      </c>
      <c r="BM60" s="135" t="e">
        <f>IF((BD60-BE60)=0,0,(BD60-BE60)/BD60)</f>
        <v>#VALUE!</v>
      </c>
      <c r="BN60" s="126" t="str">
        <f>IFERROR(BF60,"")</f>
        <v/>
      </c>
      <c r="BO60" s="8">
        <f>IFERROR(BA60,"")</f>
        <v>0</v>
      </c>
      <c r="BP60" s="8" t="str">
        <f>IFERROR(AX60,"")</f>
        <v/>
      </c>
      <c r="BQ60" s="8" t="str">
        <f>IFERROR(IF(BC60=0,"",BC60),"")</f>
        <v/>
      </c>
      <c r="CY60" s="9" t="s">
        <v>186</v>
      </c>
      <c r="CZ60" s="9"/>
      <c r="DA60" s="126">
        <v>0.2</v>
      </c>
      <c r="DB60" s="9" t="b">
        <f>IF(DB57&gt;1.1,(1-DB57))</f>
        <v>0</v>
      </c>
    </row>
    <row r="61" spans="29:106" x14ac:dyDescent="0.25">
      <c r="AC61" s="119"/>
      <c r="AD61" s="119"/>
      <c r="AE61" s="119"/>
      <c r="AF61" s="119"/>
      <c r="AG61" s="119"/>
      <c r="AH61" s="119"/>
      <c r="AI61" s="119"/>
      <c r="AJ61" s="39" t="str">
        <f>IF(ISBLANK($C$5),"",$C$5)</f>
        <v>Category2</v>
      </c>
      <c r="AK61" s="39">
        <f t="shared" ref="AK61:AK70" si="81">IFERROR(IF($AK$43&lt;$AK$42,IF(AND(AJ61=$AK$44,AA5=3),($AK$42-$AK$43),IF(AND(AA5=2,$AA$4&lt;&gt;3),$AK$42-$AK$43,0)),0),0)</f>
        <v>2E-3</v>
      </c>
      <c r="AL61" s="39">
        <f t="shared" ref="AL61:AL70" si="82">IFERROR(IF($AL$43&lt;$AL$42,IF(AND(AJ61=$AL$44,AA5=3),($AL$42-$AL$43),IF(AND(AA5=2,$AA$5&lt;&gt;3),$AL$42-$AL$43,0)),0),0)</f>
        <v>2E-3</v>
      </c>
      <c r="AM61" s="39">
        <f t="shared" ref="AM61:AM70" si="83">IFERROR(IF($AM$43&lt;$AM$42,IF(AND(AJ61=$AM$44,AA5=3),($AM$42-$AM$43),IF(AND(AA5=2,$AA$6&lt;&gt;3),$AM$42-$AM$43,0)),0),0)</f>
        <v>2E-3</v>
      </c>
      <c r="AN61" s="39">
        <f t="shared" ref="AN61:AN70" si="84">IFERROR(IF($AN$43&lt;$AN$42,IF(AND(AJ61=$AN$44,AA5=3),($AN$42-$AN$43),IF(AND(AA5=2,$AA$7&lt;&gt;3),$AN$42-$AN$43,0)),0),0)</f>
        <v>2E-3</v>
      </c>
      <c r="AO61" s="39">
        <f t="shared" ref="AO61:AO70" si="85">IFERROR(IF($AO$43&lt;$AO$42,IF(AND(AJ61=$AO$44,AA5=3),($AO$42-$AO$43),IF(AND(AA5=2,$AA$8&lt;&gt;3),$AO$42-$AO$43,0)),0),0)</f>
        <v>2E-3</v>
      </c>
      <c r="AP61" s="39">
        <f t="shared" ref="AP61:AP70" si="86">IFERROR(IF($AP$43&lt;$AP$42,IF(AND(AJ61=$AP$44,AA5=3),($AP$42-$AP$43),IF(AND(AA5=2,$AA$9&lt;&gt;3),$AP$42-$AP$43,0)),0),0)</f>
        <v>2E-3</v>
      </c>
      <c r="AQ61" s="39">
        <f t="shared" ref="AQ61:AQ70" si="87">IFERROR(IF($AQ$43&lt;$AQ$42,IF(AND(AJ61=$AQ$44,AA5=3),($AQ$42-$AQ$43),IF(AND(AA5=2,$AA$10&lt;&gt;3),$AQ$42-$AQ$43,0)),0),0)</f>
        <v>0</v>
      </c>
      <c r="AR61" s="122">
        <f t="shared" si="80"/>
        <v>0</v>
      </c>
      <c r="AT61" s="8"/>
      <c r="AU61" s="9">
        <f ca="1"/>
        <v>23</v>
      </c>
      <c r="AV61" s="9">
        <f ca="1"/>
        <v>2026</v>
      </c>
      <c r="AW61" s="9">
        <f ca="1"/>
        <v>0</v>
      </c>
      <c r="AX61" s="127">
        <f>V20</f>
        <v>0</v>
      </c>
      <c r="AY61" s="129">
        <f>ABS(AQ118)</f>
        <v>0</v>
      </c>
      <c r="AZ61" s="132">
        <f>IFERROR(IF(AND($AT$4&gt;=4,ABS($AQ$116)&lt;0),ABS($AQ$116),0),NA())</f>
        <v>0</v>
      </c>
      <c r="BA61" s="10">
        <f>IFERROR(AY61+AZ61,NA())</f>
        <v>0</v>
      </c>
      <c r="BB61" s="127">
        <f>IFERROR(IF(AND($AT$4&gt;=4,$AQ$115&gt;0),$AQ$115,0),NA())</f>
        <v>0</v>
      </c>
      <c r="BC61" s="133">
        <f>IF(BB61-BA61&lt;0,0,BB61-BA61)</f>
        <v>0</v>
      </c>
      <c r="BD61" s="130">
        <f>BC61+AX61</f>
        <v>0</v>
      </c>
      <c r="BE61" s="130">
        <f>IF(BD61-BA61&lt;0,0,BD61-BA61)</f>
        <v>0</v>
      </c>
      <c r="BF61" s="131" t="e">
        <f>BE61/BD61</f>
        <v>#DIV/0!</v>
      </c>
      <c r="BG61" s="126" t="e">
        <f>IFERROR((0.1*BD61)/BD61,NA())</f>
        <v>#N/A</v>
      </c>
      <c r="BH61" s="126" t="e">
        <f>IFERROR((0.1*BD61)/BD61,NA())</f>
        <v>#N/A</v>
      </c>
      <c r="BI61" s="126" t="e">
        <f>IFERROR((0.2*BD61)/BD61,NA())</f>
        <v>#N/A</v>
      </c>
      <c r="BJ61" s="131" t="e">
        <f>IFERROR(IF($AT$4&gt;4,0,BF61),NA())</f>
        <v>#N/A</v>
      </c>
      <c r="BK61" s="131">
        <f>IFERROR(IF($AT$4&gt;4,BF61,0),NA())</f>
        <v>0</v>
      </c>
      <c r="BL61" s="128" t="e">
        <f>IF(BK61&gt;0,0,BC61/AX61)</f>
        <v>#DIV/0!</v>
      </c>
      <c r="BM61" s="135">
        <f>IF((BD61-BE61)=0,0,(BD61-BE61)/BD61)</f>
        <v>0</v>
      </c>
      <c r="BN61" s="126" t="str">
        <f>IFERROR(BF61,"")</f>
        <v/>
      </c>
      <c r="BO61" s="8">
        <f>IFERROR(BA61,"")</f>
        <v>0</v>
      </c>
      <c r="BP61" s="8">
        <f>IFERROR(AX61,"")</f>
        <v>0</v>
      </c>
      <c r="BQ61" s="8" t="str">
        <f>IFERROR(IF(BC61=0,"",BC61),"")</f>
        <v/>
      </c>
      <c r="CY61" s="9" t="s">
        <v>187</v>
      </c>
      <c r="CZ61" s="9"/>
      <c r="DA61" s="126">
        <v>0.3</v>
      </c>
      <c r="DB61" s="9"/>
    </row>
    <row r="62" spans="29:106" x14ac:dyDescent="0.25">
      <c r="AC62" s="119"/>
      <c r="AD62" s="119"/>
      <c r="AE62" s="119"/>
      <c r="AF62" s="119"/>
      <c r="AG62" s="119"/>
      <c r="AH62" s="119"/>
      <c r="AI62" s="119"/>
      <c r="AJ62" s="39" t="str">
        <f>IF(ISBLANK($C$6),"",$C$6)</f>
        <v>Category3</v>
      </c>
      <c r="AK62" s="39">
        <f t="shared" si="81"/>
        <v>0</v>
      </c>
      <c r="AL62" s="39">
        <f t="shared" si="82"/>
        <v>0</v>
      </c>
      <c r="AM62" s="39">
        <f t="shared" si="83"/>
        <v>0</v>
      </c>
      <c r="AN62" s="39">
        <f t="shared" si="84"/>
        <v>0</v>
      </c>
      <c r="AO62" s="39">
        <f t="shared" si="85"/>
        <v>0</v>
      </c>
      <c r="AP62" s="39">
        <f t="shared" si="86"/>
        <v>0</v>
      </c>
      <c r="AQ62" s="39">
        <f t="shared" si="87"/>
        <v>0</v>
      </c>
      <c r="AR62" s="122">
        <f t="shared" si="80"/>
        <v>0</v>
      </c>
      <c r="AT62" s="8"/>
      <c r="AU62" s="9"/>
      <c r="AV62" s="9"/>
      <c r="AW62" s="9"/>
      <c r="AX62" s="127">
        <f>V21</f>
        <v>0</v>
      </c>
      <c r="AY62" s="129">
        <f>ABS(AQ151)</f>
        <v>0</v>
      </c>
      <c r="AZ62" s="132">
        <f>IFERROR(IF(AND($AT$4&gt;=5,ABS($AQ$149)&lt;0),ABS($AQ$149),0),NA())</f>
        <v>0</v>
      </c>
      <c r="BA62" s="10">
        <f>IFERROR(AY62+AZ62,NA())</f>
        <v>0</v>
      </c>
      <c r="BB62" s="127">
        <f>IFERROR(IF(AND($AT$4&gt;=5,$AQ$148&gt;0),$AQ$148,0),NA())</f>
        <v>0</v>
      </c>
      <c r="BC62" s="133">
        <f>IF(BB62-BA62&lt;0,0,BB62-BA62)</f>
        <v>0</v>
      </c>
      <c r="BD62" s="130">
        <f>BC62+AX62</f>
        <v>0</v>
      </c>
      <c r="BE62" s="130">
        <f>IF(BD62-BA62&lt;0,0,BD62-BA62)</f>
        <v>0</v>
      </c>
      <c r="BF62" s="131" t="e">
        <f>BE62/BD62</f>
        <v>#DIV/0!</v>
      </c>
      <c r="BG62" s="126" t="e">
        <f>IFERROR((0.1*BD62)/BD62,NA())</f>
        <v>#N/A</v>
      </c>
      <c r="BH62" s="126" t="e">
        <f>IFERROR((0.1*BD62)/BD62,NA())</f>
        <v>#N/A</v>
      </c>
      <c r="BI62" s="126" t="e">
        <f>IFERROR((0.2*BD62)/BD62,NA())</f>
        <v>#N/A</v>
      </c>
      <c r="BJ62" s="131" t="e">
        <f>IFERROR(IF($AT$4&gt;5,0,BF62),NA())</f>
        <v>#N/A</v>
      </c>
      <c r="BK62" s="131">
        <f>IFERROR(IF($AT$4&gt;5,BF62,0),NA())</f>
        <v>0</v>
      </c>
      <c r="BL62" s="128" t="e">
        <f>IF(BK62&gt;0,0,BC62/AX62)</f>
        <v>#DIV/0!</v>
      </c>
      <c r="BM62" s="135">
        <f>IF((BD62-BE62)=0,0,(BD62-BE62)/BD62)</f>
        <v>0</v>
      </c>
      <c r="BN62" s="126" t="str">
        <f>IFERROR(BF62,"")</f>
        <v/>
      </c>
      <c r="BO62" s="8">
        <f>IFERROR(BA62,"")</f>
        <v>0</v>
      </c>
      <c r="BP62" s="8">
        <f>IFERROR(AX62,"")</f>
        <v>0</v>
      </c>
      <c r="BQ62" s="8" t="str">
        <f>IFERROR(IF(BC62=0,"",BC62),"")</f>
        <v/>
      </c>
      <c r="CY62" s="9" t="str" cm="1">
        <f t="array" ref="CY62">_xlfn.IFS(DB57&lt;=1,CY58,DB57&lt;=1.1,CY59,DB57&lt;=1.2,CY60,DB57&lt;=1.4,CY61,DB57&gt;1.4,CY61)</f>
        <v>Good</v>
      </c>
      <c r="CZ62" s="9"/>
      <c r="DA62" s="126">
        <f>SUM(DA57:DA61)</f>
        <v>1.6</v>
      </c>
      <c r="DB62" s="9"/>
    </row>
    <row r="63" spans="29:106" x14ac:dyDescent="0.25">
      <c r="AC63" s="119"/>
      <c r="AD63" s="119"/>
      <c r="AE63" s="119"/>
      <c r="AF63" s="119"/>
      <c r="AG63" s="119"/>
      <c r="AH63" s="119"/>
      <c r="AI63" s="119"/>
      <c r="AJ63" s="39" t="str">
        <f>IF(ISBLANK($C$7),"",$C$7)</f>
        <v>Category4</v>
      </c>
      <c r="AK63" s="39">
        <f t="shared" si="81"/>
        <v>0</v>
      </c>
      <c r="AL63" s="39">
        <f t="shared" si="82"/>
        <v>0</v>
      </c>
      <c r="AM63" s="39">
        <f t="shared" si="83"/>
        <v>0</v>
      </c>
      <c r="AN63" s="39">
        <f t="shared" si="84"/>
        <v>0</v>
      </c>
      <c r="AO63" s="39">
        <f t="shared" si="85"/>
        <v>0</v>
      </c>
      <c r="AP63" s="39">
        <f t="shared" si="86"/>
        <v>0</v>
      </c>
      <c r="AQ63" s="39">
        <f t="shared" si="87"/>
        <v>0</v>
      </c>
      <c r="AR63" s="122">
        <f t="shared" si="80"/>
        <v>0</v>
      </c>
      <c r="AT63" s="304" cm="1">
        <f t="array" ref="AT63">_xlfn.IFS($AT$4=1,BO58,$AT$4=2,BO59,$AT$4=3,BO60,$AT$4=4,BO61,$AT$4=5,BO62)</f>
        <v>2.0000000000000001E-4</v>
      </c>
      <c r="AU63" s="304" cm="1">
        <f t="array" ref="AU63">_xlfn.IFS($AT$4=1,BP58,$AT$4=2,BP59,$AT$4=3,BP60,$AT$4=4,BP61,$AT$4=5,BP62)</f>
        <v>2E-3</v>
      </c>
      <c r="AV63" s="8" t="str">
        <f>IF(AU63&lt;&gt;"","/ "&amp;AU63&amp;WB_Data!EJ2,"")</f>
        <v>/ 0.002$</v>
      </c>
      <c r="AW63" s="303" cm="1">
        <f t="array" ref="AW63">_xlfn.IFS($AT$4=1,BQ58,$AT$4=2,BQ59,$AT$4=3,BQ60,$AT$4=4,BQ61,$AT$4=5,BQ62)</f>
        <v>0</v>
      </c>
      <c r="AX63" s="85" t="str">
        <f>IF(AW63="","","Extra")</f>
        <v>Extra</v>
      </c>
    </row>
    <row r="64" spans="29:106" x14ac:dyDescent="0.25">
      <c r="AJ64" s="39" t="str">
        <f>IF(ISBLANK($C$8),"",$C$8)</f>
        <v>Category5</v>
      </c>
      <c r="AK64" s="39">
        <f t="shared" si="81"/>
        <v>2E-3</v>
      </c>
      <c r="AL64" s="39">
        <f t="shared" si="82"/>
        <v>2E-3</v>
      </c>
      <c r="AM64" s="39">
        <f t="shared" si="83"/>
        <v>2E-3</v>
      </c>
      <c r="AN64" s="39">
        <f t="shared" si="84"/>
        <v>2E-3</v>
      </c>
      <c r="AO64" s="39">
        <f t="shared" si="85"/>
        <v>2E-3</v>
      </c>
      <c r="AP64" s="39">
        <f t="shared" si="86"/>
        <v>2E-3</v>
      </c>
      <c r="AQ64" s="39">
        <f t="shared" si="87"/>
        <v>0</v>
      </c>
      <c r="AR64" s="122">
        <f t="shared" si="80"/>
        <v>0</v>
      </c>
    </row>
    <row r="65" spans="29:44" x14ac:dyDescent="0.25">
      <c r="AJ65" s="39" t="str">
        <f>IF(ISBLANK($C$9),"",$C$9)</f>
        <v>Category6</v>
      </c>
      <c r="AK65" s="39">
        <f t="shared" si="81"/>
        <v>2E-3</v>
      </c>
      <c r="AL65" s="39">
        <f t="shared" si="82"/>
        <v>2E-3</v>
      </c>
      <c r="AM65" s="39">
        <f t="shared" si="83"/>
        <v>2E-3</v>
      </c>
      <c r="AN65" s="39">
        <f t="shared" si="84"/>
        <v>2E-3</v>
      </c>
      <c r="AO65" s="39">
        <f t="shared" si="85"/>
        <v>2E-3</v>
      </c>
      <c r="AP65" s="39">
        <f t="shared" si="86"/>
        <v>2E-3</v>
      </c>
      <c r="AQ65" s="39">
        <f t="shared" si="87"/>
        <v>0</v>
      </c>
      <c r="AR65" s="122">
        <f t="shared" si="80"/>
        <v>0</v>
      </c>
    </row>
    <row r="66" spans="29:44" x14ac:dyDescent="0.25">
      <c r="AJ66" s="39" t="str">
        <f>IF(ISBLANK($C$10),"",$C$10)</f>
        <v>Category7</v>
      </c>
      <c r="AK66" s="39">
        <f t="shared" si="81"/>
        <v>0</v>
      </c>
      <c r="AL66" s="39">
        <f t="shared" si="82"/>
        <v>0</v>
      </c>
      <c r="AM66" s="39">
        <f t="shared" si="83"/>
        <v>0</v>
      </c>
      <c r="AN66" s="39">
        <f t="shared" si="84"/>
        <v>0</v>
      </c>
      <c r="AO66" s="39">
        <f t="shared" si="85"/>
        <v>0</v>
      </c>
      <c r="AP66" s="39">
        <f t="shared" si="86"/>
        <v>0</v>
      </c>
      <c r="AQ66" s="39">
        <f t="shared" si="87"/>
        <v>2E-3</v>
      </c>
      <c r="AR66" s="122">
        <f t="shared" si="80"/>
        <v>0</v>
      </c>
    </row>
    <row r="67" spans="29:44" x14ac:dyDescent="0.25">
      <c r="AJ67" s="39" t="str">
        <f>IF(ISBLANK($C$11),"",$C$11)</f>
        <v/>
      </c>
      <c r="AK67" s="39">
        <f t="shared" si="81"/>
        <v>0</v>
      </c>
      <c r="AL67" s="39">
        <f t="shared" si="82"/>
        <v>0</v>
      </c>
      <c r="AM67" s="39">
        <f t="shared" si="83"/>
        <v>0</v>
      </c>
      <c r="AN67" s="39">
        <f t="shared" si="84"/>
        <v>0</v>
      </c>
      <c r="AO67" s="39">
        <f t="shared" si="85"/>
        <v>0</v>
      </c>
      <c r="AP67" s="39">
        <f t="shared" si="86"/>
        <v>0</v>
      </c>
      <c r="AQ67" s="39">
        <f t="shared" si="87"/>
        <v>0</v>
      </c>
      <c r="AR67" s="122">
        <f t="shared" si="80"/>
        <v>0</v>
      </c>
    </row>
    <row r="68" spans="29:44" x14ac:dyDescent="0.25">
      <c r="AJ68" s="39" t="str">
        <f>IF(ISBLANK($C$12),"",$C$12)</f>
        <v/>
      </c>
      <c r="AK68" s="39">
        <f t="shared" si="81"/>
        <v>0</v>
      </c>
      <c r="AL68" s="39">
        <f t="shared" si="82"/>
        <v>0</v>
      </c>
      <c r="AM68" s="39">
        <f t="shared" si="83"/>
        <v>0</v>
      </c>
      <c r="AN68" s="39">
        <f t="shared" si="84"/>
        <v>0</v>
      </c>
      <c r="AO68" s="39">
        <f t="shared" si="85"/>
        <v>0</v>
      </c>
      <c r="AP68" s="39">
        <f t="shared" si="86"/>
        <v>0</v>
      </c>
      <c r="AQ68" s="39">
        <f t="shared" si="87"/>
        <v>0</v>
      </c>
      <c r="AR68" s="122">
        <f t="shared" si="80"/>
        <v>0</v>
      </c>
    </row>
    <row r="69" spans="29:44" x14ac:dyDescent="0.25">
      <c r="AJ69" s="39" t="str">
        <f>IF(ISBLANK($C$13),"",$C$13)</f>
        <v/>
      </c>
      <c r="AK69" s="39">
        <f t="shared" si="81"/>
        <v>0</v>
      </c>
      <c r="AL69" s="39">
        <f t="shared" si="82"/>
        <v>0</v>
      </c>
      <c r="AM69" s="39">
        <f t="shared" si="83"/>
        <v>0</v>
      </c>
      <c r="AN69" s="39">
        <f t="shared" si="84"/>
        <v>0</v>
      </c>
      <c r="AO69" s="39">
        <f t="shared" si="85"/>
        <v>0</v>
      </c>
      <c r="AP69" s="39">
        <f t="shared" si="86"/>
        <v>0</v>
      </c>
      <c r="AQ69" s="39">
        <f t="shared" si="87"/>
        <v>0</v>
      </c>
      <c r="AR69" s="122">
        <f t="shared" si="80"/>
        <v>0</v>
      </c>
    </row>
    <row r="70" spans="29:44" x14ac:dyDescent="0.25">
      <c r="AJ70" s="39" t="str">
        <f>IF(ISBLANK($C$14),"",$C$14)</f>
        <v/>
      </c>
      <c r="AK70" s="39">
        <f t="shared" si="81"/>
        <v>0</v>
      </c>
      <c r="AL70" s="39">
        <f t="shared" si="82"/>
        <v>0</v>
      </c>
      <c r="AM70" s="39">
        <f t="shared" si="83"/>
        <v>0</v>
      </c>
      <c r="AN70" s="39">
        <f t="shared" si="84"/>
        <v>0</v>
      </c>
      <c r="AO70" s="39">
        <f t="shared" si="85"/>
        <v>0</v>
      </c>
      <c r="AP70" s="39">
        <f t="shared" si="86"/>
        <v>0</v>
      </c>
      <c r="AQ70" s="39">
        <f t="shared" si="87"/>
        <v>0</v>
      </c>
      <c r="AR70" s="122">
        <f t="shared" si="80"/>
        <v>0</v>
      </c>
    </row>
    <row r="71" spans="29:44" x14ac:dyDescent="0.25">
      <c r="AJ71" s="122"/>
      <c r="AK71" s="39">
        <f t="shared" ref="AK71:AQ71" si="88">SUM(AK60:AK70)</f>
        <v>6.0000000000000001E-3</v>
      </c>
      <c r="AL71" s="39">
        <f t="shared" si="88"/>
        <v>6.0000000000000001E-3</v>
      </c>
      <c r="AM71" s="39">
        <f t="shared" si="88"/>
        <v>6.0000000000000001E-3</v>
      </c>
      <c r="AN71" s="39">
        <f t="shared" si="88"/>
        <v>6.0000000000000001E-3</v>
      </c>
      <c r="AO71" s="39">
        <f t="shared" si="88"/>
        <v>6.0000000000000001E-3</v>
      </c>
      <c r="AP71" s="39">
        <f t="shared" si="88"/>
        <v>6.0000000000000001E-3</v>
      </c>
      <c r="AQ71" s="39">
        <f t="shared" si="88"/>
        <v>2E-3</v>
      </c>
      <c r="AR71" s="122"/>
    </row>
    <row r="72" spans="29:44" x14ac:dyDescent="0.25">
      <c r="AC72" s="119"/>
      <c r="AD72" s="119"/>
      <c r="AE72" s="119"/>
      <c r="AF72" s="119"/>
      <c r="AG72" s="119"/>
      <c r="AH72" s="119"/>
      <c r="AI72" s="119"/>
      <c r="AJ72" s="39" t="s">
        <v>144</v>
      </c>
      <c r="AK72" s="45">
        <f>IF($AT$4&gt;2,SUM(AK60:AK70),0)</f>
        <v>0</v>
      </c>
      <c r="AL72" s="45">
        <f>AR61-AR45</f>
        <v>0</v>
      </c>
      <c r="AM72" s="45">
        <f>IF($AT$4&gt;2,SUM(AM60:AM70),0)</f>
        <v>0</v>
      </c>
      <c r="AN72" s="45">
        <f>AR63-AR46</f>
        <v>0</v>
      </c>
      <c r="AO72" s="45">
        <f>AR64-AR47</f>
        <v>0</v>
      </c>
      <c r="AP72" s="45">
        <f>IF($AT$4&gt;2,SUM(AP60:AP70),0)</f>
        <v>0</v>
      </c>
      <c r="AQ72" s="45">
        <f>AR66-AR48</f>
        <v>0</v>
      </c>
      <c r="AR72" s="122"/>
    </row>
    <row r="73" spans="29:44" x14ac:dyDescent="0.25">
      <c r="AC73" s="119"/>
      <c r="AD73" s="119"/>
      <c r="AE73" s="119"/>
      <c r="AF73" s="119"/>
      <c r="AG73" s="119"/>
      <c r="AH73" s="119"/>
      <c r="AI73" s="119"/>
      <c r="AJ73" s="36" t="s">
        <v>163</v>
      </c>
      <c r="AK73" s="36">
        <f>IFERROR(IF($AA$4=3,($AR$60/$AJ$44)*$AE$3,($AR$60/$AJ$44)*$AE4*$AE$3),0)</f>
        <v>0</v>
      </c>
      <c r="AL73" s="36">
        <f>IFERROR(IF($AA$5=3,($AR$61/$AJ$44)*$AE$3,($AR$61/$AJ$44)*$AE5*$AE$3),0)</f>
        <v>0</v>
      </c>
      <c r="AM73" s="36">
        <f>IFERROR(IF($AA$6=3,($AR$62/$AJ$44)*$AE$3,($AR$62/$AJ$44)*$AE6*$AE$3),0)</f>
        <v>0</v>
      </c>
      <c r="AN73" s="36">
        <f>IFERROR(IF($AA$7=3,($AR$63/$AJ$44)*$AE$3,($AR$63/$AJ$44)*$AE7*$AE$3),0)</f>
        <v>0</v>
      </c>
      <c r="AO73" s="36">
        <f>IFERROR(IF($AA$8=3,($AR64/$AJ$44)*$AE$3,($AR64/$AJ$44)*$AE$8*$AE$3),0)</f>
        <v>0</v>
      </c>
      <c r="AP73" s="36">
        <f>IFERROR(IF($AA$9=3,($AR65/$AJ$44)*$AE$3,($AR65/$AJ$44)*$AE$9*$AE$3),0)</f>
        <v>0</v>
      </c>
      <c r="AQ73" s="36">
        <f>IFERROR(IF($AA$10=3,($AR$66/$AJ$44)*$AE$3,($AR$66/$AJ$44)*$AE$10*$AE$3),0)</f>
        <v>0</v>
      </c>
      <c r="AR73" s="206">
        <f>SUM(AK73:AQ73)</f>
        <v>0</v>
      </c>
    </row>
    <row r="74" spans="29:44" x14ac:dyDescent="0.25">
      <c r="AC74" s="119"/>
      <c r="AD74" s="119"/>
      <c r="AE74" s="119"/>
      <c r="AF74" s="119"/>
      <c r="AG74" s="119"/>
      <c r="AH74" s="119"/>
      <c r="AI74" s="119"/>
      <c r="AJ74" s="37" t="s">
        <v>164</v>
      </c>
      <c r="AK74" s="37">
        <f>IFERROR(IF($AA4=3,($AR$60/$AJ$44)*$AG$3,($AR$60/$AJ$44)*$AG4*$AG$3),0)</f>
        <v>0</v>
      </c>
      <c r="AL74" s="37">
        <f>IFERROR(IF($AA$5=3,($AR$61/$AJ$44)*$AG$3,($AR$61/$AJ$44)*$AG5*$AG$3),0)</f>
        <v>0</v>
      </c>
      <c r="AM74" s="37">
        <f>IFERROR(IF($AA$6=3,($AR$62/$AJ$44)*$AG$3,($AR$62/$AJ$44)*$AG6*$AG$3),0)</f>
        <v>0</v>
      </c>
      <c r="AN74" s="37">
        <f>IFERROR(IF($AA$7=3,($AR$63/$AJ$44)*$AG$3,($AR$63/$AJ$44)*$AG7*$AG$3),0)</f>
        <v>0</v>
      </c>
      <c r="AO74" s="37">
        <f>IFERROR(IF($AA$8=3,($AR64/$AJ$44)*$AG$3,($AR64/$AJ$44)*$AG$8*$AG$3),0)</f>
        <v>0</v>
      </c>
      <c r="AP74" s="37">
        <f>IFERROR(IF($AA$9=3,($AR65/$AJ$44)*$AG$3,($AR65/$AJ$44)*$AG9*$AG$3),0)</f>
        <v>0</v>
      </c>
      <c r="AQ74" s="37">
        <f>IFERROR(IF($AA$10=3,($AR$66/$AJ$44)*$AG$3,($AR$66/$AJ$44)*$AG$10*$AG$3),0)</f>
        <v>0</v>
      </c>
      <c r="AR74" s="207">
        <f>SUM(AK74:AQ74)</f>
        <v>0</v>
      </c>
    </row>
    <row r="75" spans="29:44" x14ac:dyDescent="0.25">
      <c r="AC75" s="119"/>
      <c r="AD75" s="119"/>
      <c r="AE75" s="119"/>
      <c r="AF75" s="119"/>
      <c r="AG75" s="119"/>
      <c r="AH75" s="119"/>
      <c r="AI75" s="119"/>
      <c r="AJ75" s="198" t="s">
        <v>165</v>
      </c>
      <c r="AK75" s="198">
        <f>IFERROR(IF($AA4=3,($AR$60/$AJ$44)*$AI$3,($AR$60/$AJ$44)*$AI4*$AI$3),0)</f>
        <v>0</v>
      </c>
      <c r="AL75" s="198">
        <f>IFERROR(IF($AA$5=3,($AR$61/$AJ$44)*$AI$3,($AR$61/$AJ$44)*$AI5*$AI$3),0)</f>
        <v>0</v>
      </c>
      <c r="AM75" s="198">
        <f>IFERROR(IF($AA$6=3,($AR$62/$AJ$44)*$AI$3,($AR$62/$AJ$44)*$AI6*$AI$3),0)</f>
        <v>0</v>
      </c>
      <c r="AN75" s="198">
        <f>IFERROR(IF($AA$7=3,($AR$63/$AJ$44)*$AI$3,($AR$63/$AJ$44)*$AI7*$AI$3),0)</f>
        <v>0</v>
      </c>
      <c r="AO75" s="198">
        <f>IFERROR(IF($AA$8=3,($AR64/$AJ$44)*$AI$3,($AR64/$AJ$44)*$AI$8*$AI$3),0)</f>
        <v>0</v>
      </c>
      <c r="AP75" s="198">
        <f>IFERROR(IF($AA$9=3,($AR65/$AJ$44)*$AI$3,($AR65/$AJ$44)*$AI$9*$AI$3),0)</f>
        <v>0</v>
      </c>
      <c r="AQ75" s="198">
        <f>IFERROR(IF($AA$10=3,($AR$66/$AJ$44)*$AI$3,($AR$66/$AJ$44)*$AI$10*$AI$3),0)</f>
        <v>0</v>
      </c>
      <c r="AR75" s="208">
        <f>SUM(AK75:AQ75)</f>
        <v>0</v>
      </c>
    </row>
    <row r="76" spans="29:44" x14ac:dyDescent="0.25">
      <c r="AC76" s="119"/>
      <c r="AD76" s="119"/>
      <c r="AE76" s="119"/>
      <c r="AF76" s="119"/>
      <c r="AG76" s="119"/>
      <c r="AH76" s="119"/>
      <c r="AI76" s="119"/>
      <c r="AJ76" s="124" t="s">
        <v>163</v>
      </c>
      <c r="AK76" s="124">
        <f>AK73-AK57+AK37</f>
        <v>0</v>
      </c>
      <c r="AL76" s="124">
        <f t="shared" ref="AL76:AQ76" si="89">AL73-AL57+AL37</f>
        <v>0</v>
      </c>
      <c r="AM76" s="124">
        <f t="shared" si="89"/>
        <v>0</v>
      </c>
      <c r="AN76" s="124">
        <f t="shared" si="89"/>
        <v>0</v>
      </c>
      <c r="AO76" s="124">
        <f t="shared" si="89"/>
        <v>0</v>
      </c>
      <c r="AP76" s="124">
        <f t="shared" si="89"/>
        <v>0</v>
      </c>
      <c r="AQ76" s="124">
        <f t="shared" si="89"/>
        <v>0</v>
      </c>
    </row>
    <row r="77" spans="29:44" x14ac:dyDescent="0.25">
      <c r="AC77" s="119"/>
      <c r="AD77" s="119"/>
      <c r="AE77" s="119"/>
      <c r="AF77" s="119"/>
      <c r="AG77" s="119"/>
      <c r="AH77" s="119"/>
      <c r="AI77" s="119"/>
      <c r="AJ77" s="124" t="s">
        <v>164</v>
      </c>
      <c r="AK77" s="124">
        <f>AK74-AK58</f>
        <v>0</v>
      </c>
      <c r="AL77" s="124">
        <f t="shared" ref="AL77:AQ78" si="90">AL74-AL58</f>
        <v>0</v>
      </c>
      <c r="AM77" s="124">
        <f t="shared" si="90"/>
        <v>0</v>
      </c>
      <c r="AN77" s="124">
        <f t="shared" si="90"/>
        <v>0</v>
      </c>
      <c r="AO77" s="124">
        <f t="shared" si="90"/>
        <v>0</v>
      </c>
      <c r="AP77" s="124">
        <f t="shared" si="90"/>
        <v>0</v>
      </c>
      <c r="AQ77" s="124">
        <f t="shared" si="90"/>
        <v>0</v>
      </c>
    </row>
    <row r="78" spans="29:44" x14ac:dyDescent="0.25">
      <c r="AC78" s="119"/>
      <c r="AD78" s="119"/>
      <c r="AE78" s="119"/>
      <c r="AF78" s="119"/>
      <c r="AG78" s="119"/>
      <c r="AH78" s="119"/>
      <c r="AI78" s="119"/>
      <c r="AJ78" s="124" t="s">
        <v>165</v>
      </c>
      <c r="AK78" s="124">
        <f>AK75-AK59</f>
        <v>0</v>
      </c>
      <c r="AL78" s="124">
        <f t="shared" si="90"/>
        <v>0</v>
      </c>
      <c r="AM78" s="124">
        <f t="shared" si="90"/>
        <v>0</v>
      </c>
      <c r="AN78" s="124">
        <f t="shared" si="90"/>
        <v>0</v>
      </c>
      <c r="AO78" s="124">
        <f t="shared" si="90"/>
        <v>0</v>
      </c>
      <c r="AP78" s="124">
        <f>AP75-AP59</f>
        <v>0</v>
      </c>
      <c r="AQ78" s="124">
        <f t="shared" si="90"/>
        <v>0</v>
      </c>
    </row>
    <row r="79" spans="29:44" x14ac:dyDescent="0.25">
      <c r="AC79" s="119"/>
      <c r="AD79" s="119"/>
      <c r="AE79" s="119"/>
      <c r="AF79" s="119"/>
      <c r="AG79" s="119"/>
      <c r="AH79" s="119"/>
      <c r="AI79" s="119"/>
      <c r="AJ79" s="125" t="s">
        <v>145</v>
      </c>
      <c r="AK79" s="125">
        <f t="shared" ref="AK79:AQ79" si="91">IF(AND($AT$4&gt;1,AK76&gt;=0),AK76,0)</f>
        <v>0</v>
      </c>
      <c r="AL79" s="125">
        <f t="shared" si="91"/>
        <v>0</v>
      </c>
      <c r="AM79" s="125">
        <f t="shared" si="91"/>
        <v>0</v>
      </c>
      <c r="AN79" s="125">
        <f t="shared" si="91"/>
        <v>0</v>
      </c>
      <c r="AO79" s="125">
        <f t="shared" si="91"/>
        <v>0</v>
      </c>
      <c r="AP79" s="125">
        <f t="shared" si="91"/>
        <v>0</v>
      </c>
      <c r="AQ79" s="125">
        <f t="shared" si="91"/>
        <v>0</v>
      </c>
    </row>
    <row r="80" spans="29:44" x14ac:dyDescent="0.25">
      <c r="AC80" s="119"/>
      <c r="AD80" s="119"/>
      <c r="AE80" s="119"/>
      <c r="AF80" s="119"/>
      <c r="AG80" s="119"/>
      <c r="AH80" s="119"/>
      <c r="AI80" s="119"/>
      <c r="AJ80" s="125" t="s">
        <v>160</v>
      </c>
      <c r="AK80" s="125">
        <f>IF(AK$76&lt;0,ABS(AK$76),0)</f>
        <v>0</v>
      </c>
      <c r="AL80" s="125">
        <f t="shared" ref="AL80:AQ80" si="92">IF(AL$76&lt;0,ABS(AL$76),0)</f>
        <v>0</v>
      </c>
      <c r="AM80" s="125">
        <f t="shared" si="92"/>
        <v>0</v>
      </c>
      <c r="AN80" s="125">
        <f t="shared" si="92"/>
        <v>0</v>
      </c>
      <c r="AO80" s="125">
        <f t="shared" si="92"/>
        <v>0</v>
      </c>
      <c r="AP80" s="125">
        <f t="shared" si="92"/>
        <v>0</v>
      </c>
      <c r="AQ80" s="125">
        <f t="shared" si="92"/>
        <v>0</v>
      </c>
    </row>
    <row r="81" spans="29:44" x14ac:dyDescent="0.25">
      <c r="AC81" s="119"/>
      <c r="AD81" s="119"/>
      <c r="AE81" s="119"/>
      <c r="AF81" s="119"/>
      <c r="AG81" s="119"/>
      <c r="AH81" s="119"/>
      <c r="AI81" s="119"/>
      <c r="AJ81" s="5"/>
      <c r="AK81" s="9" t="str">
        <f>J19</f>
        <v/>
      </c>
      <c r="AL81" s="9" t="str">
        <f>L19</f>
        <v/>
      </c>
      <c r="AM81" s="9" t="str">
        <f>N19</f>
        <v/>
      </c>
      <c r="AN81" s="9" t="str">
        <f>P19</f>
        <v/>
      </c>
      <c r="AO81" s="9" t="str">
        <f>R19</f>
        <v/>
      </c>
      <c r="AP81" s="9" t="str">
        <f>T19</f>
        <v/>
      </c>
      <c r="AQ81" s="9" t="str">
        <f>V19</f>
        <v/>
      </c>
    </row>
    <row r="82" spans="29:44" x14ac:dyDescent="0.25">
      <c r="AC82" s="119"/>
      <c r="AD82" s="119"/>
      <c r="AE82" s="119"/>
      <c r="AF82" s="119"/>
      <c r="AG82" s="119"/>
      <c r="AH82" s="119"/>
      <c r="AI82" s="119"/>
      <c r="AJ82" s="5"/>
      <c r="AK82" s="9">
        <f>IF(AT4&gt;2,K19+AK80,AK80)</f>
        <v>0</v>
      </c>
      <c r="AL82" s="9">
        <f>IF(AT4&gt;2,M19+AL80,AL80)</f>
        <v>0</v>
      </c>
      <c r="AM82" s="9">
        <f>IF(AT4&gt;2,O19+AM80,AM80)</f>
        <v>0</v>
      </c>
      <c r="AN82" s="9">
        <f>IF(AT4&gt;2,Q19+AN80,AN80)</f>
        <v>0</v>
      </c>
      <c r="AO82" s="9">
        <f>IF(AT4&gt;2,S19+AO80,AO80)</f>
        <v>0</v>
      </c>
      <c r="AP82" s="9">
        <f>IF(AT4&gt;2,U19+AP80,AP80)</f>
        <v>0</v>
      </c>
      <c r="AQ82" s="9">
        <f>IF(AT4&gt;2,W19+AQ80,AQ80)</f>
        <v>0</v>
      </c>
    </row>
    <row r="83" spans="29:44" x14ac:dyDescent="0.25">
      <c r="AJ83" s="204">
        <f>IF($AJ$3-2&lt;0,0,$AJ$3-2)</f>
        <v>0</v>
      </c>
      <c r="AK83" s="22" t="str">
        <f>$J$4</f>
        <v>Category1</v>
      </c>
      <c r="AL83" s="22" t="str">
        <f>$L$4</f>
        <v>Category2</v>
      </c>
      <c r="AM83" s="22" t="str">
        <f>$N$4</f>
        <v>Category3</v>
      </c>
      <c r="AN83" s="22" t="str">
        <f>$P$4</f>
        <v>Category4</v>
      </c>
      <c r="AO83" s="22" t="str">
        <f>$R$4</f>
        <v>Category5</v>
      </c>
      <c r="AP83" s="22" t="str">
        <f>$T$4</f>
        <v>Category6</v>
      </c>
      <c r="AQ83" s="22" t="str">
        <f>$V$4</f>
        <v>Category7</v>
      </c>
      <c r="AR83" s="22" t="s">
        <v>144</v>
      </c>
    </row>
    <row r="84" spans="29:44" x14ac:dyDescent="0.25">
      <c r="AJ84" s="210" t="str">
        <f>IF(ISBLANK($C$4),"",$C$4)</f>
        <v>Category1</v>
      </c>
      <c r="AK84" s="210">
        <f>IFERROR(IF($AK$82&gt;$AK$81,IF(AND(AJ84=$AK$83,AA4=3),($AK$82-$AK$81),IF(AND(AA4=2,$AA$4&lt;&gt;3),$AK$82-$AK$81)),0),0)</f>
        <v>0</v>
      </c>
      <c r="AL84" s="210">
        <f>IFERROR(IF($AL$82&gt;$AL$81,IF(AND(AJ84=$AL$83,AA4=3),($AL$82-$AL$81),IF(AND(AA4=2,$AA$5&lt;&gt;3),$AL$82-$AL$81)),0),0)</f>
        <v>0</v>
      </c>
      <c r="AM84" s="210">
        <f>IFERROR(IF($AM$82&gt;$AM$81,IF(AND(AJ84=$AM$83,AA4=3),($AM$82-$AM$81),IF(AND(AA4=2,$AA$6&lt;&gt;3),$AM$82-$AM$81)),0),0)</f>
        <v>0</v>
      </c>
      <c r="AN84" s="210">
        <f>IFERROR(IF($AN$82&gt;$AN$81,IF(AND(AJ84=$AN$83,AA4=3),($AN$82-$AN$81),IF(AND(AA4=2,$AA$7&lt;&gt;3),$AN$82-$AN$81)),0),0)</f>
        <v>0</v>
      </c>
      <c r="AO84" s="210">
        <f>IFERROR(IF($AO$82&gt;$AO$81,IF(AND(AJ84=$AO$83,AA4=3),($AO$82-$AO$81),IF(AND(AA4=2,$AA$8&lt;&gt;3),$AO$82-$AO$81)),0),0)</f>
        <v>0</v>
      </c>
      <c r="AP84" s="210">
        <f>IFERROR(IF($AP$82&gt;$AP$81,IF(AND(AJ84=$AP$83,AA4=3),($AP$82-$AP$81),IF(AND(AA4=2,$AA$9&lt;&gt;3),$AP$82-$AP$81)),0),0)</f>
        <v>0</v>
      </c>
      <c r="AQ84" s="210">
        <f>IFERROR(IF($AQ$82&gt;$AQ$81,IF(AND(AJ84=$AQ$83,AA4=3),($AQ$82-$AQ$81),IF(AND(AA4=2,$AA$10&lt;&gt;3),$AQ$82-$AQ$81)),0),0)</f>
        <v>0</v>
      </c>
      <c r="AR84" s="94">
        <f>IF($AT$4&gt;2,SUM(AK84:AQ84),0)</f>
        <v>0</v>
      </c>
    </row>
    <row r="85" spans="29:44" x14ac:dyDescent="0.25">
      <c r="AC85" s="119"/>
      <c r="AD85" s="119"/>
      <c r="AE85" s="119"/>
      <c r="AF85" s="119"/>
      <c r="AG85" s="119"/>
      <c r="AH85" s="119"/>
      <c r="AI85" s="119"/>
      <c r="AJ85" s="210" t="str">
        <f>IF(ISBLANK($C$5),"",$C$5)</f>
        <v>Category2</v>
      </c>
      <c r="AK85" s="210">
        <f t="shared" ref="AK85:AK94" si="93">IFERROR(IF($AK$82&gt;$AK$81,IF(AND(AJ85=$AK$83,AA5=3),($AK$82-$AK$81),IF(AND(AA5=2,$AA$4&lt;&gt;3),$AK$82-$AK$81)),0),0)</f>
        <v>0</v>
      </c>
      <c r="AL85" s="210">
        <f t="shared" ref="AL85:AL94" si="94">IFERROR(IF($AL$82&gt;$AL$81,IF(AND(AJ85=$AL$83,AA5=3),($AL$82-$AL$81),IF(AND(AA5=2,$AA$5&lt;&gt;3),$AL$82-$AL$81)),0),0)</f>
        <v>0</v>
      </c>
      <c r="AM85" s="210">
        <f t="shared" ref="AM85:AM94" si="95">IFERROR(IF($AM$82&gt;$AM$81,IF(AND(AJ85=$AM$83,AA5=3),($AM$82-$AM$81),IF(AND(AA5=2,$AA$6&lt;&gt;3),$AM$82-$AM$81)),0),0)</f>
        <v>0</v>
      </c>
      <c r="AN85" s="210">
        <f t="shared" ref="AN85:AN94" si="96">IFERROR(IF($AN$82&gt;$AN$81,IF(AND(AJ85=$AN$83,AA5=3),($AN$82-$AN$81),IF(AND(AA5=2,$AA$7&lt;&gt;3),$AN$82-$AN$81)),0),0)</f>
        <v>0</v>
      </c>
      <c r="AO85" s="210">
        <f t="shared" ref="AO85:AO94" si="97">IFERROR(IF($AO$82&gt;$AO$81,IF(AND(AJ85=$AO$83,AA5=3),($AO$82-$AO$81),IF(AND(AA5=2,$AA$8&lt;&gt;3),$AO$82-$AO$81)),0),0)</f>
        <v>0</v>
      </c>
      <c r="AP85" s="210">
        <f t="shared" ref="AP85:AP94" si="98">IFERROR(IF($AP$82&gt;$AP$81,IF(AND(AJ85=$AP$83,AA5=3),($AP$82-$AP$81),IF(AND(AA5=2,$AA$9&lt;&gt;3),$AP$82-$AP$81)),0),0)</f>
        <v>0</v>
      </c>
      <c r="AQ85" s="210">
        <f t="shared" ref="AQ85:AQ94" si="99">IFERROR(IF($AQ$82&gt;$AQ$81,IF(AND(AJ85=$AQ$83,AA5=3),($AQ$82-$AQ$81),IF(AND(AA5=2,$AA$10&lt;&gt;3),$AQ$82-$AQ$81)),0),0)</f>
        <v>0</v>
      </c>
      <c r="AR85" s="94">
        <f t="shared" ref="AR85:AR94" si="100">IF($AT$4&gt;2,SUM(AK85:AQ85),0)</f>
        <v>0</v>
      </c>
    </row>
    <row r="86" spans="29:44" x14ac:dyDescent="0.25">
      <c r="AJ86" s="210" t="str">
        <f>IF(ISBLANK($C$6),"",$C$6)</f>
        <v>Category3</v>
      </c>
      <c r="AK86" s="210">
        <f t="shared" si="93"/>
        <v>0</v>
      </c>
      <c r="AL86" s="210">
        <f t="shared" si="94"/>
        <v>0</v>
      </c>
      <c r="AM86" s="210">
        <f t="shared" si="95"/>
        <v>0</v>
      </c>
      <c r="AN86" s="210">
        <f t="shared" si="96"/>
        <v>0</v>
      </c>
      <c r="AO86" s="210">
        <f t="shared" si="97"/>
        <v>0</v>
      </c>
      <c r="AP86" s="210">
        <f t="shared" si="98"/>
        <v>0</v>
      </c>
      <c r="AQ86" s="210">
        <f t="shared" si="99"/>
        <v>0</v>
      </c>
      <c r="AR86" s="94">
        <f t="shared" si="100"/>
        <v>0</v>
      </c>
    </row>
    <row r="87" spans="29:44" x14ac:dyDescent="0.25">
      <c r="AC87" s="119"/>
      <c r="AD87" s="119"/>
      <c r="AE87" s="119"/>
      <c r="AF87" s="119"/>
      <c r="AG87" s="119"/>
      <c r="AH87" s="119"/>
      <c r="AI87" s="119"/>
      <c r="AJ87" s="210" t="str">
        <f>IF(ISBLANK($C$7),"",$C$7)</f>
        <v>Category4</v>
      </c>
      <c r="AK87" s="210">
        <f t="shared" si="93"/>
        <v>0</v>
      </c>
      <c r="AL87" s="210">
        <f t="shared" si="94"/>
        <v>0</v>
      </c>
      <c r="AM87" s="210">
        <f t="shared" si="95"/>
        <v>0</v>
      </c>
      <c r="AN87" s="210">
        <f t="shared" si="96"/>
        <v>0</v>
      </c>
      <c r="AO87" s="210">
        <f t="shared" si="97"/>
        <v>0</v>
      </c>
      <c r="AP87" s="210">
        <f t="shared" si="98"/>
        <v>0</v>
      </c>
      <c r="AQ87" s="210">
        <f t="shared" si="99"/>
        <v>0</v>
      </c>
      <c r="AR87" s="94">
        <f t="shared" si="100"/>
        <v>0</v>
      </c>
    </row>
    <row r="88" spans="29:44" x14ac:dyDescent="0.25">
      <c r="AC88" s="119"/>
      <c r="AD88" s="119"/>
      <c r="AE88" s="119"/>
      <c r="AF88" s="119"/>
      <c r="AG88" s="119"/>
      <c r="AH88" s="119"/>
      <c r="AI88" s="119"/>
      <c r="AJ88" s="210" t="str">
        <f>IF(ISBLANK($C$8),"",$C$8)</f>
        <v>Category5</v>
      </c>
      <c r="AK88" s="210">
        <f t="shared" si="93"/>
        <v>0</v>
      </c>
      <c r="AL88" s="210">
        <f t="shared" si="94"/>
        <v>0</v>
      </c>
      <c r="AM88" s="210">
        <f t="shared" si="95"/>
        <v>0</v>
      </c>
      <c r="AN88" s="210">
        <f t="shared" si="96"/>
        <v>0</v>
      </c>
      <c r="AO88" s="210">
        <f t="shared" si="97"/>
        <v>0</v>
      </c>
      <c r="AP88" s="210">
        <f t="shared" si="98"/>
        <v>0</v>
      </c>
      <c r="AQ88" s="210">
        <f t="shared" si="99"/>
        <v>0</v>
      </c>
      <c r="AR88" s="94">
        <f t="shared" si="100"/>
        <v>0</v>
      </c>
    </row>
    <row r="89" spans="29:44" x14ac:dyDescent="0.25">
      <c r="AC89" s="119"/>
      <c r="AD89" s="119"/>
      <c r="AE89" s="119"/>
      <c r="AF89" s="119"/>
      <c r="AG89" s="119"/>
      <c r="AH89" s="119"/>
      <c r="AI89" s="119"/>
      <c r="AJ89" s="210" t="str">
        <f>IF(ISBLANK($C$9),"",$C$9)</f>
        <v>Category6</v>
      </c>
      <c r="AK89" s="210">
        <f t="shared" si="93"/>
        <v>0</v>
      </c>
      <c r="AL89" s="210">
        <f t="shared" si="94"/>
        <v>0</v>
      </c>
      <c r="AM89" s="210">
        <f t="shared" si="95"/>
        <v>0</v>
      </c>
      <c r="AN89" s="210">
        <f t="shared" si="96"/>
        <v>0</v>
      </c>
      <c r="AO89" s="210">
        <f t="shared" si="97"/>
        <v>0</v>
      </c>
      <c r="AP89" s="210">
        <f t="shared" si="98"/>
        <v>0</v>
      </c>
      <c r="AQ89" s="210">
        <f t="shared" si="99"/>
        <v>0</v>
      </c>
      <c r="AR89" s="94">
        <f t="shared" si="100"/>
        <v>0</v>
      </c>
    </row>
    <row r="90" spans="29:44" x14ac:dyDescent="0.25">
      <c r="AC90" s="119"/>
      <c r="AD90" s="119"/>
      <c r="AE90" s="119"/>
      <c r="AF90" s="119"/>
      <c r="AG90" s="119"/>
      <c r="AH90" s="119"/>
      <c r="AI90" s="119"/>
      <c r="AJ90" s="210" t="str">
        <f>IF(ISBLANK($C$10),"",$C$10)</f>
        <v>Category7</v>
      </c>
      <c r="AK90" s="210">
        <f t="shared" si="93"/>
        <v>0</v>
      </c>
      <c r="AL90" s="210">
        <f t="shared" si="94"/>
        <v>0</v>
      </c>
      <c r="AM90" s="210">
        <f t="shared" si="95"/>
        <v>0</v>
      </c>
      <c r="AN90" s="210">
        <f t="shared" si="96"/>
        <v>0</v>
      </c>
      <c r="AO90" s="210">
        <f t="shared" si="97"/>
        <v>0</v>
      </c>
      <c r="AP90" s="210">
        <f t="shared" si="98"/>
        <v>0</v>
      </c>
      <c r="AQ90" s="210">
        <f t="shared" si="99"/>
        <v>0</v>
      </c>
      <c r="AR90" s="94">
        <f t="shared" si="100"/>
        <v>0</v>
      </c>
    </row>
    <row r="91" spans="29:44" x14ac:dyDescent="0.25">
      <c r="AC91" s="119"/>
      <c r="AD91" s="119"/>
      <c r="AE91" s="119"/>
      <c r="AF91" s="119"/>
      <c r="AG91" s="119"/>
      <c r="AH91" s="119"/>
      <c r="AI91" s="119"/>
      <c r="AJ91" s="210" t="str">
        <f>IF(ISBLANK($C$11),"",$C$11)</f>
        <v/>
      </c>
      <c r="AK91" s="210">
        <f t="shared" si="93"/>
        <v>0</v>
      </c>
      <c r="AL91" s="210">
        <f t="shared" si="94"/>
        <v>0</v>
      </c>
      <c r="AM91" s="210">
        <f t="shared" si="95"/>
        <v>0</v>
      </c>
      <c r="AN91" s="210">
        <f t="shared" si="96"/>
        <v>0</v>
      </c>
      <c r="AO91" s="210">
        <f t="shared" si="97"/>
        <v>0</v>
      </c>
      <c r="AP91" s="210">
        <f t="shared" si="98"/>
        <v>0</v>
      </c>
      <c r="AQ91" s="210">
        <f t="shared" si="99"/>
        <v>0</v>
      </c>
      <c r="AR91" s="94">
        <f t="shared" si="100"/>
        <v>0</v>
      </c>
    </row>
    <row r="92" spans="29:44" x14ac:dyDescent="0.25">
      <c r="AC92" s="119"/>
      <c r="AD92" s="119"/>
      <c r="AE92" s="119"/>
      <c r="AF92" s="119"/>
      <c r="AG92" s="119"/>
      <c r="AH92" s="119"/>
      <c r="AI92" s="119"/>
      <c r="AJ92" s="210" t="str">
        <f>IF(ISBLANK($C$12),"",$C$12)</f>
        <v/>
      </c>
      <c r="AK92" s="210">
        <f t="shared" si="93"/>
        <v>0</v>
      </c>
      <c r="AL92" s="210">
        <f t="shared" si="94"/>
        <v>0</v>
      </c>
      <c r="AM92" s="210">
        <f t="shared" si="95"/>
        <v>0</v>
      </c>
      <c r="AN92" s="210">
        <f t="shared" si="96"/>
        <v>0</v>
      </c>
      <c r="AO92" s="210">
        <f t="shared" si="97"/>
        <v>0</v>
      </c>
      <c r="AP92" s="210">
        <f t="shared" si="98"/>
        <v>0</v>
      </c>
      <c r="AQ92" s="210">
        <f t="shared" si="99"/>
        <v>0</v>
      </c>
      <c r="AR92" s="94">
        <f t="shared" si="100"/>
        <v>0</v>
      </c>
    </row>
    <row r="93" spans="29:44" x14ac:dyDescent="0.25">
      <c r="AC93" s="119"/>
      <c r="AD93" s="119"/>
      <c r="AE93" s="119"/>
      <c r="AF93" s="119"/>
      <c r="AG93" s="119"/>
      <c r="AH93" s="119"/>
      <c r="AI93" s="119"/>
      <c r="AJ93" s="210" t="str">
        <f>IF(ISBLANK($C$13),"",$C$13)</f>
        <v/>
      </c>
      <c r="AK93" s="210">
        <f t="shared" si="93"/>
        <v>0</v>
      </c>
      <c r="AL93" s="210">
        <f t="shared" si="94"/>
        <v>0</v>
      </c>
      <c r="AM93" s="210">
        <f t="shared" si="95"/>
        <v>0</v>
      </c>
      <c r="AN93" s="210">
        <f t="shared" si="96"/>
        <v>0</v>
      </c>
      <c r="AO93" s="210">
        <f t="shared" si="97"/>
        <v>0</v>
      </c>
      <c r="AP93" s="210">
        <f t="shared" si="98"/>
        <v>0</v>
      </c>
      <c r="AQ93" s="210">
        <f t="shared" si="99"/>
        <v>0</v>
      </c>
      <c r="AR93" s="94">
        <f t="shared" si="100"/>
        <v>0</v>
      </c>
    </row>
    <row r="94" spans="29:44" x14ac:dyDescent="0.25">
      <c r="AC94" s="119"/>
      <c r="AD94" s="119"/>
      <c r="AE94" s="119"/>
      <c r="AF94" s="119"/>
      <c r="AG94" s="119"/>
      <c r="AH94" s="119"/>
      <c r="AI94" s="119"/>
      <c r="AJ94" s="210" t="str">
        <f>IF(ISBLANK($C$14),"",$C$14)</f>
        <v/>
      </c>
      <c r="AK94" s="210">
        <f t="shared" si="93"/>
        <v>0</v>
      </c>
      <c r="AL94" s="210">
        <f t="shared" si="94"/>
        <v>0</v>
      </c>
      <c r="AM94" s="210">
        <f t="shared" si="95"/>
        <v>0</v>
      </c>
      <c r="AN94" s="210">
        <f t="shared" si="96"/>
        <v>0</v>
      </c>
      <c r="AO94" s="210">
        <f t="shared" si="97"/>
        <v>0</v>
      </c>
      <c r="AP94" s="210">
        <f t="shared" si="98"/>
        <v>0</v>
      </c>
      <c r="AQ94" s="210">
        <f t="shared" si="99"/>
        <v>0</v>
      </c>
      <c r="AR94" s="94">
        <f t="shared" si="100"/>
        <v>0</v>
      </c>
    </row>
    <row r="95" spans="29:44" x14ac:dyDescent="0.25">
      <c r="AJ95" s="210" t="s">
        <v>144</v>
      </c>
      <c r="AK95" s="210">
        <f t="shared" ref="AK95:AQ95" si="101">SUM(AK84:AK94)</f>
        <v>0</v>
      </c>
      <c r="AL95" s="210">
        <f t="shared" si="101"/>
        <v>0</v>
      </c>
      <c r="AM95" s="210">
        <f t="shared" si="101"/>
        <v>0</v>
      </c>
      <c r="AN95" s="210">
        <f t="shared" si="101"/>
        <v>0</v>
      </c>
      <c r="AO95" s="210">
        <f t="shared" si="101"/>
        <v>0</v>
      </c>
      <c r="AP95" s="210">
        <f t="shared" si="101"/>
        <v>0</v>
      </c>
      <c r="AQ95" s="210">
        <f t="shared" si="101"/>
        <v>0</v>
      </c>
      <c r="AR95" s="94"/>
    </row>
    <row r="96" spans="29:44" x14ac:dyDescent="0.25">
      <c r="AJ96" s="37" t="s">
        <v>164</v>
      </c>
      <c r="AK96" s="37">
        <f>IFERROR(IF($AA$4=3,($AR84/$AJ$83)*$AG$3,($AR$44/$AJ$83)*$AG4*$AG$3),0)</f>
        <v>0</v>
      </c>
      <c r="AL96" s="37">
        <f>IFERROR(IF($AA$5=3,($AR$85/$AJ$83)*$AG$3,($AR$85/$AJ$83)*$AG5*$AG$3),0)</f>
        <v>0</v>
      </c>
      <c r="AM96" s="37">
        <f>IFERROR(IF($AA$6=3,($AR$86/$AJ$83)*$AG$3,($AR$86/$AJ$83)*$AG6*$AG$3),0)</f>
        <v>0</v>
      </c>
      <c r="AN96" s="37">
        <f>IFERROR(IF($AA$7=3,($AR$87/$AJ$83)*$AG$3,($AR$87/$AJ$83)*$AG7*$AG$3),0)</f>
        <v>0</v>
      </c>
      <c r="AO96" s="37">
        <f>IFERROR(IF($AA$8=3,($AR$88/$AJ$83)*$AG$3,($AR$88/$AJ$83)*$AG8*$AG$3),0)</f>
        <v>0</v>
      </c>
      <c r="AP96" s="37">
        <f>IFERROR(IF($AA$9=3,($AR$89/$AJ$83)*$AG$3,($AR$89/$AJ$83)*$AG9*$AG$3),0)</f>
        <v>0</v>
      </c>
      <c r="AQ96" s="37">
        <f>IFERROR(IF($AA$10=3,($AR$90/$AJ$83)*$AG$3,($AR$90/$AJ$83)*$AG$10*$AG$3),0)</f>
        <v>0</v>
      </c>
      <c r="AR96" s="207">
        <f>SUM(AK96:AQ96)</f>
        <v>0</v>
      </c>
    </row>
    <row r="97" spans="29:44" x14ac:dyDescent="0.25">
      <c r="AJ97" s="198" t="s">
        <v>165</v>
      </c>
      <c r="AK97" s="198">
        <f>IFERROR(IF($AA$4=3,($AR$84/$AJ$83)*$AI$3,($AR$84/$AJ$83)*$AI4*$AI$3),0)</f>
        <v>0</v>
      </c>
      <c r="AL97" s="198">
        <f>IFERROR(IF($AA$5=3,($AR$85/$AJ$83)*$AI$3,($AR$85/$AJ$83)*$AI5*$AI$3),0)</f>
        <v>0</v>
      </c>
      <c r="AM97" s="198">
        <f>IFERROR(IF($AA$6=3,($AR$86/$AJ$83)*$AI$3,($AR$86/$AJ$83)*$AI6*$AI$3),0)</f>
        <v>0</v>
      </c>
      <c r="AN97" s="198">
        <f>IFERROR(IF($AA$7=3,($AR$87/$AJ$83)*$AI$3,($AR$87/$AJ$83)*$AI7*$AI$3),0)</f>
        <v>0</v>
      </c>
      <c r="AO97" s="198">
        <f>IFERROR(IF($AA$8=3,($AR$88/$AJ$83)*$AI$3,($AR$88/$AJ$83)*$AI8*$AI$3),0)</f>
        <v>0</v>
      </c>
      <c r="AP97" s="198">
        <f>IFERROR(IF($AA$9=3,($AR$89/$AJ$83)*$AI$3,($AR$89/$AJ$83)*$AI9*$AI$3),0)</f>
        <v>0</v>
      </c>
      <c r="AQ97" s="198">
        <f>IFERROR(IF($AA$10=3,($AR$90/$AJ$83)*$AI$3,($AR$90/$AJ$83)*$AI$10*$AI$3),0)</f>
        <v>0</v>
      </c>
      <c r="AR97" s="208">
        <f>SUM(AK97:AQ97)</f>
        <v>0</v>
      </c>
    </row>
    <row r="98" spans="29:44" x14ac:dyDescent="0.25">
      <c r="AJ98" s="39" t="str">
        <f>IF(ISBLANK($C$4),"",$C$4)</f>
        <v>Category1</v>
      </c>
      <c r="AK98" s="39">
        <f>IFERROR(IF($AK$82&lt;$AK$81,IF(AND(AJ98=$AK$83,AA4=3),($AK$81-$AK$82),IF(AND(AA4=2,$AA$4&lt;&gt;3),$AK$81-$AK$82,0)),0),0)</f>
        <v>0</v>
      </c>
      <c r="AL98" s="39">
        <f>IFERROR(IF($AL$82&lt;$AL$81,IF(AND(AJ98=$AL$83,AA4=3),($AL$81-$AL$82),IF(AND(AA4=2,$AA$5&lt;&gt;3),$AL$81-$AL$82,0)),0),0)</f>
        <v>0</v>
      </c>
      <c r="AM98" s="39">
        <f>IFERROR(IF($AM$82&lt;$AM$81,IF(AND(AJ98=$AM$83,AA4=3),($AM$81-$AM$82),IF(AND(AA4=2,$AA$6&lt;&gt;3),$AM$81-$AM$82,0)),0),0)</f>
        <v>0</v>
      </c>
      <c r="AN98" s="39">
        <f>IFERROR(IF($AN$82&lt;$AN$81,IF(AND(AJ98=$AN$83,AA4=3),($AN$81-$AN$82),IF(AND(AA4=2,$AA$7&lt;&gt;3),$AN$81-$AN$82,0)),0),0)</f>
        <v>0</v>
      </c>
      <c r="AO98" s="39">
        <f>IFERROR(IF($AO$82&lt;$AO$81,IF(AND(AJ98=$AO$83,AA4=3),($AO$81-$AO$82),IF(AND(AA4=2,$AA$8&lt;&gt;3),$AO$81-$AO$82,0)),0),0)</f>
        <v>0</v>
      </c>
      <c r="AP98" s="39">
        <f>IFERROR(IF($AP$82&lt;$AP$81,IF(AND(AJ98=$AP$83,AA4=3),($AP$81-$AP$82),IF(AND(AA4=2,$AA$9&lt;&gt;3),$AP$81-$AP$82,0)),0),0)</f>
        <v>0</v>
      </c>
      <c r="AQ98" s="39">
        <f>IFERROR(IF($AQ$82&lt;$AQ$81,IF(AND(AJ98=$AQ$83,AA4=3),($AQ$81-$AQ$82),IF(AND(AA4=2,$AA$10&lt;&gt;3),$AQ$81-$AQ$82,0)),0),0)</f>
        <v>0</v>
      </c>
      <c r="AR98" s="122">
        <f>IF($AT$4&gt;3,SUM(AK98:AQ98),0)</f>
        <v>0</v>
      </c>
    </row>
    <row r="99" spans="29:44" x14ac:dyDescent="0.25">
      <c r="AJ99" s="39" t="str">
        <f>IF(ISBLANK($C$5),"",$C$5)</f>
        <v>Category2</v>
      </c>
      <c r="AK99" s="39">
        <f t="shared" ref="AK99:AK108" si="102">IFERROR(IF($AK$82&lt;$AK$81,IF(AND(AJ99=$AK$83,AA5=3),($AK$81-$AK$82),IF(AND(AA5=2,$AA$4&lt;&gt;3),$AK$81-$AK$82,0)),0),0)</f>
        <v>0</v>
      </c>
      <c r="AL99" s="39">
        <f t="shared" ref="AL99:AL108" si="103">IFERROR(IF($AL$82&lt;$AL$81,IF(AND(AJ99=$AL$83,AA5=3),($AL$81-$AL$82),IF(AND(AA5=2,$AA$5&lt;&gt;3),$AL$81-$AL$82,0)),0),0)</f>
        <v>0</v>
      </c>
      <c r="AM99" s="39">
        <f t="shared" ref="AM99:AM108" si="104">IFERROR(IF($AM$82&lt;$AM$81,IF(AND(AJ99=$AM$83,AA5=3),($AM$81-$AM$82),IF(AND(AA5=2,$AA$6&lt;&gt;3),$AM$81-$AM$82,0)),0),0)</f>
        <v>0</v>
      </c>
      <c r="AN99" s="39">
        <f t="shared" ref="AN99:AN108" si="105">IFERROR(IF($AN$82&lt;$AN$81,IF(AND(AJ99=$AN$83,AA5=3),($AN$81-$AN$82),IF(AND(AA5=2,$AA$7&lt;&gt;3),$AN$81-$AN$82,0)),0),0)</f>
        <v>0</v>
      </c>
      <c r="AO99" s="39">
        <f t="shared" ref="AO99:AO108" si="106">IFERROR(IF($AO$82&lt;$AO$81,IF(AND(AJ99=$AO$83,AA5=3),($AO$81-$AO$82),IF(AND(AA5=2,$AA$8&lt;&gt;3),$AO$81-$AO$82,0)),0),0)</f>
        <v>0</v>
      </c>
      <c r="AP99" s="39">
        <f t="shared" ref="AP99:AP108" si="107">IFERROR(IF($AP$82&lt;$AP$81,IF(AND(AJ99=$AP$83,AA5=3),($AP$81-$AP$82),IF(AND(AA5=2,$AA$9&lt;&gt;3),$AP$81-$AP$82,0)),0),0)</f>
        <v>0</v>
      </c>
      <c r="AQ99" s="39">
        <f t="shared" ref="AQ99:AQ108" si="108">IFERROR(IF($AQ$82&lt;$AQ$81,IF(AND(AJ99=$AQ$83,AA5=3),($AQ$81-$AQ$82),IF(AND(AA5=2,$AA$10&lt;&gt;3),$AQ$81-$AQ$82,0)),0),0)</f>
        <v>0</v>
      </c>
      <c r="AR99" s="122">
        <f t="shared" ref="AR99:AR108" si="109">IF($AT$4&gt;3,SUM(AK99:AQ99),0)</f>
        <v>0</v>
      </c>
    </row>
    <row r="100" spans="29:44" x14ac:dyDescent="0.25">
      <c r="AJ100" s="39" t="str">
        <f>IF(ISBLANK($C$6),"",$C$6)</f>
        <v>Category3</v>
      </c>
      <c r="AK100" s="39">
        <f t="shared" si="102"/>
        <v>0</v>
      </c>
      <c r="AL100" s="39">
        <f t="shared" si="103"/>
        <v>0</v>
      </c>
      <c r="AM100" s="39">
        <f t="shared" si="104"/>
        <v>0</v>
      </c>
      <c r="AN100" s="39">
        <f t="shared" si="105"/>
        <v>0</v>
      </c>
      <c r="AO100" s="39">
        <f t="shared" si="106"/>
        <v>0</v>
      </c>
      <c r="AP100" s="39">
        <f t="shared" si="107"/>
        <v>0</v>
      </c>
      <c r="AQ100" s="39">
        <f t="shared" si="108"/>
        <v>0</v>
      </c>
      <c r="AR100" s="122">
        <f t="shared" si="109"/>
        <v>0</v>
      </c>
    </row>
    <row r="101" spans="29:44" x14ac:dyDescent="0.25">
      <c r="AJ101" s="39" t="str">
        <f>IF(ISBLANK($C$7),"",$C$7)</f>
        <v>Category4</v>
      </c>
      <c r="AK101" s="39">
        <f t="shared" si="102"/>
        <v>0</v>
      </c>
      <c r="AL101" s="39">
        <f t="shared" si="103"/>
        <v>0</v>
      </c>
      <c r="AM101" s="39">
        <f t="shared" si="104"/>
        <v>0</v>
      </c>
      <c r="AN101" s="39">
        <f t="shared" si="105"/>
        <v>0</v>
      </c>
      <c r="AO101" s="39">
        <f t="shared" si="106"/>
        <v>0</v>
      </c>
      <c r="AP101" s="39">
        <f t="shared" si="107"/>
        <v>0</v>
      </c>
      <c r="AQ101" s="39">
        <f t="shared" si="108"/>
        <v>0</v>
      </c>
      <c r="AR101" s="122">
        <f t="shared" si="109"/>
        <v>0</v>
      </c>
    </row>
    <row r="102" spans="29:44" x14ac:dyDescent="0.25">
      <c r="AJ102" s="39" t="str">
        <f>IF(ISBLANK($C$8),"",$C$8)</f>
        <v>Category5</v>
      </c>
      <c r="AK102" s="39">
        <f t="shared" si="102"/>
        <v>0</v>
      </c>
      <c r="AL102" s="39">
        <f t="shared" si="103"/>
        <v>0</v>
      </c>
      <c r="AM102" s="39">
        <f t="shared" si="104"/>
        <v>0</v>
      </c>
      <c r="AN102" s="39">
        <f t="shared" si="105"/>
        <v>0</v>
      </c>
      <c r="AO102" s="39">
        <f t="shared" si="106"/>
        <v>0</v>
      </c>
      <c r="AP102" s="39">
        <f t="shared" si="107"/>
        <v>0</v>
      </c>
      <c r="AQ102" s="39">
        <f t="shared" si="108"/>
        <v>0</v>
      </c>
      <c r="AR102" s="122">
        <f t="shared" si="109"/>
        <v>0</v>
      </c>
    </row>
    <row r="103" spans="29:44" x14ac:dyDescent="0.25">
      <c r="AC103" s="119"/>
      <c r="AD103" s="119"/>
      <c r="AE103" s="119"/>
      <c r="AF103" s="119"/>
      <c r="AG103" s="119"/>
      <c r="AH103" s="119"/>
      <c r="AI103" s="119"/>
      <c r="AJ103" s="39" t="str">
        <f>IF(ISBLANK($C$9),"",$C$9)</f>
        <v>Category6</v>
      </c>
      <c r="AK103" s="39">
        <f t="shared" si="102"/>
        <v>0</v>
      </c>
      <c r="AL103" s="39">
        <f t="shared" si="103"/>
        <v>0</v>
      </c>
      <c r="AM103" s="39">
        <f t="shared" si="104"/>
        <v>0</v>
      </c>
      <c r="AN103" s="39">
        <f t="shared" si="105"/>
        <v>0</v>
      </c>
      <c r="AO103" s="39">
        <f t="shared" si="106"/>
        <v>0</v>
      </c>
      <c r="AP103" s="39">
        <f t="shared" si="107"/>
        <v>0</v>
      </c>
      <c r="AQ103" s="39">
        <f t="shared" si="108"/>
        <v>0</v>
      </c>
      <c r="AR103" s="122">
        <f t="shared" si="109"/>
        <v>0</v>
      </c>
    </row>
    <row r="104" spans="29:44" x14ac:dyDescent="0.25">
      <c r="AC104" s="119"/>
      <c r="AD104" s="119"/>
      <c r="AE104" s="119"/>
      <c r="AF104" s="119"/>
      <c r="AG104" s="119"/>
      <c r="AH104" s="119"/>
      <c r="AI104" s="119"/>
      <c r="AJ104" s="39" t="str">
        <f>IF(ISBLANK($C$10),"",$C$10)</f>
        <v>Category7</v>
      </c>
      <c r="AK104" s="39">
        <f t="shared" si="102"/>
        <v>0</v>
      </c>
      <c r="AL104" s="39">
        <f t="shared" si="103"/>
        <v>0</v>
      </c>
      <c r="AM104" s="39">
        <f t="shared" si="104"/>
        <v>0</v>
      </c>
      <c r="AN104" s="39">
        <f t="shared" si="105"/>
        <v>0</v>
      </c>
      <c r="AO104" s="39">
        <f t="shared" si="106"/>
        <v>0</v>
      </c>
      <c r="AP104" s="39">
        <f t="shared" si="107"/>
        <v>0</v>
      </c>
      <c r="AQ104" s="39">
        <f t="shared" si="108"/>
        <v>0</v>
      </c>
      <c r="AR104" s="122">
        <f t="shared" si="109"/>
        <v>0</v>
      </c>
    </row>
    <row r="105" spans="29:44" x14ac:dyDescent="0.25">
      <c r="AC105" s="119"/>
      <c r="AD105" s="119"/>
      <c r="AE105" s="119"/>
      <c r="AF105" s="119"/>
      <c r="AG105" s="119"/>
      <c r="AH105" s="119"/>
      <c r="AI105" s="119"/>
      <c r="AJ105" s="39" t="str">
        <f>IF(ISBLANK($C$11),"",$C$11)</f>
        <v/>
      </c>
      <c r="AK105" s="39">
        <f t="shared" si="102"/>
        <v>0</v>
      </c>
      <c r="AL105" s="39">
        <f t="shared" si="103"/>
        <v>0</v>
      </c>
      <c r="AM105" s="39">
        <f t="shared" si="104"/>
        <v>0</v>
      </c>
      <c r="AN105" s="39">
        <f t="shared" si="105"/>
        <v>0</v>
      </c>
      <c r="AO105" s="39">
        <f t="shared" si="106"/>
        <v>0</v>
      </c>
      <c r="AP105" s="39">
        <f t="shared" si="107"/>
        <v>0</v>
      </c>
      <c r="AQ105" s="39">
        <f t="shared" si="108"/>
        <v>0</v>
      </c>
      <c r="AR105" s="122">
        <f t="shared" si="109"/>
        <v>0</v>
      </c>
    </row>
    <row r="106" spans="29:44" x14ac:dyDescent="0.25">
      <c r="AC106" s="119"/>
      <c r="AD106" s="119"/>
      <c r="AE106" s="119"/>
      <c r="AF106" s="119"/>
      <c r="AG106" s="119"/>
      <c r="AH106" s="119"/>
      <c r="AI106" s="119"/>
      <c r="AJ106" s="39" t="str">
        <f>IF(ISBLANK($C$12),"",$C$12)</f>
        <v/>
      </c>
      <c r="AK106" s="39">
        <f t="shared" si="102"/>
        <v>0</v>
      </c>
      <c r="AL106" s="39">
        <f t="shared" si="103"/>
        <v>0</v>
      </c>
      <c r="AM106" s="39">
        <f t="shared" si="104"/>
        <v>0</v>
      </c>
      <c r="AN106" s="39">
        <f t="shared" si="105"/>
        <v>0</v>
      </c>
      <c r="AO106" s="39">
        <f t="shared" si="106"/>
        <v>0</v>
      </c>
      <c r="AP106" s="39">
        <f t="shared" si="107"/>
        <v>0</v>
      </c>
      <c r="AQ106" s="39">
        <f t="shared" si="108"/>
        <v>0</v>
      </c>
      <c r="AR106" s="122">
        <f t="shared" si="109"/>
        <v>0</v>
      </c>
    </row>
    <row r="107" spans="29:44" x14ac:dyDescent="0.25">
      <c r="AC107" s="119"/>
      <c r="AD107" s="119"/>
      <c r="AE107" s="119"/>
      <c r="AF107" s="119"/>
      <c r="AG107" s="119"/>
      <c r="AH107" s="119"/>
      <c r="AI107" s="119"/>
      <c r="AJ107" s="39" t="str">
        <f>IF(ISBLANK($C$13),"",$C$13)</f>
        <v/>
      </c>
      <c r="AK107" s="39">
        <f t="shared" si="102"/>
        <v>0</v>
      </c>
      <c r="AL107" s="39">
        <f t="shared" si="103"/>
        <v>0</v>
      </c>
      <c r="AM107" s="39">
        <f t="shared" si="104"/>
        <v>0</v>
      </c>
      <c r="AN107" s="39">
        <f t="shared" si="105"/>
        <v>0</v>
      </c>
      <c r="AO107" s="39">
        <f t="shared" si="106"/>
        <v>0</v>
      </c>
      <c r="AP107" s="39">
        <f t="shared" si="107"/>
        <v>0</v>
      </c>
      <c r="AQ107" s="39">
        <f t="shared" si="108"/>
        <v>0</v>
      </c>
      <c r="AR107" s="122">
        <f t="shared" si="109"/>
        <v>0</v>
      </c>
    </row>
    <row r="108" spans="29:44" x14ac:dyDescent="0.25">
      <c r="AC108" s="119"/>
      <c r="AD108" s="119"/>
      <c r="AE108" s="119"/>
      <c r="AF108" s="119"/>
      <c r="AG108" s="119"/>
      <c r="AH108" s="119"/>
      <c r="AI108" s="119"/>
      <c r="AJ108" s="39" t="str">
        <f>IF(ISBLANK($C$14),"",$C$14)</f>
        <v/>
      </c>
      <c r="AK108" s="39">
        <f t="shared" si="102"/>
        <v>0</v>
      </c>
      <c r="AL108" s="39">
        <f t="shared" si="103"/>
        <v>0</v>
      </c>
      <c r="AM108" s="39">
        <f t="shared" si="104"/>
        <v>0</v>
      </c>
      <c r="AN108" s="39">
        <f t="shared" si="105"/>
        <v>0</v>
      </c>
      <c r="AO108" s="39">
        <f t="shared" si="106"/>
        <v>0</v>
      </c>
      <c r="AP108" s="39">
        <f t="shared" si="107"/>
        <v>0</v>
      </c>
      <c r="AQ108" s="39">
        <f t="shared" si="108"/>
        <v>0</v>
      </c>
      <c r="AR108" s="122">
        <f t="shared" si="109"/>
        <v>0</v>
      </c>
    </row>
    <row r="109" spans="29:44" x14ac:dyDescent="0.25">
      <c r="AC109" s="119"/>
      <c r="AD109" s="119"/>
      <c r="AE109" s="119"/>
      <c r="AF109" s="119"/>
      <c r="AG109" s="119"/>
      <c r="AH109" s="119"/>
      <c r="AI109" s="119"/>
      <c r="AJ109" s="122"/>
      <c r="AK109" s="39">
        <f t="shared" ref="AK109:AQ109" si="110">SUM(AK98:AK108)</f>
        <v>0</v>
      </c>
      <c r="AL109" s="39">
        <f t="shared" si="110"/>
        <v>0</v>
      </c>
      <c r="AM109" s="39">
        <f t="shared" si="110"/>
        <v>0</v>
      </c>
      <c r="AN109" s="39">
        <f t="shared" si="110"/>
        <v>0</v>
      </c>
      <c r="AO109" s="39">
        <f t="shared" si="110"/>
        <v>0</v>
      </c>
      <c r="AP109" s="39">
        <f t="shared" si="110"/>
        <v>0</v>
      </c>
      <c r="AQ109" s="39">
        <f t="shared" si="110"/>
        <v>0</v>
      </c>
      <c r="AR109" s="122"/>
    </row>
    <row r="110" spans="29:44" x14ac:dyDescent="0.25">
      <c r="AC110" s="119"/>
      <c r="AD110" s="119"/>
      <c r="AE110" s="119"/>
      <c r="AF110" s="119"/>
      <c r="AG110" s="119"/>
      <c r="AH110" s="119"/>
      <c r="AI110" s="119"/>
      <c r="AJ110" s="39" t="s">
        <v>144</v>
      </c>
      <c r="AK110" s="45">
        <f>IF($AT$4&gt;2,SUM(AK98:AK108),0)</f>
        <v>0</v>
      </c>
      <c r="AL110" s="45">
        <f t="shared" ref="AL110:AQ110" si="111">IF($AT$4&gt;2,SUM(AL98:AL108),0)</f>
        <v>0</v>
      </c>
      <c r="AM110" s="45">
        <f t="shared" si="111"/>
        <v>0</v>
      </c>
      <c r="AN110" s="45">
        <f t="shared" si="111"/>
        <v>0</v>
      </c>
      <c r="AO110" s="45">
        <f t="shared" si="111"/>
        <v>0</v>
      </c>
      <c r="AP110" s="45">
        <f t="shared" si="111"/>
        <v>0</v>
      </c>
      <c r="AQ110" s="45">
        <f t="shared" si="111"/>
        <v>0</v>
      </c>
      <c r="AR110" s="39"/>
    </row>
    <row r="111" spans="29:44" x14ac:dyDescent="0.25">
      <c r="AC111" s="119"/>
      <c r="AD111" s="119"/>
      <c r="AE111" s="119"/>
      <c r="AF111" s="119"/>
      <c r="AG111" s="119"/>
      <c r="AH111" s="119"/>
      <c r="AI111" s="119"/>
      <c r="AJ111" s="37" t="s">
        <v>164</v>
      </c>
      <c r="AK111" s="37">
        <f>IFERROR(IF($AA4=3,($AR$98/$AJ$83)*$AG$3,($AR$98/$AJ$83)*$AG4*$AG$3),0)</f>
        <v>0</v>
      </c>
      <c r="AL111" s="37">
        <f>IFERROR(IF($AA$5=3,($AR$99/$AJ$83)*$AG$3,($AR$99/$AJ$83)*$AG5*$AG$3),0)</f>
        <v>0</v>
      </c>
      <c r="AM111" s="37">
        <f>IFERROR(IF($AA$6=3,($AR$100/$AJ$83)*$AG$3,($AR$100/$AJ$83)*$AG6*$AG$3),0)</f>
        <v>0</v>
      </c>
      <c r="AN111" s="37">
        <f>IFERROR(IF($AA$7=3,($AR$101/$AJ$83)*$AG$3,($AR$101/$AJ$83)*$AG7*$AG$3),0)</f>
        <v>0</v>
      </c>
      <c r="AO111" s="37">
        <f>IFERROR(IF($AA$8=3,($AR102/$AJ$83)*$AG$3,($AR102/$AJ$83)*$AG$8*$AG$3),0)</f>
        <v>0</v>
      </c>
      <c r="AP111" s="37">
        <f>IFERROR(IF($AA$9=3,($AR103/$AJ$83)*$AG$3,($AR103/$AJ$83)*$AG9*$AG$3),0)</f>
        <v>0</v>
      </c>
      <c r="AQ111" s="37">
        <f>IFERROR(IF($AA$10=3,($AR$104/$AJ$83)*$AG$3,($AR$104/$AJ$83)*$AG$10*$AG$3),0)</f>
        <v>0</v>
      </c>
      <c r="AR111" s="207">
        <f>SUM(AK111:AQ111)</f>
        <v>0</v>
      </c>
    </row>
    <row r="112" spans="29:44" x14ac:dyDescent="0.25">
      <c r="AC112" s="119"/>
      <c r="AD112" s="119"/>
      <c r="AE112" s="119"/>
      <c r="AF112" s="119"/>
      <c r="AG112" s="119"/>
      <c r="AH112" s="119"/>
      <c r="AI112" s="119"/>
      <c r="AJ112" s="198" t="s">
        <v>165</v>
      </c>
      <c r="AK112" s="198">
        <f>IFERROR(IF($AA4=3,($AR$98/$AJ$83)*$AI$3,($AR$98/$AJ$83)*$AI4*$AI$3),0)</f>
        <v>0</v>
      </c>
      <c r="AL112" s="198">
        <f>IFERROR(IF($AA$5=3,($AR$99/$AJ$83)*$AI$3,($AR$99/$AJ$83)*$AI5*$AI$3),0)</f>
        <v>0</v>
      </c>
      <c r="AM112" s="198">
        <f>IFERROR(IF($AA$6=3,($AR$100/$AJ$83)*$AI$3,($AR$100/$AJ$83)*$AI6*$AI$3),0)</f>
        <v>0</v>
      </c>
      <c r="AN112" s="198">
        <f>IFERROR(IF($AA$7=3,($AR$101/$AJ$83)*$AI$3,($AR$101/$AJ$83)*$AI7*$AI$3),0)</f>
        <v>0</v>
      </c>
      <c r="AO112" s="198">
        <f>IFERROR(IF($AA$8=3,($AR102/$AJ$83)*$AI$3,($AR102/$AJ$83)*$AI$8*$AI$3),0)</f>
        <v>0</v>
      </c>
      <c r="AP112" s="198">
        <f>IFERROR(IF($AA$9=3,($AR103/$AJ$83)*$AI$3,($AR103/$AJ$83)*$AI$9*$AI$3),0)</f>
        <v>0</v>
      </c>
      <c r="AQ112" s="198">
        <f>IFERROR(IF($AA$10=3,($AR$104/$AJ$83)*$AI$3,($AR$104/$AJ$83)*$AI$10*$AI$3),0)</f>
        <v>0</v>
      </c>
      <c r="AR112" s="208">
        <f>SUM(AK112:AQ112)</f>
        <v>0</v>
      </c>
    </row>
    <row r="113" spans="29:44" x14ac:dyDescent="0.25">
      <c r="AC113" s="119"/>
      <c r="AD113" s="119"/>
      <c r="AE113" s="119"/>
      <c r="AF113" s="119"/>
      <c r="AG113" s="119"/>
      <c r="AH113" s="119"/>
      <c r="AI113" s="119"/>
      <c r="AJ113" s="124" t="s">
        <v>164</v>
      </c>
      <c r="AK113" s="124">
        <f>AK111-AK96+AK77+AK38</f>
        <v>0</v>
      </c>
      <c r="AL113" s="124">
        <f t="shared" ref="AL113:AQ113" si="112">AL111-AL96+AL77+AL38</f>
        <v>0</v>
      </c>
      <c r="AM113" s="124">
        <f t="shared" si="112"/>
        <v>0</v>
      </c>
      <c r="AN113" s="124">
        <f t="shared" si="112"/>
        <v>0</v>
      </c>
      <c r="AO113" s="124">
        <f t="shared" si="112"/>
        <v>0</v>
      </c>
      <c r="AP113" s="124">
        <f t="shared" si="112"/>
        <v>0</v>
      </c>
      <c r="AQ113" s="124">
        <f t="shared" si="112"/>
        <v>0</v>
      </c>
    </row>
    <row r="114" spans="29:44" x14ac:dyDescent="0.25">
      <c r="AJ114" s="124" t="s">
        <v>165</v>
      </c>
      <c r="AK114" s="124">
        <f>AK112-AK97</f>
        <v>0</v>
      </c>
      <c r="AL114" s="124">
        <f t="shared" ref="AL114:AQ114" si="113">AL112-AL97</f>
        <v>0</v>
      </c>
      <c r="AM114" s="124">
        <f>AM112-AM97</f>
        <v>0</v>
      </c>
      <c r="AN114" s="124">
        <f t="shared" si="113"/>
        <v>0</v>
      </c>
      <c r="AO114" s="124">
        <f t="shared" si="113"/>
        <v>0</v>
      </c>
      <c r="AP114" s="124">
        <f t="shared" si="113"/>
        <v>0</v>
      </c>
      <c r="AQ114" s="124">
        <f t="shared" si="113"/>
        <v>0</v>
      </c>
    </row>
    <row r="115" spans="29:44" x14ac:dyDescent="0.25">
      <c r="AJ115" s="125" t="s">
        <v>145</v>
      </c>
      <c r="AK115" s="125">
        <f>IF(AND($AT$4&gt;1,AK113&gt;=0),AK113,0)</f>
        <v>0</v>
      </c>
      <c r="AL115" s="125">
        <f t="shared" ref="AL115:AQ115" si="114">IF(AND($AT$4&gt;1,AL113&gt;=0),AL113,0)</f>
        <v>0</v>
      </c>
      <c r="AM115" s="125">
        <f t="shared" si="114"/>
        <v>0</v>
      </c>
      <c r="AN115" s="125">
        <f t="shared" si="114"/>
        <v>0</v>
      </c>
      <c r="AO115" s="125">
        <f t="shared" si="114"/>
        <v>0</v>
      </c>
      <c r="AP115" s="125">
        <f t="shared" si="114"/>
        <v>0</v>
      </c>
      <c r="AQ115" s="125">
        <f t="shared" si="114"/>
        <v>0</v>
      </c>
    </row>
    <row r="116" spans="29:44" x14ac:dyDescent="0.25">
      <c r="AC116" s="119"/>
      <c r="AD116" s="119"/>
      <c r="AE116" s="119"/>
      <c r="AF116" s="119"/>
      <c r="AG116" s="119"/>
      <c r="AH116" s="119"/>
      <c r="AI116" s="119"/>
      <c r="AJ116" s="125" t="s">
        <v>160</v>
      </c>
      <c r="AK116" s="125">
        <f>IF(AK$113&lt;0,ABS(AK$113),0)</f>
        <v>0</v>
      </c>
      <c r="AL116" s="125">
        <f t="shared" ref="AL116:AQ116" si="115">IF(AL$113&lt;0,ABS(AL$113),0)</f>
        <v>0</v>
      </c>
      <c r="AM116" s="125">
        <f t="shared" si="115"/>
        <v>0</v>
      </c>
      <c r="AN116" s="125">
        <f t="shared" si="115"/>
        <v>0</v>
      </c>
      <c r="AO116" s="125">
        <f t="shared" si="115"/>
        <v>0</v>
      </c>
      <c r="AP116" s="125">
        <f t="shared" si="115"/>
        <v>0</v>
      </c>
      <c r="AQ116" s="125">
        <f t="shared" si="115"/>
        <v>0</v>
      </c>
    </row>
    <row r="117" spans="29:44" x14ac:dyDescent="0.25">
      <c r="AJ117" s="5"/>
      <c r="AK117" s="9">
        <f>J20</f>
        <v>0</v>
      </c>
      <c r="AL117" s="9">
        <f>L20</f>
        <v>0</v>
      </c>
      <c r="AM117" s="9">
        <f>N20</f>
        <v>0</v>
      </c>
      <c r="AN117" s="9">
        <f>P20</f>
        <v>0</v>
      </c>
      <c r="AO117" s="9">
        <f>R20</f>
        <v>0</v>
      </c>
      <c r="AP117" s="9">
        <f>T20</f>
        <v>0</v>
      </c>
      <c r="AQ117" s="9">
        <f>V20</f>
        <v>0</v>
      </c>
    </row>
    <row r="118" spans="29:44" x14ac:dyDescent="0.25">
      <c r="AC118" s="119"/>
      <c r="AD118" s="119"/>
      <c r="AE118" s="119"/>
      <c r="AF118" s="119"/>
      <c r="AG118" s="119"/>
      <c r="AH118" s="119"/>
      <c r="AI118" s="119"/>
      <c r="AJ118" s="5"/>
      <c r="AK118" s="9">
        <f>IF(AT4&gt;3,K20+AK116,AK116)</f>
        <v>0</v>
      </c>
      <c r="AL118" s="9">
        <f>IF(AT4&gt;3,M20+AL116,AL116)</f>
        <v>0</v>
      </c>
      <c r="AM118" s="9">
        <f>IF(AT4&gt;3,O20+AM116,AM116)</f>
        <v>0</v>
      </c>
      <c r="AN118" s="9">
        <f>IF(AT4&gt;3,Q20+AN116,AN116)</f>
        <v>0</v>
      </c>
      <c r="AO118" s="9">
        <f>IF(AT4&gt;3,S20+AO116,AO116)</f>
        <v>0</v>
      </c>
      <c r="AP118" s="9">
        <f>IF(AT4&gt;3,U20+AP116,AP116)</f>
        <v>0</v>
      </c>
      <c r="AQ118" s="9">
        <f>IF(AT4&gt;3,W20+AQ116,AQ116)</f>
        <v>0</v>
      </c>
    </row>
    <row r="119" spans="29:44" x14ac:dyDescent="0.25">
      <c r="AC119" s="119"/>
      <c r="AD119" s="119"/>
      <c r="AE119" s="119"/>
      <c r="AF119" s="119"/>
      <c r="AG119" s="119"/>
      <c r="AH119" s="119"/>
      <c r="AI119" s="119"/>
      <c r="AJ119" s="204">
        <f>IF($AJ$3-3&lt;0,0,$AJ$3-3)</f>
        <v>0</v>
      </c>
      <c r="AK119" s="22" t="str">
        <f>$J$4</f>
        <v>Category1</v>
      </c>
      <c r="AL119" s="22" t="str">
        <f>$L$4</f>
        <v>Category2</v>
      </c>
      <c r="AM119" s="22" t="str">
        <f>$N$4</f>
        <v>Category3</v>
      </c>
      <c r="AN119" s="22" t="str">
        <f>$P$4</f>
        <v>Category4</v>
      </c>
      <c r="AO119" s="22" t="str">
        <f>$R$4</f>
        <v>Category5</v>
      </c>
      <c r="AP119" s="22" t="str">
        <f>$T$4</f>
        <v>Category6</v>
      </c>
      <c r="AQ119" s="22" t="str">
        <f>$V$4</f>
        <v>Category7</v>
      </c>
      <c r="AR119" s="22" t="s">
        <v>144</v>
      </c>
    </row>
    <row r="120" spans="29:44" x14ac:dyDescent="0.25">
      <c r="AC120" s="119"/>
      <c r="AD120" s="119"/>
      <c r="AE120" s="119"/>
      <c r="AF120" s="119"/>
      <c r="AG120" s="119"/>
      <c r="AH120" s="119"/>
      <c r="AI120" s="119"/>
      <c r="AJ120" s="210" t="str">
        <f>IF(ISBLANK($C$4),"",$C$4)</f>
        <v>Category1</v>
      </c>
      <c r="AK120" s="210">
        <f>IFERROR(IF($AK$118&gt;$AK$117,IF(AND(AJ120=$AK$119,AA4=3),($AK$118-$AK$117),IF(AND(AA4=2,$AA$4&lt;&gt;3),$AK$118-$AK$117)),0),0)</f>
        <v>0</v>
      </c>
      <c r="AL120" s="210">
        <f>IFERROR(IF($AL$118&gt;$AL$117,IF(AND(AJ120=$AL$119,AA4=3),($AL$118-$AL$117),IF(AND(AA4=2,$AA$5&lt;&gt;3),$AL$118-$AL$117)),0),0)</f>
        <v>0</v>
      </c>
      <c r="AM120" s="210">
        <f>IFERROR(IF($AM$118&gt;$AM$117,IF(AND(AJ120=$AM$119,AA4=3),($AM$118-$AM$117),IF(AND(AA4=2,$AA$6&lt;&gt;3),$AM$118-$AM$117)),0),0)</f>
        <v>0</v>
      </c>
      <c r="AN120" s="210">
        <f>IFERROR(IF($AN$118&gt;$AN$117,IF(AND(AJ120=$AN$119,AA4=3),($AN$118-$AN$117),IF(AND(AA4=2,$AA$7&lt;&gt;3),$AN$118-$AN$117)),0),0)</f>
        <v>0</v>
      </c>
      <c r="AO120" s="210">
        <f>IFERROR(IF($AO$118&gt;$AO$117,IF(AND(AJ120=$AO$119,AA4=3),($AO$118-$AO$117),IF(AND(AA4=2,$AA$8&lt;&gt;3),$AO$118-$AO$117)),0),0)</f>
        <v>0</v>
      </c>
      <c r="AP120" s="210">
        <f>IFERROR(IF($AP$118&gt;$AP$117,IF(AND(AJ120=$AP$119,AA4=3),($AP$118-$AP$117),IF(AND(AA4=2,$AA$9&lt;&gt;3),$AP$118-$AP$117)),0),0)</f>
        <v>0</v>
      </c>
      <c r="AQ120" s="210">
        <f>IFERROR(IF($AQ$118&gt;$AQ$117,IF(AND(AJ120=$AQ$119,AA4=3),($AQ$118-$AQ$117),IF(AND(AA4=2,$AA$10&lt;&gt;3),$AQ$118-$AQ$117)),0),0)</f>
        <v>0</v>
      </c>
      <c r="AR120" s="94">
        <f>IF($AT$4&gt;3,SUM(AK120:AQ120),0)</f>
        <v>0</v>
      </c>
    </row>
    <row r="121" spans="29:44" x14ac:dyDescent="0.25">
      <c r="AC121" s="119"/>
      <c r="AD121" s="119"/>
      <c r="AE121" s="119"/>
      <c r="AF121" s="119"/>
      <c r="AG121" s="119"/>
      <c r="AH121" s="119"/>
      <c r="AI121" s="119"/>
      <c r="AJ121" s="210" t="str">
        <f>IF(ISBLANK($C$5),"",$C$5)</f>
        <v>Category2</v>
      </c>
      <c r="AK121" s="210">
        <f t="shared" ref="AK121:AK130" si="116">IFERROR(IF($AK$118&gt;$AK$117,IF(AND(AJ121=$AK$119,AA5=3),($AK$118-$AK$117),IF(AND(AA5=2,$AA$4&lt;&gt;3),$AK$118-$AK$117)),0),0)</f>
        <v>0</v>
      </c>
      <c r="AL121" s="210">
        <f t="shared" ref="AL121:AL130" si="117">IFERROR(IF($AL$118&gt;$AL$117,IF(AND(AJ121=$AL$119,AA5=3),($AL$118-$AL$117),IF(AND(AA5=2,$AA$5&lt;&gt;3),$AL$118-$AL$117)),0),0)</f>
        <v>0</v>
      </c>
      <c r="AM121" s="210">
        <f t="shared" ref="AM121:AM130" si="118">IFERROR(IF($AM$118&gt;$AM$117,IF(AND(AJ121=$AM$119,AA5=3),($AM$118-$AM$117),IF(AND(AA5=2,$AA$6&lt;&gt;3),$AM$118-$AM$117)),0),0)</f>
        <v>0</v>
      </c>
      <c r="AN121" s="210">
        <f t="shared" ref="AN121:AN130" si="119">IFERROR(IF($AN$118&gt;$AN$117,IF(AND(AJ121=$AN$119,AA5=3),($AN$118-$AN$117),IF(AND(AA5=2,$AA$7&lt;&gt;3),$AN$118-$AN$117)),0),0)</f>
        <v>0</v>
      </c>
      <c r="AO121" s="210">
        <f t="shared" ref="AO121:AO130" si="120">IFERROR(IF($AO$118&gt;$AO$117,IF(AND(AJ121=$AO$119,AA5=3),($AO$118-$AO$117),IF(AND(AA5=2,$AA$8&lt;&gt;3),$AO$118-$AO$117)),0),0)</f>
        <v>0</v>
      </c>
      <c r="AP121" s="210">
        <f t="shared" ref="AP121:AP130" si="121">IFERROR(IF($AP$118&gt;$AP$117,IF(AND(AJ121=$AP$119,AA5=3),($AP$118-$AP$117),IF(AND(AA5=2,$AA$9&lt;&gt;3),$AP$118-$AP$117)),0),0)</f>
        <v>0</v>
      </c>
      <c r="AQ121" s="210">
        <f t="shared" ref="AQ121:AQ130" si="122">IFERROR(IF($AQ$118&gt;$AQ$117,IF(AND(AJ121=$AQ$119,AA5=3),($AQ$118-$AQ$117),IF(AND(AA5=2,$AA$10&lt;&gt;3),$AQ$118-$AQ$117)),0),0)</f>
        <v>0</v>
      </c>
      <c r="AR121" s="94">
        <f t="shared" ref="AR121:AR130" si="123">IF($AT$4&gt;3,SUM(AK121:AQ121),0)</f>
        <v>0</v>
      </c>
    </row>
    <row r="122" spans="29:44" x14ac:dyDescent="0.25">
      <c r="AC122" s="119"/>
      <c r="AD122" s="119"/>
      <c r="AE122" s="119"/>
      <c r="AF122" s="119"/>
      <c r="AG122" s="119"/>
      <c r="AH122" s="119"/>
      <c r="AI122" s="119"/>
      <c r="AJ122" s="210" t="str">
        <f>IF(ISBLANK($C$6),"",$C$6)</f>
        <v>Category3</v>
      </c>
      <c r="AK122" s="210">
        <f t="shared" si="116"/>
        <v>0</v>
      </c>
      <c r="AL122" s="210">
        <f t="shared" si="117"/>
        <v>0</v>
      </c>
      <c r="AM122" s="210">
        <f t="shared" si="118"/>
        <v>0</v>
      </c>
      <c r="AN122" s="210">
        <f t="shared" si="119"/>
        <v>0</v>
      </c>
      <c r="AO122" s="210">
        <f t="shared" si="120"/>
        <v>0</v>
      </c>
      <c r="AP122" s="210">
        <f t="shared" si="121"/>
        <v>0</v>
      </c>
      <c r="AQ122" s="210">
        <f t="shared" si="122"/>
        <v>0</v>
      </c>
      <c r="AR122" s="94">
        <f t="shared" si="123"/>
        <v>0</v>
      </c>
    </row>
    <row r="123" spans="29:44" x14ac:dyDescent="0.25">
      <c r="AC123" s="119"/>
      <c r="AD123" s="119"/>
      <c r="AE123" s="119"/>
      <c r="AF123" s="119"/>
      <c r="AG123" s="119"/>
      <c r="AH123" s="119"/>
      <c r="AI123" s="119"/>
      <c r="AJ123" s="210" t="str">
        <f>IF(ISBLANK($C$7),"",$C$7)</f>
        <v>Category4</v>
      </c>
      <c r="AK123" s="210">
        <f t="shared" si="116"/>
        <v>0</v>
      </c>
      <c r="AL123" s="210">
        <f t="shared" si="117"/>
        <v>0</v>
      </c>
      <c r="AM123" s="210">
        <f t="shared" si="118"/>
        <v>0</v>
      </c>
      <c r="AN123" s="210">
        <f t="shared" si="119"/>
        <v>0</v>
      </c>
      <c r="AO123" s="210">
        <f t="shared" si="120"/>
        <v>0</v>
      </c>
      <c r="AP123" s="210">
        <f t="shared" si="121"/>
        <v>0</v>
      </c>
      <c r="AQ123" s="210">
        <f t="shared" si="122"/>
        <v>0</v>
      </c>
      <c r="AR123" s="94">
        <f t="shared" si="123"/>
        <v>0</v>
      </c>
    </row>
    <row r="124" spans="29:44" x14ac:dyDescent="0.25">
      <c r="AC124" s="119"/>
      <c r="AD124" s="119"/>
      <c r="AE124" s="119"/>
      <c r="AF124" s="119"/>
      <c r="AG124" s="119"/>
      <c r="AH124" s="119"/>
      <c r="AI124" s="119"/>
      <c r="AJ124" s="210" t="str">
        <f>IF(ISBLANK($C$8),"",$C$8)</f>
        <v>Category5</v>
      </c>
      <c r="AK124" s="210">
        <f t="shared" si="116"/>
        <v>0</v>
      </c>
      <c r="AL124" s="210">
        <f t="shared" si="117"/>
        <v>0</v>
      </c>
      <c r="AM124" s="210">
        <f t="shared" si="118"/>
        <v>0</v>
      </c>
      <c r="AN124" s="210">
        <f t="shared" si="119"/>
        <v>0</v>
      </c>
      <c r="AO124" s="210">
        <f t="shared" si="120"/>
        <v>0</v>
      </c>
      <c r="AP124" s="210">
        <f t="shared" si="121"/>
        <v>0</v>
      </c>
      <c r="AQ124" s="210">
        <f t="shared" si="122"/>
        <v>0</v>
      </c>
      <c r="AR124" s="94">
        <f t="shared" si="123"/>
        <v>0</v>
      </c>
    </row>
    <row r="125" spans="29:44" x14ac:dyDescent="0.25">
      <c r="AC125" s="119"/>
      <c r="AD125" s="119"/>
      <c r="AE125" s="119"/>
      <c r="AF125" s="119"/>
      <c r="AG125" s="119"/>
      <c r="AH125" s="119"/>
      <c r="AI125" s="119"/>
      <c r="AJ125" s="210" t="str">
        <f>IF(ISBLANK($C$9),"",$C$9)</f>
        <v>Category6</v>
      </c>
      <c r="AK125" s="210">
        <f t="shared" si="116"/>
        <v>0</v>
      </c>
      <c r="AL125" s="210">
        <f t="shared" si="117"/>
        <v>0</v>
      </c>
      <c r="AM125" s="210">
        <f t="shared" si="118"/>
        <v>0</v>
      </c>
      <c r="AN125" s="210">
        <f t="shared" si="119"/>
        <v>0</v>
      </c>
      <c r="AO125" s="210">
        <f t="shared" si="120"/>
        <v>0</v>
      </c>
      <c r="AP125" s="210">
        <f t="shared" si="121"/>
        <v>0</v>
      </c>
      <c r="AQ125" s="210">
        <f t="shared" si="122"/>
        <v>0</v>
      </c>
      <c r="AR125" s="94">
        <f t="shared" si="123"/>
        <v>0</v>
      </c>
    </row>
    <row r="126" spans="29:44" x14ac:dyDescent="0.25">
      <c r="AJ126" s="210" t="str">
        <f>IF(ISBLANK($C$10),"",$C$10)</f>
        <v>Category7</v>
      </c>
      <c r="AK126" s="210">
        <f t="shared" si="116"/>
        <v>0</v>
      </c>
      <c r="AL126" s="210">
        <f t="shared" si="117"/>
        <v>0</v>
      </c>
      <c r="AM126" s="210">
        <f t="shared" si="118"/>
        <v>0</v>
      </c>
      <c r="AN126" s="210">
        <f t="shared" si="119"/>
        <v>0</v>
      </c>
      <c r="AO126" s="210">
        <f t="shared" si="120"/>
        <v>0</v>
      </c>
      <c r="AP126" s="210">
        <f t="shared" si="121"/>
        <v>0</v>
      </c>
      <c r="AQ126" s="210">
        <f t="shared" si="122"/>
        <v>0</v>
      </c>
      <c r="AR126" s="94">
        <f t="shared" si="123"/>
        <v>0</v>
      </c>
    </row>
    <row r="127" spans="29:44" x14ac:dyDescent="0.25">
      <c r="AJ127" s="210" t="str">
        <f>IF(ISBLANK($C$11),"",$C$11)</f>
        <v/>
      </c>
      <c r="AK127" s="210">
        <f t="shared" si="116"/>
        <v>0</v>
      </c>
      <c r="AL127" s="210">
        <f t="shared" si="117"/>
        <v>0</v>
      </c>
      <c r="AM127" s="210">
        <f t="shared" si="118"/>
        <v>0</v>
      </c>
      <c r="AN127" s="210">
        <f t="shared" si="119"/>
        <v>0</v>
      </c>
      <c r="AO127" s="210">
        <f t="shared" si="120"/>
        <v>0</v>
      </c>
      <c r="AP127" s="210">
        <f t="shared" si="121"/>
        <v>0</v>
      </c>
      <c r="AQ127" s="210">
        <f t="shared" si="122"/>
        <v>0</v>
      </c>
      <c r="AR127" s="94">
        <f t="shared" si="123"/>
        <v>0</v>
      </c>
    </row>
    <row r="128" spans="29:44" x14ac:dyDescent="0.25">
      <c r="AJ128" s="210" t="str">
        <f>IF(ISBLANK($C$12),"",$C$12)</f>
        <v/>
      </c>
      <c r="AK128" s="210">
        <f t="shared" si="116"/>
        <v>0</v>
      </c>
      <c r="AL128" s="210">
        <f t="shared" si="117"/>
        <v>0</v>
      </c>
      <c r="AM128" s="210">
        <f t="shared" si="118"/>
        <v>0</v>
      </c>
      <c r="AN128" s="210">
        <f t="shared" si="119"/>
        <v>0</v>
      </c>
      <c r="AO128" s="210">
        <f t="shared" si="120"/>
        <v>0</v>
      </c>
      <c r="AP128" s="210">
        <f t="shared" si="121"/>
        <v>0</v>
      </c>
      <c r="AQ128" s="210">
        <f t="shared" si="122"/>
        <v>0</v>
      </c>
      <c r="AR128" s="94">
        <f t="shared" si="123"/>
        <v>0</v>
      </c>
    </row>
    <row r="129" spans="29:44" x14ac:dyDescent="0.25">
      <c r="AJ129" s="210" t="str">
        <f>IF(ISBLANK($C$13),"",$C$13)</f>
        <v/>
      </c>
      <c r="AK129" s="210">
        <f t="shared" si="116"/>
        <v>0</v>
      </c>
      <c r="AL129" s="210">
        <f t="shared" si="117"/>
        <v>0</v>
      </c>
      <c r="AM129" s="210">
        <f t="shared" si="118"/>
        <v>0</v>
      </c>
      <c r="AN129" s="210">
        <f t="shared" si="119"/>
        <v>0</v>
      </c>
      <c r="AO129" s="210">
        <f t="shared" si="120"/>
        <v>0</v>
      </c>
      <c r="AP129" s="210">
        <f t="shared" si="121"/>
        <v>0</v>
      </c>
      <c r="AQ129" s="210">
        <f t="shared" si="122"/>
        <v>0</v>
      </c>
      <c r="AR129" s="94">
        <f t="shared" si="123"/>
        <v>0</v>
      </c>
    </row>
    <row r="130" spans="29:44" x14ac:dyDescent="0.25">
      <c r="AJ130" s="210" t="str">
        <f>IF(ISBLANK($C$14),"",$C$14)</f>
        <v/>
      </c>
      <c r="AK130" s="210">
        <f t="shared" si="116"/>
        <v>0</v>
      </c>
      <c r="AL130" s="210">
        <f t="shared" si="117"/>
        <v>0</v>
      </c>
      <c r="AM130" s="210">
        <f t="shared" si="118"/>
        <v>0</v>
      </c>
      <c r="AN130" s="210">
        <f t="shared" si="119"/>
        <v>0</v>
      </c>
      <c r="AO130" s="210">
        <f t="shared" si="120"/>
        <v>0</v>
      </c>
      <c r="AP130" s="210">
        <f t="shared" si="121"/>
        <v>0</v>
      </c>
      <c r="AQ130" s="210">
        <f t="shared" si="122"/>
        <v>0</v>
      </c>
      <c r="AR130" s="94">
        <f t="shared" si="123"/>
        <v>0</v>
      </c>
    </row>
    <row r="131" spans="29:44" x14ac:dyDescent="0.25">
      <c r="AJ131" s="210" t="s">
        <v>144</v>
      </c>
      <c r="AK131" s="210">
        <f t="shared" ref="AK131:AQ131" si="124">SUM(AK120:AK130)</f>
        <v>0</v>
      </c>
      <c r="AL131" s="210">
        <f t="shared" si="124"/>
        <v>0</v>
      </c>
      <c r="AM131" s="210">
        <f t="shared" si="124"/>
        <v>0</v>
      </c>
      <c r="AN131" s="210">
        <f t="shared" si="124"/>
        <v>0</v>
      </c>
      <c r="AO131" s="210">
        <f t="shared" si="124"/>
        <v>0</v>
      </c>
      <c r="AP131" s="210">
        <f t="shared" si="124"/>
        <v>0</v>
      </c>
      <c r="AQ131" s="210">
        <f t="shared" si="124"/>
        <v>0</v>
      </c>
      <c r="AR131" s="94"/>
    </row>
    <row r="132" spans="29:44" x14ac:dyDescent="0.25">
      <c r="AJ132" s="198" t="s">
        <v>165</v>
      </c>
      <c r="AK132" s="198">
        <f>IFERROR(IF($AA$4=3,($AR$120/$AJ$119)*$AI$3,($AR$120/$AJ$119)*$AI4*$AI$3),0)</f>
        <v>0</v>
      </c>
      <c r="AL132" s="198">
        <f>IFERROR(IF($AA$5=3,($AR$121/$AJ$119)*$AI$3,($AR$121/$AJ$119)*$AI5*$AI$3),0)</f>
        <v>0</v>
      </c>
      <c r="AM132" s="198">
        <f>IFERROR(IF($AA$6=3,($AR$122/$AJ$119)*$AI$3,($AR$122/$AJ$119)*$AI6*$AI$3),0)</f>
        <v>0</v>
      </c>
      <c r="AN132" s="198">
        <f>IFERROR(IF($AA$7=3,($AR$123/$AJ$119)*$AI$3,($AR$123/$AJ$119)*$AI7*$AI$3),0)</f>
        <v>0</v>
      </c>
      <c r="AO132" s="198">
        <f>IFERROR(IF($AA$8=3,($AR$124/$AJ$119)*$AI$3,($AR$124/$AJ$119)*$AI8*$AI$3),0)</f>
        <v>0</v>
      </c>
      <c r="AP132" s="198">
        <f>IFERROR(IF($AA$9=3,($AR$125/$AJ$119)*$AI$3,($AR$125/$AJ$119)*$AI9*$AI$3),0)</f>
        <v>0</v>
      </c>
      <c r="AQ132" s="198">
        <f>IFERROR(IF($AA$10=3,($AR$126/$AJ$119)*$AI$3,($AR$126/$AJ$119)*$AI$10*$AI$3),0)</f>
        <v>0</v>
      </c>
      <c r="AR132" s="208">
        <f>SUM(AK132:AQ132)</f>
        <v>0</v>
      </c>
    </row>
    <row r="133" spans="29:44" x14ac:dyDescent="0.25">
      <c r="AJ133" s="39" t="str">
        <f>IF(ISBLANK($C$4),"",$C$4)</f>
        <v>Category1</v>
      </c>
      <c r="AK133" s="39">
        <f>IFERROR(IF($AK$118&lt;$AK$117,IF(AND(AJ133=$AK$119,AA4=3),($AK$117-$AK$118),IF(AND(AA4=2,$AA$4&lt;&gt;3),$AK$117-$AK$118,0)),0),0)</f>
        <v>0</v>
      </c>
      <c r="AL133" s="39">
        <f>IFERROR(IF($AL$118&lt;$AL$117,IF(AND(AJ133=$AL$119,AA4=3),($AL$117-$AL$118),IF(AND(AA4=2,$AA$5&lt;&gt;3),$AL$117-$AL$118,0)),0),0)</f>
        <v>0</v>
      </c>
      <c r="AM133" s="39">
        <f>IFERROR(IF($AM$118&lt;$AM$117,IF(AND(AJ133=$AM$119,AA4=3),($AM$117-$AM$118),IF(AND(AA4=2,$AA$6&lt;&gt;3),$AM$117-$AM$118,0)),0),0)</f>
        <v>0</v>
      </c>
      <c r="AN133" s="39">
        <f>IFERROR(IF($AN$118&lt;$AN$117,IF(AND(AJ133=$AN$119,AA4=3),($AN$117-$AN$118),IF(AND(AA4=2,$AA$7&lt;&gt;3),$AN$117-$AN$118,0)),0),0)</f>
        <v>0</v>
      </c>
      <c r="AO133" s="39">
        <f>IFERROR(IF($AO$118&lt;$AO$117,IF(AND(AJ133=$AO$119,AA4=3),($AO$117-$AO$118),IF(AND(AA4=2,$AA$8&lt;&gt;3),$AO$117-$AO$118,0)),0),0)</f>
        <v>0</v>
      </c>
      <c r="AP133" s="39">
        <f>IFERROR(IF($AP$118&lt;$AP$117,IF(AND(AJ133=$AP$119,AA4=3),($AP$117-$AP$118),IF(AND(AA4=2,$AA$9&lt;&gt;3),$AP$117-$AP$118,0)),0),0)</f>
        <v>0</v>
      </c>
      <c r="AQ133" s="39">
        <f>IFERROR(IF($AQ$118&lt;$AQ$117,IF(AND(AJ133=$AQ$119,AA4=3),($AQ$117-$AQ$118),IF(AND(AA4=2,$AA$10&lt;&gt;3),$AQ$117-$AQ$118,0)),0),0)</f>
        <v>0</v>
      </c>
      <c r="AR133" s="122">
        <f>IF($AT$4&gt;4,SUM(AK133:AQ133),0)</f>
        <v>0</v>
      </c>
    </row>
    <row r="134" spans="29:44" x14ac:dyDescent="0.25">
      <c r="AC134" s="119"/>
      <c r="AD134" s="119"/>
      <c r="AE134" s="119"/>
      <c r="AF134" s="119"/>
      <c r="AG134" s="119"/>
      <c r="AH134" s="119"/>
      <c r="AI134" s="119"/>
      <c r="AJ134" s="39" t="str">
        <f>IF(ISBLANK($C$5),"",$C$5)</f>
        <v>Category2</v>
      </c>
      <c r="AK134" s="39">
        <f t="shared" ref="AK134:AK143" si="125">IFERROR(IF($AK$118&lt;$AK$117,IF(AND(AJ134=$AK$119,AA5=3),($AK$117-$AK$118),IF(AND(AA5=2,$AA$4&lt;&gt;3),$AK$117-$AK$118,0)),0),0)</f>
        <v>0</v>
      </c>
      <c r="AL134" s="39">
        <f t="shared" ref="AL134:AL143" si="126">IFERROR(IF($AL$118&lt;$AL$117,IF(AND(AJ134=$AL$119,AA5=3),($AL$117-$AL$118),IF(AND(AA5=2,$AA$5&lt;&gt;3),$AL$117-$AL$118,0)),0),0)</f>
        <v>0</v>
      </c>
      <c r="AM134" s="39">
        <f t="shared" ref="AM134:AM143" si="127">IFERROR(IF($AM$118&lt;$AM$117,IF(AND(AJ134=$AM$119,AA5=3),($AM$117-$AM$118),IF(AND(AA5=2,$AA$6&lt;&gt;3),$AM$117-$AM$118,0)),0),0)</f>
        <v>0</v>
      </c>
      <c r="AN134" s="39">
        <f t="shared" ref="AN134:AN143" si="128">IFERROR(IF($AN$118&lt;$AN$117,IF(AND(AJ134=$AN$119,AA5=3),($AN$117-$AN$118),IF(AND(AA5=2,$AA$7&lt;&gt;3),$AN$117-$AN$118,0)),0),0)</f>
        <v>0</v>
      </c>
      <c r="AO134" s="39">
        <f t="shared" ref="AO134:AO143" si="129">IFERROR(IF($AO$118&lt;$AO$117,IF(AND(AJ134=$AO$119,AA5=3),($AO$117-$AO$118),IF(AND(AA5=2,$AA$8&lt;&gt;3),$AO$117-$AO$118,0)),0),0)</f>
        <v>0</v>
      </c>
      <c r="AP134" s="39">
        <f t="shared" ref="AP134:AP143" si="130">IFERROR(IF($AP$118&lt;$AP$117,IF(AND(AJ134=$AP$119,AA5=3),($AP$117-$AP$118),IF(AND(AA5=2,$AA$9&lt;&gt;3),$AP$117-$AP$118,0)),0),0)</f>
        <v>0</v>
      </c>
      <c r="AQ134" s="39">
        <f t="shared" ref="AQ134:AQ143" si="131">IFERROR(IF($AQ$118&lt;$AQ$117,IF(AND(AJ134=$AQ$119,AA5=3),($AQ$117-$AQ$118),IF(AND(AA5=2,$AA$10&lt;&gt;3),$AQ$117-$AQ$118,0)),0),0)</f>
        <v>0</v>
      </c>
      <c r="AR134" s="122">
        <f t="shared" ref="AR134:AR143" si="132">IF($AT$4&gt;4,SUM(AK134:AQ134),0)</f>
        <v>0</v>
      </c>
    </row>
    <row r="135" spans="29:44" x14ac:dyDescent="0.25">
      <c r="AC135" s="119"/>
      <c r="AD135" s="119"/>
      <c r="AE135" s="119"/>
      <c r="AF135" s="119"/>
      <c r="AG135" s="119"/>
      <c r="AH135" s="119"/>
      <c r="AI135" s="119"/>
      <c r="AJ135" s="39" t="str">
        <f>IF(ISBLANK($C$6),"",$C$6)</f>
        <v>Category3</v>
      </c>
      <c r="AK135" s="39">
        <f t="shared" si="125"/>
        <v>0</v>
      </c>
      <c r="AL135" s="39">
        <f t="shared" si="126"/>
        <v>0</v>
      </c>
      <c r="AM135" s="39">
        <f t="shared" si="127"/>
        <v>0</v>
      </c>
      <c r="AN135" s="39">
        <f t="shared" si="128"/>
        <v>0</v>
      </c>
      <c r="AO135" s="39">
        <f t="shared" si="129"/>
        <v>0</v>
      </c>
      <c r="AP135" s="39">
        <f t="shared" si="130"/>
        <v>0</v>
      </c>
      <c r="AQ135" s="39">
        <f t="shared" si="131"/>
        <v>0</v>
      </c>
      <c r="AR135" s="122">
        <f t="shared" si="132"/>
        <v>0</v>
      </c>
    </row>
    <row r="136" spans="29:44" x14ac:dyDescent="0.25">
      <c r="AC136" s="119"/>
      <c r="AD136" s="119"/>
      <c r="AE136" s="119"/>
      <c r="AF136" s="119"/>
      <c r="AG136" s="119"/>
      <c r="AH136" s="119"/>
      <c r="AI136" s="119"/>
      <c r="AJ136" s="39" t="str">
        <f>IF(ISBLANK($C$7),"",$C$7)</f>
        <v>Category4</v>
      </c>
      <c r="AK136" s="39">
        <f t="shared" si="125"/>
        <v>0</v>
      </c>
      <c r="AL136" s="39">
        <f t="shared" si="126"/>
        <v>0</v>
      </c>
      <c r="AM136" s="39">
        <f t="shared" si="127"/>
        <v>0</v>
      </c>
      <c r="AN136" s="39">
        <f t="shared" si="128"/>
        <v>0</v>
      </c>
      <c r="AO136" s="39">
        <f t="shared" si="129"/>
        <v>0</v>
      </c>
      <c r="AP136" s="39">
        <f t="shared" si="130"/>
        <v>0</v>
      </c>
      <c r="AQ136" s="39">
        <f t="shared" si="131"/>
        <v>0</v>
      </c>
      <c r="AR136" s="122">
        <f t="shared" si="132"/>
        <v>0</v>
      </c>
    </row>
    <row r="137" spans="29:44" x14ac:dyDescent="0.25">
      <c r="AC137" s="119"/>
      <c r="AD137" s="119"/>
      <c r="AE137" s="119"/>
      <c r="AF137" s="119"/>
      <c r="AG137" s="119"/>
      <c r="AH137" s="119"/>
      <c r="AI137" s="119"/>
      <c r="AJ137" s="39" t="str">
        <f>IF(ISBLANK($C$8),"",$C$8)</f>
        <v>Category5</v>
      </c>
      <c r="AK137" s="39">
        <f t="shared" si="125"/>
        <v>0</v>
      </c>
      <c r="AL137" s="39">
        <f t="shared" si="126"/>
        <v>0</v>
      </c>
      <c r="AM137" s="39">
        <f t="shared" si="127"/>
        <v>0</v>
      </c>
      <c r="AN137" s="39">
        <f t="shared" si="128"/>
        <v>0</v>
      </c>
      <c r="AO137" s="39">
        <f t="shared" si="129"/>
        <v>0</v>
      </c>
      <c r="AP137" s="39">
        <f t="shared" si="130"/>
        <v>0</v>
      </c>
      <c r="AQ137" s="39">
        <f t="shared" si="131"/>
        <v>0</v>
      </c>
      <c r="AR137" s="122">
        <f t="shared" si="132"/>
        <v>0</v>
      </c>
    </row>
    <row r="138" spans="29:44" x14ac:dyDescent="0.25">
      <c r="AC138" s="119"/>
      <c r="AD138" s="119"/>
      <c r="AE138" s="119"/>
      <c r="AF138" s="119"/>
      <c r="AG138" s="119"/>
      <c r="AH138" s="119"/>
      <c r="AI138" s="119"/>
      <c r="AJ138" s="39" t="str">
        <f>IF(ISBLANK($C$9),"",$C$9)</f>
        <v>Category6</v>
      </c>
      <c r="AK138" s="39">
        <f t="shared" si="125"/>
        <v>0</v>
      </c>
      <c r="AL138" s="39">
        <f t="shared" si="126"/>
        <v>0</v>
      </c>
      <c r="AM138" s="39">
        <f t="shared" si="127"/>
        <v>0</v>
      </c>
      <c r="AN138" s="39">
        <f t="shared" si="128"/>
        <v>0</v>
      </c>
      <c r="AO138" s="39">
        <f t="shared" si="129"/>
        <v>0</v>
      </c>
      <c r="AP138" s="39">
        <f t="shared" si="130"/>
        <v>0</v>
      </c>
      <c r="AQ138" s="39">
        <f t="shared" si="131"/>
        <v>0</v>
      </c>
      <c r="AR138" s="122">
        <f t="shared" si="132"/>
        <v>0</v>
      </c>
    </row>
    <row r="139" spans="29:44" x14ac:dyDescent="0.25">
      <c r="AC139" s="119"/>
      <c r="AD139" s="119"/>
      <c r="AE139" s="119"/>
      <c r="AF139" s="119"/>
      <c r="AG139" s="119"/>
      <c r="AH139" s="119"/>
      <c r="AI139" s="119"/>
      <c r="AJ139" s="39" t="str">
        <f>IF(ISBLANK($C$10),"",$C$10)</f>
        <v>Category7</v>
      </c>
      <c r="AK139" s="39">
        <f t="shared" si="125"/>
        <v>0</v>
      </c>
      <c r="AL139" s="39">
        <f t="shared" si="126"/>
        <v>0</v>
      </c>
      <c r="AM139" s="39">
        <f t="shared" si="127"/>
        <v>0</v>
      </c>
      <c r="AN139" s="39">
        <f t="shared" si="128"/>
        <v>0</v>
      </c>
      <c r="AO139" s="39">
        <f t="shared" si="129"/>
        <v>0</v>
      </c>
      <c r="AP139" s="39">
        <f t="shared" si="130"/>
        <v>0</v>
      </c>
      <c r="AQ139" s="39">
        <f t="shared" si="131"/>
        <v>0</v>
      </c>
      <c r="AR139" s="122">
        <f t="shared" si="132"/>
        <v>0</v>
      </c>
    </row>
    <row r="140" spans="29:44" x14ac:dyDescent="0.25">
      <c r="AC140" s="119"/>
      <c r="AD140" s="119"/>
      <c r="AE140" s="119"/>
      <c r="AF140" s="119"/>
      <c r="AG140" s="119"/>
      <c r="AH140" s="119"/>
      <c r="AI140" s="119"/>
      <c r="AJ140" s="39" t="str">
        <f>IF(ISBLANK($C$11),"",$C$11)</f>
        <v/>
      </c>
      <c r="AK140" s="39">
        <f t="shared" si="125"/>
        <v>0</v>
      </c>
      <c r="AL140" s="39">
        <f t="shared" si="126"/>
        <v>0</v>
      </c>
      <c r="AM140" s="39">
        <f t="shared" si="127"/>
        <v>0</v>
      </c>
      <c r="AN140" s="39">
        <f t="shared" si="128"/>
        <v>0</v>
      </c>
      <c r="AO140" s="39">
        <f t="shared" si="129"/>
        <v>0</v>
      </c>
      <c r="AP140" s="39">
        <f t="shared" si="130"/>
        <v>0</v>
      </c>
      <c r="AQ140" s="39">
        <f t="shared" si="131"/>
        <v>0</v>
      </c>
      <c r="AR140" s="122">
        <f t="shared" si="132"/>
        <v>0</v>
      </c>
    </row>
    <row r="141" spans="29:44" x14ac:dyDescent="0.25">
      <c r="AC141" s="119"/>
      <c r="AD141" s="119"/>
      <c r="AE141" s="119"/>
      <c r="AF141" s="119"/>
      <c r="AG141" s="119"/>
      <c r="AH141" s="119"/>
      <c r="AI141" s="119"/>
      <c r="AJ141" s="39" t="str">
        <f>IF(ISBLANK($C$12),"",$C$12)</f>
        <v/>
      </c>
      <c r="AK141" s="39">
        <f t="shared" si="125"/>
        <v>0</v>
      </c>
      <c r="AL141" s="39">
        <f t="shared" si="126"/>
        <v>0</v>
      </c>
      <c r="AM141" s="39">
        <f t="shared" si="127"/>
        <v>0</v>
      </c>
      <c r="AN141" s="39">
        <f t="shared" si="128"/>
        <v>0</v>
      </c>
      <c r="AO141" s="39">
        <f t="shared" si="129"/>
        <v>0</v>
      </c>
      <c r="AP141" s="39">
        <f t="shared" si="130"/>
        <v>0</v>
      </c>
      <c r="AQ141" s="39">
        <f t="shared" si="131"/>
        <v>0</v>
      </c>
      <c r="AR141" s="122">
        <f t="shared" si="132"/>
        <v>0</v>
      </c>
    </row>
    <row r="142" spans="29:44" x14ac:dyDescent="0.25">
      <c r="AC142" s="119"/>
      <c r="AD142" s="119"/>
      <c r="AE142" s="119"/>
      <c r="AF142" s="119"/>
      <c r="AG142" s="119"/>
      <c r="AH142" s="119"/>
      <c r="AI142" s="119"/>
      <c r="AJ142" s="39" t="str">
        <f>IF(ISBLANK($C$13),"",$C$13)</f>
        <v/>
      </c>
      <c r="AK142" s="39">
        <f t="shared" si="125"/>
        <v>0</v>
      </c>
      <c r="AL142" s="39">
        <f t="shared" si="126"/>
        <v>0</v>
      </c>
      <c r="AM142" s="39">
        <f t="shared" si="127"/>
        <v>0</v>
      </c>
      <c r="AN142" s="39">
        <f t="shared" si="128"/>
        <v>0</v>
      </c>
      <c r="AO142" s="39">
        <f t="shared" si="129"/>
        <v>0</v>
      </c>
      <c r="AP142" s="39">
        <f t="shared" si="130"/>
        <v>0</v>
      </c>
      <c r="AQ142" s="39">
        <f t="shared" si="131"/>
        <v>0</v>
      </c>
      <c r="AR142" s="122">
        <f t="shared" si="132"/>
        <v>0</v>
      </c>
    </row>
    <row r="143" spans="29:44" x14ac:dyDescent="0.25">
      <c r="AC143" s="119"/>
      <c r="AD143" s="119"/>
      <c r="AE143" s="119"/>
      <c r="AF143" s="119"/>
      <c r="AG143" s="119"/>
      <c r="AH143" s="119"/>
      <c r="AI143" s="119"/>
      <c r="AJ143" s="39" t="str">
        <f>IF(ISBLANK($C$14),"",$C$14)</f>
        <v/>
      </c>
      <c r="AK143" s="39">
        <f t="shared" si="125"/>
        <v>0</v>
      </c>
      <c r="AL143" s="39">
        <f t="shared" si="126"/>
        <v>0</v>
      </c>
      <c r="AM143" s="39">
        <f t="shared" si="127"/>
        <v>0</v>
      </c>
      <c r="AN143" s="39">
        <f t="shared" si="128"/>
        <v>0</v>
      </c>
      <c r="AO143" s="39">
        <f t="shared" si="129"/>
        <v>0</v>
      </c>
      <c r="AP143" s="39">
        <f t="shared" si="130"/>
        <v>0</v>
      </c>
      <c r="AQ143" s="39">
        <f t="shared" si="131"/>
        <v>0</v>
      </c>
      <c r="AR143" s="122">
        <f t="shared" si="132"/>
        <v>0</v>
      </c>
    </row>
    <row r="144" spans="29:44" x14ac:dyDescent="0.25">
      <c r="AC144" s="119"/>
      <c r="AD144" s="119"/>
      <c r="AE144" s="119"/>
      <c r="AF144" s="119"/>
      <c r="AG144" s="119"/>
      <c r="AH144" s="119"/>
      <c r="AI144" s="119"/>
      <c r="AJ144" s="122"/>
      <c r="AK144" s="39">
        <f t="shared" ref="AK144:AQ144" si="133">SUM(AK133:AK143)</f>
        <v>0</v>
      </c>
      <c r="AL144" s="39">
        <f t="shared" si="133"/>
        <v>0</v>
      </c>
      <c r="AM144" s="39">
        <f t="shared" si="133"/>
        <v>0</v>
      </c>
      <c r="AN144" s="39">
        <f t="shared" si="133"/>
        <v>0</v>
      </c>
      <c r="AO144" s="39">
        <f t="shared" si="133"/>
        <v>0</v>
      </c>
      <c r="AP144" s="39">
        <f t="shared" si="133"/>
        <v>0</v>
      </c>
      <c r="AQ144" s="39">
        <f t="shared" si="133"/>
        <v>0</v>
      </c>
      <c r="AR144" s="122"/>
    </row>
    <row r="145" spans="29:44" x14ac:dyDescent="0.25">
      <c r="AJ145" s="39" t="s">
        <v>144</v>
      </c>
      <c r="AK145" s="45">
        <f>IF($AT$4&gt;2,SUM(AK133:AK143),0)</f>
        <v>0</v>
      </c>
      <c r="AL145" s="45">
        <f t="shared" ref="AL145:AQ145" si="134">IF($AT$4&gt;2,SUM(AL133:AL143),0)</f>
        <v>0</v>
      </c>
      <c r="AM145" s="45">
        <f t="shared" si="134"/>
        <v>0</v>
      </c>
      <c r="AN145" s="45">
        <f t="shared" si="134"/>
        <v>0</v>
      </c>
      <c r="AO145" s="45">
        <f t="shared" si="134"/>
        <v>0</v>
      </c>
      <c r="AP145" s="45">
        <f t="shared" si="134"/>
        <v>0</v>
      </c>
      <c r="AQ145" s="45">
        <f t="shared" si="134"/>
        <v>0</v>
      </c>
      <c r="AR145" s="39"/>
    </row>
    <row r="146" spans="29:44" x14ac:dyDescent="0.25">
      <c r="AJ146" s="198" t="s">
        <v>165</v>
      </c>
      <c r="AK146" s="198">
        <f>IFERROR(IF($AA$4=3,($AR$133/$AJ$119)*$AI$3,($AR$133/$AJ$119)*$AI4*$AI$3),0)</f>
        <v>0</v>
      </c>
      <c r="AL146" s="198">
        <f>IFERROR(IF($AA$5=3,($AR$134/$AJ$119)*$AI$3,($AR$134/$AJ$119)*$AI5*$AI$3),0)</f>
        <v>0</v>
      </c>
      <c r="AM146" s="198">
        <f>IFERROR(IF($AA$6=3,($AR$135/$AJ$119)*$AI$3,($AR$135/$AJ$119)*$AI6*$AI$3),0)</f>
        <v>0</v>
      </c>
      <c r="AN146" s="198">
        <f>IFERROR(IF($AA$7=3,($AR$136/$AJ$119)*$AI$3,($AR$136/$AJ$119)*$AI7*$AI$3),0)</f>
        <v>0</v>
      </c>
      <c r="AO146" s="198">
        <f>IFERROR(IF($AA$8=3,($AR$137/$AJ$119)*$AI$3,($AR$137/$AJ$119)*$AI8*$AI$3),0)</f>
        <v>0</v>
      </c>
      <c r="AP146" s="198">
        <f>IFERROR(IF($AA$9=3,($AR$138/$AJ$119)*$AI$3,($AR$138/$AJ$119)*$AI9*$AI$3),0)</f>
        <v>0</v>
      </c>
      <c r="AQ146" s="198">
        <f>IFERROR(IF($AA$10=3,($AR$139/$AJ$119)*$AI$3,($AR$139/$AJ$119)*$AI$10*$AI$3),0)</f>
        <v>0</v>
      </c>
      <c r="AR146" s="208">
        <f>SUM(AK146:AQ146)</f>
        <v>0</v>
      </c>
    </row>
    <row r="147" spans="29:44" x14ac:dyDescent="0.25">
      <c r="AC147" s="119"/>
      <c r="AD147" s="119"/>
      <c r="AE147" s="119"/>
      <c r="AF147" s="119"/>
      <c r="AG147" s="119"/>
      <c r="AH147" s="119"/>
      <c r="AI147" s="119"/>
      <c r="AJ147" s="124" t="s">
        <v>165</v>
      </c>
      <c r="AK147" s="124">
        <f>AK146-AK132+AK114+AK78+AK39</f>
        <v>0</v>
      </c>
      <c r="AL147" s="124">
        <f t="shared" ref="AL147:AQ147" si="135">AL146-AL132+AL114+AL78+AL39</f>
        <v>0</v>
      </c>
      <c r="AM147" s="124">
        <f t="shared" si="135"/>
        <v>0</v>
      </c>
      <c r="AN147" s="124">
        <f t="shared" si="135"/>
        <v>0</v>
      </c>
      <c r="AO147" s="124">
        <f t="shared" si="135"/>
        <v>0</v>
      </c>
      <c r="AP147" s="124">
        <f t="shared" si="135"/>
        <v>0</v>
      </c>
      <c r="AQ147" s="124">
        <f t="shared" si="135"/>
        <v>0</v>
      </c>
    </row>
    <row r="148" spans="29:44" x14ac:dyDescent="0.25">
      <c r="AJ148" s="124" t="s">
        <v>145</v>
      </c>
      <c r="AK148" s="125">
        <f>IF(AND($AT$4&gt;1,AK147&gt;=0),AK147,0)</f>
        <v>0</v>
      </c>
      <c r="AL148" s="125">
        <f t="shared" ref="AL148:AQ148" si="136">IF(AND($AT$4&gt;1,AL147&gt;=0),AL147,0)</f>
        <v>0</v>
      </c>
      <c r="AM148" s="125">
        <f t="shared" si="136"/>
        <v>0</v>
      </c>
      <c r="AN148" s="125">
        <f t="shared" si="136"/>
        <v>0</v>
      </c>
      <c r="AO148" s="125">
        <f t="shared" si="136"/>
        <v>0</v>
      </c>
      <c r="AP148" s="125">
        <f t="shared" si="136"/>
        <v>0</v>
      </c>
      <c r="AQ148" s="125">
        <f t="shared" si="136"/>
        <v>0</v>
      </c>
    </row>
    <row r="149" spans="29:44" x14ac:dyDescent="0.25">
      <c r="AC149" s="119"/>
      <c r="AD149" s="119"/>
      <c r="AE149" s="119"/>
      <c r="AF149" s="119"/>
      <c r="AG149" s="119"/>
      <c r="AH149" s="119"/>
      <c r="AI149" s="119"/>
      <c r="AJ149" s="124" t="s">
        <v>160</v>
      </c>
      <c r="AK149" s="125">
        <f>IF(AK$147&lt;0,ABS(AK$147),0)</f>
        <v>0</v>
      </c>
      <c r="AL149" s="125">
        <f t="shared" ref="AL149:AQ149" si="137">IF(AL$147&lt;0,ABS(AL$147),0)</f>
        <v>0</v>
      </c>
      <c r="AM149" s="125">
        <f t="shared" si="137"/>
        <v>0</v>
      </c>
      <c r="AN149" s="125">
        <f t="shared" si="137"/>
        <v>0</v>
      </c>
      <c r="AO149" s="125">
        <f t="shared" si="137"/>
        <v>0</v>
      </c>
      <c r="AP149" s="125">
        <f t="shared" si="137"/>
        <v>0</v>
      </c>
      <c r="AQ149" s="125">
        <f t="shared" si="137"/>
        <v>0</v>
      </c>
    </row>
    <row r="150" spans="29:44" x14ac:dyDescent="0.25">
      <c r="AC150" s="119"/>
      <c r="AD150" s="119"/>
      <c r="AE150" s="119"/>
      <c r="AF150" s="119"/>
      <c r="AG150" s="119"/>
      <c r="AH150" s="119"/>
      <c r="AI150" s="119"/>
      <c r="AJ150" s="5"/>
      <c r="AK150" s="9">
        <f>IFERROR(J21,NA())</f>
        <v>0</v>
      </c>
      <c r="AL150" s="9">
        <f>IFERROR(L21,NA())</f>
        <v>0</v>
      </c>
      <c r="AM150" s="9">
        <f>IFERROR(N21,NA())</f>
        <v>0</v>
      </c>
      <c r="AN150" s="9">
        <f>IFERROR(P21,NA())</f>
        <v>0</v>
      </c>
      <c r="AO150" s="9">
        <f>IFERROR(R21,NA())</f>
        <v>0</v>
      </c>
      <c r="AP150" s="9">
        <f>IFERROR(T21,NA())</f>
        <v>0</v>
      </c>
      <c r="AQ150" s="9">
        <f>IFERROR(V21,NA())</f>
        <v>0</v>
      </c>
    </row>
    <row r="151" spans="29:44" x14ac:dyDescent="0.25">
      <c r="AC151" s="119"/>
      <c r="AD151" s="119"/>
      <c r="AE151" s="119"/>
      <c r="AF151" s="119"/>
      <c r="AG151" s="119"/>
      <c r="AH151" s="119"/>
      <c r="AI151" s="119"/>
      <c r="AJ151" s="5"/>
      <c r="AK151" s="9">
        <f>IFERROR(IF(AT4&gt;4,K21+AK149,AK149),NA())</f>
        <v>0</v>
      </c>
      <c r="AL151" s="9">
        <f>IFERROR(IF(AT4&gt;4,M21+AL149,AL149),NA())</f>
        <v>0</v>
      </c>
      <c r="AM151" s="9">
        <f>IFERROR(IF(AT4&gt;4,O21+AM149,AM149),NA())</f>
        <v>0</v>
      </c>
      <c r="AN151" s="9">
        <f>IFERROR(IF(AT4&gt;4,Q21+AN149,AN149),NA())</f>
        <v>0</v>
      </c>
      <c r="AO151" s="9">
        <f>IFERROR(IF(AT4&gt;4,S21+AO149,AO149),NA())</f>
        <v>0</v>
      </c>
      <c r="AP151" s="9">
        <f>IFERROR(IF(AT4&gt;4,U21+AP149,AP149),NA())</f>
        <v>0</v>
      </c>
      <c r="AQ151" s="9">
        <f>IFERROR(IF(AT4&gt;4,W21+AQ149,AQ149),NA())</f>
        <v>0</v>
      </c>
    </row>
    <row r="152" spans="29:44" x14ac:dyDescent="0.25">
      <c r="AC152" s="119"/>
      <c r="AD152" s="119"/>
      <c r="AE152" s="119"/>
      <c r="AF152" s="119"/>
      <c r="AG152" s="119"/>
      <c r="AH152" s="119"/>
      <c r="AI152" s="119"/>
      <c r="AJ152" s="5"/>
      <c r="AK152" s="22" t="str">
        <f>$J$4</f>
        <v>Category1</v>
      </c>
      <c r="AL152" s="22" t="str">
        <f>$L$4</f>
        <v>Category2</v>
      </c>
      <c r="AM152" s="22" t="str">
        <f>$N$4</f>
        <v>Category3</v>
      </c>
      <c r="AN152" s="22" t="str">
        <f>$P$4</f>
        <v>Category4</v>
      </c>
      <c r="AO152" s="22" t="str">
        <f>$R$4</f>
        <v>Category5</v>
      </c>
      <c r="AP152" s="22" t="str">
        <f>$T$4</f>
        <v>Category6</v>
      </c>
      <c r="AQ152" s="22" t="str">
        <f>$V$4</f>
        <v>Category7</v>
      </c>
      <c r="AR152" s="22" t="s">
        <v>144</v>
      </c>
    </row>
    <row r="153" spans="29:44" x14ac:dyDescent="0.25">
      <c r="AC153" s="119"/>
      <c r="AD153" s="119"/>
      <c r="AE153" s="119"/>
      <c r="AF153" s="119"/>
      <c r="AG153" s="119"/>
      <c r="AH153" s="119"/>
      <c r="AI153" s="119"/>
      <c r="AJ153" s="5" t="str">
        <f>IF(ISBLANK($C$4),"",$C$4)</f>
        <v>Category1</v>
      </c>
      <c r="AK153" s="120" t="b">
        <f t="shared" ref="AK153:AK163" si="138">IFERROR(IF($AK$151&gt;$AK$150,($AK$151-$AK$150)*AC134),0)</f>
        <v>0</v>
      </c>
      <c r="AL153" s="120" t="b">
        <f>IFERROR(IF($AL$151&gt;$AL$150,$AL$151-$AL$150),0)</f>
        <v>0</v>
      </c>
      <c r="AM153" s="120" t="b">
        <f t="shared" ref="AM153:AM163" si="139">IFERROR(IF($AM$151&gt;$AM$150,($AM$151-$AM$150)*AC134),0)</f>
        <v>0</v>
      </c>
      <c r="AN153" s="5">
        <v>0</v>
      </c>
      <c r="AO153" s="5">
        <v>0</v>
      </c>
      <c r="AP153" s="120" t="b">
        <f t="shared" ref="AP153:AP163" si="140">IFERROR(IF($AP$151&gt;$AP$150,($AP$151-$AP$150)*AC134),0)</f>
        <v>0</v>
      </c>
      <c r="AQ153" s="5">
        <v>0</v>
      </c>
      <c r="AR153" s="121">
        <f>IF($AT$4&gt;4,SUM(AK153:AQ153),0)</f>
        <v>0</v>
      </c>
    </row>
    <row r="154" spans="29:44" x14ac:dyDescent="0.25">
      <c r="AC154" s="119"/>
      <c r="AD154" s="119"/>
      <c r="AE154" s="119"/>
      <c r="AF154" s="119"/>
      <c r="AG154" s="119"/>
      <c r="AH154" s="119"/>
      <c r="AI154" s="119"/>
      <c r="AJ154" s="5" t="str">
        <f>IF(ISBLANK($C$5),"",$C$5)</f>
        <v>Category2</v>
      </c>
      <c r="AK154" s="120" t="b">
        <f t="shared" si="138"/>
        <v>0</v>
      </c>
      <c r="AL154" s="5">
        <v>0</v>
      </c>
      <c r="AM154" s="120" t="b">
        <f t="shared" si="139"/>
        <v>0</v>
      </c>
      <c r="AN154" s="120" t="b">
        <f>IFERROR(IF($AN$151&gt;$AN$150,$AN$151-$AN$150),0)</f>
        <v>0</v>
      </c>
      <c r="AO154" s="5">
        <v>0</v>
      </c>
      <c r="AP154" s="120" t="b">
        <f t="shared" si="140"/>
        <v>0</v>
      </c>
      <c r="AQ154" s="5">
        <v>0</v>
      </c>
      <c r="AR154" s="121">
        <f t="shared" ref="AR154:AR163" si="141">IF($AT$4&gt;4,SUM(AK154:AQ154),0)</f>
        <v>0</v>
      </c>
    </row>
    <row r="155" spans="29:44" x14ac:dyDescent="0.25">
      <c r="AC155" s="119"/>
      <c r="AD155" s="119"/>
      <c r="AE155" s="119"/>
      <c r="AF155" s="119"/>
      <c r="AG155" s="119"/>
      <c r="AH155" s="119"/>
      <c r="AI155" s="119"/>
      <c r="AJ155" s="5" t="str">
        <f>IF(ISBLANK($C$6),"",$C$6)</f>
        <v>Category3</v>
      </c>
      <c r="AK155" s="120" t="b">
        <f t="shared" si="138"/>
        <v>0</v>
      </c>
      <c r="AL155" s="5">
        <v>0</v>
      </c>
      <c r="AM155" s="120" t="b">
        <f t="shared" si="139"/>
        <v>0</v>
      </c>
      <c r="AN155" s="5">
        <v>0</v>
      </c>
      <c r="AO155" s="120" t="b">
        <f>IFERROR(IF($AO$151&gt;$AO$150,$AO$151-$AO$150),0)</f>
        <v>0</v>
      </c>
      <c r="AP155" s="120" t="b">
        <f t="shared" si="140"/>
        <v>0</v>
      </c>
      <c r="AQ155" s="5">
        <v>0</v>
      </c>
      <c r="AR155" s="121">
        <f t="shared" si="141"/>
        <v>0</v>
      </c>
    </row>
    <row r="156" spans="29:44" x14ac:dyDescent="0.25">
      <c r="AC156" s="119"/>
      <c r="AD156" s="119"/>
      <c r="AE156" s="119"/>
      <c r="AF156" s="119"/>
      <c r="AG156" s="119"/>
      <c r="AH156" s="119"/>
      <c r="AI156" s="119"/>
      <c r="AJ156" s="5" t="str">
        <f>IF(ISBLANK($C$7),"",$C$7)</f>
        <v>Category4</v>
      </c>
      <c r="AK156" s="120" t="b">
        <f t="shared" si="138"/>
        <v>0</v>
      </c>
      <c r="AL156" s="5">
        <v>0</v>
      </c>
      <c r="AM156" s="120" t="b">
        <f t="shared" si="139"/>
        <v>0</v>
      </c>
      <c r="AN156" s="5">
        <v>0</v>
      </c>
      <c r="AO156" s="5">
        <v>0</v>
      </c>
      <c r="AP156" s="120" t="b">
        <f t="shared" si="140"/>
        <v>0</v>
      </c>
      <c r="AQ156" s="120" t="b">
        <f>IFERROR(IF($AQ$151&gt;$AQ$150,$AQ$151-$AQ$150),0)</f>
        <v>0</v>
      </c>
      <c r="AR156" s="121">
        <f t="shared" si="141"/>
        <v>0</v>
      </c>
    </row>
    <row r="157" spans="29:44" x14ac:dyDescent="0.25">
      <c r="AJ157" s="5" t="str">
        <f>IF(ISBLANK($C$8),"",$C$8)</f>
        <v>Category5</v>
      </c>
      <c r="AK157" s="120" t="b">
        <f t="shared" si="138"/>
        <v>0</v>
      </c>
      <c r="AL157" s="5">
        <v>0</v>
      </c>
      <c r="AM157" s="120" t="b">
        <f t="shared" si="139"/>
        <v>0</v>
      </c>
      <c r="AN157" s="5">
        <v>0</v>
      </c>
      <c r="AO157" s="5">
        <v>0</v>
      </c>
      <c r="AP157" s="120" t="b">
        <f t="shared" si="140"/>
        <v>0</v>
      </c>
      <c r="AQ157" s="5">
        <v>0</v>
      </c>
      <c r="AR157" s="121">
        <f t="shared" si="141"/>
        <v>0</v>
      </c>
    </row>
    <row r="158" spans="29:44" x14ac:dyDescent="0.25">
      <c r="AJ158" s="5" t="str">
        <f>IF(ISBLANK($C$9),"",$C$9)</f>
        <v>Category6</v>
      </c>
      <c r="AK158" s="120" t="b">
        <f t="shared" si="138"/>
        <v>0</v>
      </c>
      <c r="AL158" s="5">
        <v>0</v>
      </c>
      <c r="AM158" s="120" t="b">
        <f t="shared" si="139"/>
        <v>0</v>
      </c>
      <c r="AN158" s="5">
        <v>0</v>
      </c>
      <c r="AO158" s="5">
        <v>0</v>
      </c>
      <c r="AP158" s="120" t="b">
        <f t="shared" si="140"/>
        <v>0</v>
      </c>
      <c r="AQ158" s="5">
        <v>0</v>
      </c>
      <c r="AR158" s="121">
        <f t="shared" si="141"/>
        <v>0</v>
      </c>
    </row>
    <row r="159" spans="29:44" x14ac:dyDescent="0.25">
      <c r="AJ159" s="5" t="str">
        <f>IF(ISBLANK($C$10),"",$C$10)</f>
        <v>Category7</v>
      </c>
      <c r="AK159" s="120" t="b">
        <f t="shared" si="138"/>
        <v>0</v>
      </c>
      <c r="AL159" s="5">
        <v>0</v>
      </c>
      <c r="AM159" s="120" t="b">
        <f t="shared" si="139"/>
        <v>0</v>
      </c>
      <c r="AN159" s="5">
        <v>0</v>
      </c>
      <c r="AO159" s="5">
        <v>0</v>
      </c>
      <c r="AP159" s="120" t="b">
        <f t="shared" si="140"/>
        <v>0</v>
      </c>
      <c r="AQ159" s="5">
        <v>0</v>
      </c>
      <c r="AR159" s="121">
        <f t="shared" si="141"/>
        <v>0</v>
      </c>
    </row>
    <row r="160" spans="29:44" x14ac:dyDescent="0.25">
      <c r="AJ160" s="5" t="str">
        <f>IF(ISBLANK($C$11),"",$C$11)</f>
        <v/>
      </c>
      <c r="AK160" s="120" t="b">
        <f t="shared" si="138"/>
        <v>0</v>
      </c>
      <c r="AL160" s="5">
        <v>0</v>
      </c>
      <c r="AM160" s="120" t="b">
        <f t="shared" si="139"/>
        <v>0</v>
      </c>
      <c r="AN160" s="5">
        <v>0</v>
      </c>
      <c r="AO160" s="5">
        <v>0</v>
      </c>
      <c r="AP160" s="120" t="b">
        <f t="shared" si="140"/>
        <v>0</v>
      </c>
      <c r="AQ160" s="5">
        <v>0</v>
      </c>
      <c r="AR160" s="121">
        <f t="shared" si="141"/>
        <v>0</v>
      </c>
    </row>
    <row r="161" spans="36:44" x14ac:dyDescent="0.25">
      <c r="AJ161" s="5" t="str">
        <f>IF(ISBLANK($C$12),"",$C$12)</f>
        <v/>
      </c>
      <c r="AK161" s="120" t="b">
        <f t="shared" si="138"/>
        <v>0</v>
      </c>
      <c r="AL161" s="5">
        <v>0</v>
      </c>
      <c r="AM161" s="120" t="b">
        <f t="shared" si="139"/>
        <v>0</v>
      </c>
      <c r="AN161" s="5">
        <v>0</v>
      </c>
      <c r="AO161" s="5">
        <v>0</v>
      </c>
      <c r="AP161" s="120" t="b">
        <f t="shared" si="140"/>
        <v>0</v>
      </c>
      <c r="AQ161" s="5">
        <v>0</v>
      </c>
      <c r="AR161" s="121">
        <f t="shared" si="141"/>
        <v>0</v>
      </c>
    </row>
    <row r="162" spans="36:44" x14ac:dyDescent="0.25">
      <c r="AJ162" s="5" t="str">
        <f>IF(ISBLANK($C$13),"",$C$13)</f>
        <v/>
      </c>
      <c r="AK162" s="120" t="b">
        <f t="shared" si="138"/>
        <v>0</v>
      </c>
      <c r="AL162" s="5">
        <v>0</v>
      </c>
      <c r="AM162" s="120" t="b">
        <f t="shared" si="139"/>
        <v>0</v>
      </c>
      <c r="AN162" s="5">
        <v>0</v>
      </c>
      <c r="AO162" s="5">
        <v>0</v>
      </c>
      <c r="AP162" s="120" t="b">
        <f t="shared" si="140"/>
        <v>0</v>
      </c>
      <c r="AQ162" s="5">
        <v>0</v>
      </c>
      <c r="AR162" s="121">
        <f t="shared" si="141"/>
        <v>0</v>
      </c>
    </row>
    <row r="163" spans="36:44" x14ac:dyDescent="0.25">
      <c r="AJ163" s="5" t="str">
        <f>IF(ISBLANK($C$14),"",$C$14)</f>
        <v/>
      </c>
      <c r="AK163" s="120" t="b">
        <f t="shared" si="138"/>
        <v>0</v>
      </c>
      <c r="AL163" s="5">
        <v>0</v>
      </c>
      <c r="AM163" s="120" t="b">
        <f t="shared" si="139"/>
        <v>0</v>
      </c>
      <c r="AN163" s="5">
        <v>0</v>
      </c>
      <c r="AO163" s="5">
        <v>0</v>
      </c>
      <c r="AP163" s="120" t="b">
        <f t="shared" si="140"/>
        <v>0</v>
      </c>
      <c r="AQ163" s="5">
        <v>0</v>
      </c>
      <c r="AR163" s="121">
        <f t="shared" si="141"/>
        <v>0</v>
      </c>
    </row>
    <row r="164" spans="36:44" x14ac:dyDescent="0.25">
      <c r="AJ164" s="5"/>
      <c r="AK164" s="30">
        <f t="shared" ref="AK164:AQ164" si="142">SUM(AK153:AK163)</f>
        <v>0</v>
      </c>
      <c r="AL164" s="30">
        <f t="shared" si="142"/>
        <v>0</v>
      </c>
      <c r="AM164" s="30">
        <f t="shared" si="142"/>
        <v>0</v>
      </c>
      <c r="AN164" s="30">
        <f t="shared" si="142"/>
        <v>0</v>
      </c>
      <c r="AO164" s="30">
        <f t="shared" si="142"/>
        <v>0</v>
      </c>
      <c r="AP164" s="30">
        <f t="shared" si="142"/>
        <v>0</v>
      </c>
      <c r="AQ164" s="30">
        <f t="shared" si="142"/>
        <v>0</v>
      </c>
    </row>
    <row r="165" spans="36:44" x14ac:dyDescent="0.25">
      <c r="AJ165" t="str">
        <f>AK152</f>
        <v>Category1</v>
      </c>
      <c r="AK165" s="38" t="b">
        <f>IFERROR(IF(AK151&lt;AK150,AK150-AK151),0)</f>
        <v>0</v>
      </c>
      <c r="AL165" s="5">
        <v>0</v>
      </c>
      <c r="AM165" s="5">
        <v>0</v>
      </c>
      <c r="AN165" s="5">
        <v>0</v>
      </c>
      <c r="AO165" s="5">
        <v>0</v>
      </c>
      <c r="AP165" s="5">
        <v>0</v>
      </c>
      <c r="AQ165" s="5">
        <v>0</v>
      </c>
      <c r="AR165" s="122">
        <f>IF($AT$4=5,SUM(AK165:AQ165),0)</f>
        <v>0</v>
      </c>
    </row>
    <row r="166" spans="36:44" x14ac:dyDescent="0.25">
      <c r="AJ166" s="5" t="str">
        <f>AL152</f>
        <v>Category2</v>
      </c>
      <c r="AK166" s="5">
        <v>0</v>
      </c>
      <c r="AL166" s="38" t="b">
        <f>IFERROR(IF(AL151&lt;AL150,(AL150-AL151)*$AC147),0)</f>
        <v>0</v>
      </c>
      <c r="AM166" s="5">
        <v>0</v>
      </c>
      <c r="AN166" s="38" t="b">
        <f>IFERROR(IF(AN151&lt;AN150,(AN150-AN151)*$AC147),0)</f>
        <v>0</v>
      </c>
      <c r="AO166" s="38" t="b">
        <f>IFERROR(IF(AO151&lt;AO150,(AO150-AO151)*$AC147),0)</f>
        <v>0</v>
      </c>
      <c r="AP166" s="5">
        <v>0</v>
      </c>
      <c r="AQ166" s="38" t="b">
        <f>IFERROR(IF(AQ151&lt;AQ150,(AQ150-AQ151)*$AC147),0)</f>
        <v>0</v>
      </c>
      <c r="AR166" s="122">
        <f t="shared" ref="AR166:AR175" si="143">IF($AT$4=5,SUM(AK166:AQ166),0)</f>
        <v>0</v>
      </c>
    </row>
    <row r="167" spans="36:44" x14ac:dyDescent="0.25">
      <c r="AJ167" s="5" t="str">
        <f>AM152</f>
        <v>Category3</v>
      </c>
      <c r="AK167" s="5">
        <v>0</v>
      </c>
      <c r="AL167" s="5">
        <v>0</v>
      </c>
      <c r="AM167" s="38" t="b">
        <f>IFERROR(IF(AM151&lt;AM150,AM150-AM151),0)</f>
        <v>0</v>
      </c>
      <c r="AN167" s="5">
        <v>0</v>
      </c>
      <c r="AO167" s="5">
        <v>0</v>
      </c>
      <c r="AP167" s="5">
        <v>0</v>
      </c>
      <c r="AQ167" s="5">
        <v>0</v>
      </c>
      <c r="AR167" s="122">
        <f t="shared" si="143"/>
        <v>0</v>
      </c>
    </row>
    <row r="168" spans="36:44" x14ac:dyDescent="0.25">
      <c r="AJ168" s="5" t="str">
        <f>AN152</f>
        <v>Category4</v>
      </c>
      <c r="AK168" s="5">
        <v>0</v>
      </c>
      <c r="AL168" s="38" t="b">
        <f>IFERROR(IF(AL151&lt;AL150,(AL150-AL151)*$AC149),0)</f>
        <v>0</v>
      </c>
      <c r="AM168" s="5">
        <v>0</v>
      </c>
      <c r="AN168" s="38" t="b">
        <f>IFERROR(IF(AN151&lt;AN150,(AN150-AN151)*$AC149),0)</f>
        <v>0</v>
      </c>
      <c r="AO168" s="38" t="b">
        <f>IFERROR(IF(AO151&lt;AO150,(AO150-AO151)*$AC149),0)</f>
        <v>0</v>
      </c>
      <c r="AP168" s="5">
        <v>0</v>
      </c>
      <c r="AQ168" s="38" t="b">
        <f>IFERROR(IF(AQ151&lt;AQ150,(AQ150-AQ151)*$AC149),0)</f>
        <v>0</v>
      </c>
      <c r="AR168" s="122">
        <f t="shared" si="143"/>
        <v>0</v>
      </c>
    </row>
    <row r="169" spans="36:44" x14ac:dyDescent="0.25">
      <c r="AJ169" s="5" t="str">
        <f>AO152</f>
        <v>Category5</v>
      </c>
      <c r="AK169" s="5">
        <v>0</v>
      </c>
      <c r="AL169" s="38" t="b">
        <f>IFERROR(IF(AL151&lt;AL150,(AL150-AL151)*$AC150),0)</f>
        <v>0</v>
      </c>
      <c r="AM169" s="5">
        <v>0</v>
      </c>
      <c r="AN169" s="38" t="b">
        <f>IFERROR(IF(AN151&lt;AN150,(AN150-AN151)*$AC150),0)</f>
        <v>0</v>
      </c>
      <c r="AO169" s="38" t="b">
        <f>IFERROR(IF(AO151&lt;AO150,(AO150-AO151)*$AC150),0)</f>
        <v>0</v>
      </c>
      <c r="AP169" s="5">
        <v>0</v>
      </c>
      <c r="AQ169" s="38" t="b">
        <f>IFERROR(IF(AQ151&lt;AQ150,(AQ150-AQ151)*AC150),0)</f>
        <v>0</v>
      </c>
      <c r="AR169" s="122">
        <f t="shared" si="143"/>
        <v>0</v>
      </c>
    </row>
    <row r="170" spans="36:44" x14ac:dyDescent="0.25">
      <c r="AJ170" s="5" t="str">
        <f>AP152</f>
        <v>Category6</v>
      </c>
      <c r="AK170" s="5">
        <v>0</v>
      </c>
      <c r="AL170" s="5">
        <v>0</v>
      </c>
      <c r="AM170" s="5">
        <v>0</v>
      </c>
      <c r="AN170" s="5">
        <v>0</v>
      </c>
      <c r="AO170" s="5">
        <v>0</v>
      </c>
      <c r="AP170" s="38" t="b">
        <f>IFERROR(IF(AP151&lt;AP150,AP150-AP151),0)</f>
        <v>0</v>
      </c>
      <c r="AQ170" s="5">
        <v>0</v>
      </c>
      <c r="AR170" s="122">
        <f t="shared" si="143"/>
        <v>0</v>
      </c>
    </row>
    <row r="171" spans="36:44" x14ac:dyDescent="0.25">
      <c r="AJ171" s="5" t="str">
        <f>AQ152</f>
        <v>Category7</v>
      </c>
      <c r="AK171" s="5">
        <v>0</v>
      </c>
      <c r="AL171" s="38" t="b">
        <f>IFERROR(IF(AL151&lt;AL150,(AL150-AL151)*$AC152),0)</f>
        <v>0</v>
      </c>
      <c r="AM171" s="5">
        <v>0</v>
      </c>
      <c r="AN171" s="38" t="b">
        <f>IFERROR(IF(AN151&lt;AN150,(AN150-AN151)*$AC152),0)</f>
        <v>0</v>
      </c>
      <c r="AO171" s="38" t="b">
        <f>IFERROR(IF(AO151&lt;AO150,(AO150-AO151)*$AC152),0)</f>
        <v>0</v>
      </c>
      <c r="AP171" s="5">
        <v>0</v>
      </c>
      <c r="AQ171" s="38" t="b">
        <f>IFERROR(IF(AQ151&lt;AQ150,(AQ150-AQ151)*AC152),0)</f>
        <v>0</v>
      </c>
      <c r="AR171" s="122">
        <f t="shared" si="143"/>
        <v>0</v>
      </c>
    </row>
    <row r="172" spans="36:44" x14ac:dyDescent="0.25">
      <c r="AJ172" s="5" t="str">
        <f>IF(ISBLANK($C$11),"",$C$11)</f>
        <v/>
      </c>
      <c r="AK172" s="5">
        <v>0</v>
      </c>
      <c r="AL172" s="38" t="b">
        <f>IFERROR(IF(AL151&lt;AL150,(AL150-AL151)*$AC153),0)</f>
        <v>0</v>
      </c>
      <c r="AM172" s="5">
        <v>0</v>
      </c>
      <c r="AN172" s="38" t="b">
        <f>IFERROR(IF(AN151&lt;AN150,(AN150-AN151)*$AC153),0)</f>
        <v>0</v>
      </c>
      <c r="AO172" s="38" t="b">
        <f>IFERROR(IF(AO151&lt;AO150,(AO150-AO151)*$AC153),0)</f>
        <v>0</v>
      </c>
      <c r="AP172" s="5">
        <v>0</v>
      </c>
      <c r="AQ172" s="38" t="b">
        <f>IFERROR(IF(AQ151&lt;AQ150,(AQ150-AQ151)*$AC153),0)</f>
        <v>0</v>
      </c>
      <c r="AR172" s="122">
        <f t="shared" si="143"/>
        <v>0</v>
      </c>
    </row>
    <row r="173" spans="36:44" x14ac:dyDescent="0.25">
      <c r="AJ173" s="5" t="str">
        <f>IF(ISBLANK($C$12),"",$C$12)</f>
        <v/>
      </c>
      <c r="AK173" s="5">
        <v>0</v>
      </c>
      <c r="AL173" s="38" t="b">
        <f>IFERROR(IF(AL151&lt;AL150,(AL150-AL151)*$AC154),0)</f>
        <v>0</v>
      </c>
      <c r="AM173" s="5">
        <v>0</v>
      </c>
      <c r="AN173" s="38" t="b">
        <f>IFERROR(IF(AN151&lt;AN150,(AN150-AN151)*$AC154),0)</f>
        <v>0</v>
      </c>
      <c r="AO173" s="38" t="b">
        <f>IFERROR(IF(AO151&lt;AO150,(AO150-AO151)*$AC154),0)</f>
        <v>0</v>
      </c>
      <c r="AP173" s="5">
        <v>0</v>
      </c>
      <c r="AQ173" s="38" t="b">
        <f>IFERROR(IF(AQ151&lt;AQ150,(AQ150-AQ151)*$AC154),0)</f>
        <v>0</v>
      </c>
      <c r="AR173" s="122">
        <f t="shared" si="143"/>
        <v>0</v>
      </c>
    </row>
    <row r="174" spans="36:44" x14ac:dyDescent="0.25">
      <c r="AJ174" s="5" t="str">
        <f>IF(ISBLANK($C$13),"",$C$13)</f>
        <v/>
      </c>
      <c r="AK174" s="5">
        <v>0</v>
      </c>
      <c r="AL174" s="38" t="b">
        <f>IFERROR(IF(AL151&lt;AL150,(AL150-AL151)*$AC155),0)</f>
        <v>0</v>
      </c>
      <c r="AM174" s="5">
        <v>0</v>
      </c>
      <c r="AN174" s="38" t="b">
        <f>IFERROR(IF(AN151&lt;AN150,(AN150-AN151)*$AC155),0)</f>
        <v>0</v>
      </c>
      <c r="AO174" s="38" t="b">
        <f>IFERROR(IF(AO151&lt;AO150,(AO150-AO151)*$AC155),0)</f>
        <v>0</v>
      </c>
      <c r="AP174" s="5">
        <v>0</v>
      </c>
      <c r="AQ174" s="38" t="b">
        <f>IFERROR(IF(AQ151&lt;AQ150,(AQ150-AQ151)*$AC155),0)</f>
        <v>0</v>
      </c>
      <c r="AR174" s="122">
        <f t="shared" si="143"/>
        <v>0</v>
      </c>
    </row>
    <row r="175" spans="36:44" x14ac:dyDescent="0.25">
      <c r="AJ175" s="5" t="str">
        <f>IF(ISBLANK($C$14),"",$C$14)</f>
        <v/>
      </c>
      <c r="AK175" s="5">
        <v>0</v>
      </c>
      <c r="AL175" s="38" t="b">
        <f>IFERROR(IF(AL151&lt;AL150,(AL150-AL151)*$AC156),0)</f>
        <v>0</v>
      </c>
      <c r="AM175" s="5">
        <v>0</v>
      </c>
      <c r="AN175" s="38" t="b">
        <f>IFERROR(IF(AN151&lt;AN150,(AN150-AN151)*$AC156),0)</f>
        <v>0</v>
      </c>
      <c r="AO175" s="38" t="b">
        <f>IFERROR(IF(AO151&lt;AO150,(AO150-AO151)*$AC156),0)</f>
        <v>0</v>
      </c>
      <c r="AP175" s="5">
        <v>0</v>
      </c>
      <c r="AQ175" s="38" t="b">
        <f>IFERROR(IF(AQ151&lt;AQ150,(AQ150-AQ151)*$AC156),0)</f>
        <v>0</v>
      </c>
      <c r="AR175" s="122">
        <f t="shared" si="143"/>
        <v>0</v>
      </c>
    </row>
  </sheetData>
  <sheetProtection algorithmName="SHA-512" hashValue="EJa+/gH0XhAlKF6UWRXPN0MBPlKGPXwyeCLAOBuCo2HVqus08MEDvQBc2l8lgg60JEatcDbK3sNdXeLo/ZHJXg==" saltValue="bO2u8U6LFcGvSFBYqWW2ZA==" spinCount="100000" sheet="1" objects="1" scenarios="1"/>
  <mergeCells count="1">
    <mergeCell ref="CL14:CS14"/>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6176E-B482-4D98-943E-C260C0581EB1}">
  <sheetPr codeName="Sheet10">
    <tabColor rgb="FF7030A0"/>
  </sheetPr>
  <dimension ref="A1:I421"/>
  <sheetViews>
    <sheetView showGridLines="0" showRowColHeaders="0" workbookViewId="0">
      <selection activeCell="K16" sqref="K16"/>
    </sheetView>
  </sheetViews>
  <sheetFormatPr defaultRowHeight="11.5" x14ac:dyDescent="0.25"/>
  <cols>
    <col min="1" max="1" width="8.3984375" customWidth="1"/>
    <col min="2" max="2" width="9.59765625" bestFit="1" customWidth="1"/>
    <col min="3" max="3" width="8.09765625" bestFit="1" customWidth="1"/>
    <col min="4" max="4" width="10.8984375" bestFit="1" customWidth="1"/>
    <col min="5" max="5" width="18.09765625" bestFit="1" customWidth="1"/>
    <col min="6" max="6" width="11.3984375" bestFit="1" customWidth="1"/>
    <col min="7" max="7" width="9.8984375" customWidth="1"/>
    <col min="8" max="8" width="12.3984375" bestFit="1" customWidth="1"/>
    <col min="9" max="9" width="14.09765625" customWidth="1"/>
  </cols>
  <sheetData>
    <row r="1" spans="1:9" x14ac:dyDescent="0.25">
      <c r="A1" s="72" t="s">
        <v>8</v>
      </c>
      <c r="B1" s="73" t="s">
        <v>9</v>
      </c>
      <c r="C1" s="67" t="s">
        <v>10</v>
      </c>
      <c r="D1" s="67" t="s">
        <v>11</v>
      </c>
      <c r="E1" s="67" t="s">
        <v>12</v>
      </c>
      <c r="F1" s="67" t="s">
        <v>73</v>
      </c>
      <c r="G1" s="67" t="s">
        <v>15</v>
      </c>
      <c r="H1" s="67" t="s">
        <v>78</v>
      </c>
      <c r="I1" s="67" t="s">
        <v>173</v>
      </c>
    </row>
    <row r="2" spans="1:9" x14ac:dyDescent="0.25">
      <c r="A2">
        <v>2025</v>
      </c>
      <c r="B2" s="279">
        <v>45658</v>
      </c>
      <c r="C2" t="s">
        <v>13</v>
      </c>
      <c r="D2" s="71" t="s">
        <v>1332</v>
      </c>
      <c r="E2" t="s">
        <v>1415</v>
      </c>
      <c r="F2" s="5">
        <v>20250101</v>
      </c>
      <c r="G2">
        <v>1E-4</v>
      </c>
      <c r="H2">
        <v>1E-3</v>
      </c>
      <c r="I2">
        <v>1E-3</v>
      </c>
    </row>
    <row r="3" spans="1:9" x14ac:dyDescent="0.25">
      <c r="A3">
        <v>2025</v>
      </c>
      <c r="B3" s="279">
        <v>45658</v>
      </c>
      <c r="C3" t="s">
        <v>13</v>
      </c>
      <c r="D3" s="71" t="s">
        <v>1331</v>
      </c>
      <c r="E3" t="s">
        <v>659</v>
      </c>
      <c r="F3" s="5">
        <v>20250102</v>
      </c>
      <c r="G3">
        <v>1E-4</v>
      </c>
      <c r="H3">
        <v>1E-3</v>
      </c>
      <c r="I3">
        <v>1E-3</v>
      </c>
    </row>
    <row r="4" spans="1:9" x14ac:dyDescent="0.25">
      <c r="A4">
        <v>2025</v>
      </c>
      <c r="B4" s="279">
        <v>45658</v>
      </c>
      <c r="C4" t="s">
        <v>13</v>
      </c>
      <c r="D4" s="71" t="s">
        <v>1333</v>
      </c>
      <c r="E4" t="s">
        <v>1416</v>
      </c>
      <c r="F4" s="5">
        <v>20250103</v>
      </c>
      <c r="G4">
        <v>1E-4</v>
      </c>
      <c r="H4">
        <v>1E-3</v>
      </c>
      <c r="I4">
        <v>1E-3</v>
      </c>
    </row>
    <row r="5" spans="1:9" x14ac:dyDescent="0.25">
      <c r="A5">
        <v>2025</v>
      </c>
      <c r="B5" s="279">
        <v>45658</v>
      </c>
      <c r="C5" t="s">
        <v>14</v>
      </c>
      <c r="D5" s="71" t="s">
        <v>1401</v>
      </c>
      <c r="E5" t="s">
        <v>1408</v>
      </c>
      <c r="F5" s="5">
        <v>20250104</v>
      </c>
      <c r="G5">
        <v>1E-4</v>
      </c>
      <c r="H5">
        <v>1E-3</v>
      </c>
      <c r="I5">
        <v>1E-3</v>
      </c>
    </row>
    <row r="6" spans="1:9" x14ac:dyDescent="0.25">
      <c r="A6">
        <v>2025</v>
      </c>
      <c r="B6" s="279">
        <v>45658</v>
      </c>
      <c r="C6" t="s">
        <v>14</v>
      </c>
      <c r="D6" s="71" t="s">
        <v>1402</v>
      </c>
      <c r="E6" t="s">
        <v>1409</v>
      </c>
      <c r="F6" s="5">
        <v>20250105</v>
      </c>
      <c r="G6">
        <v>1E-4</v>
      </c>
      <c r="H6">
        <v>1E-3</v>
      </c>
      <c r="I6">
        <v>1E-3</v>
      </c>
    </row>
    <row r="7" spans="1:9" x14ac:dyDescent="0.25">
      <c r="A7">
        <v>2025</v>
      </c>
      <c r="B7" s="279">
        <v>45658</v>
      </c>
      <c r="C7" t="s">
        <v>14</v>
      </c>
      <c r="D7" s="71" t="s">
        <v>1403</v>
      </c>
      <c r="E7" t="s">
        <v>1410</v>
      </c>
      <c r="F7" s="5">
        <v>20250106</v>
      </c>
      <c r="G7">
        <v>1E-4</v>
      </c>
      <c r="H7">
        <v>1E-3</v>
      </c>
      <c r="I7">
        <v>1E-3</v>
      </c>
    </row>
    <row r="8" spans="1:9" x14ac:dyDescent="0.25">
      <c r="A8">
        <v>2025</v>
      </c>
      <c r="B8" s="279">
        <v>45658</v>
      </c>
      <c r="C8" t="s">
        <v>14</v>
      </c>
      <c r="D8" s="71" t="s">
        <v>1404</v>
      </c>
      <c r="E8" t="s">
        <v>1411</v>
      </c>
      <c r="F8" s="5">
        <v>20250107</v>
      </c>
      <c r="G8">
        <v>1E-4</v>
      </c>
      <c r="H8">
        <v>1E-3</v>
      </c>
      <c r="I8">
        <v>1E-3</v>
      </c>
    </row>
    <row r="9" spans="1:9" x14ac:dyDescent="0.25">
      <c r="A9">
        <v>2025</v>
      </c>
      <c r="B9" s="279">
        <v>45658</v>
      </c>
      <c r="C9" t="s">
        <v>14</v>
      </c>
      <c r="D9" s="71" t="s">
        <v>1405</v>
      </c>
      <c r="E9" t="s">
        <v>1412</v>
      </c>
      <c r="F9" s="5">
        <v>20250108</v>
      </c>
      <c r="G9">
        <v>1E-4</v>
      </c>
      <c r="H9">
        <v>1E-3</v>
      </c>
      <c r="I9">
        <v>1E-3</v>
      </c>
    </row>
    <row r="10" spans="1:9" x14ac:dyDescent="0.25">
      <c r="A10">
        <v>2025</v>
      </c>
      <c r="B10" s="279">
        <v>45658</v>
      </c>
      <c r="C10" t="s">
        <v>14</v>
      </c>
      <c r="D10" s="71" t="s">
        <v>1406</v>
      </c>
      <c r="E10" t="s">
        <v>1414</v>
      </c>
      <c r="F10" s="5">
        <v>20250109</v>
      </c>
      <c r="G10">
        <v>1E-4</v>
      </c>
      <c r="H10">
        <v>1E-3</v>
      </c>
      <c r="I10">
        <v>1E-3</v>
      </c>
    </row>
    <row r="11" spans="1:9" x14ac:dyDescent="0.25">
      <c r="A11">
        <v>2025</v>
      </c>
      <c r="B11" s="279">
        <v>45658</v>
      </c>
      <c r="C11" t="s">
        <v>14</v>
      </c>
      <c r="D11" s="71" t="s">
        <v>1407</v>
      </c>
      <c r="E11" t="s">
        <v>1413</v>
      </c>
      <c r="F11" s="5">
        <v>20250110</v>
      </c>
      <c r="G11">
        <v>1E-4</v>
      </c>
      <c r="H11">
        <v>1E-3</v>
      </c>
      <c r="I11">
        <v>1E-3</v>
      </c>
    </row>
    <row r="12" spans="1:9" x14ac:dyDescent="0.25">
      <c r="A12">
        <v>2025</v>
      </c>
      <c r="B12" s="279">
        <v>45689</v>
      </c>
      <c r="C12" t="s">
        <v>13</v>
      </c>
      <c r="D12" s="71" t="s">
        <v>1332</v>
      </c>
      <c r="E12" t="s">
        <v>1415</v>
      </c>
      <c r="F12" s="281">
        <v>20250201</v>
      </c>
      <c r="G12">
        <v>1E-4</v>
      </c>
      <c r="H12">
        <v>1E-3</v>
      </c>
      <c r="I12">
        <v>1E-3</v>
      </c>
    </row>
    <row r="13" spans="1:9" x14ac:dyDescent="0.25">
      <c r="A13">
        <v>2025</v>
      </c>
      <c r="B13" s="279">
        <v>45689</v>
      </c>
      <c r="C13" t="s">
        <v>13</v>
      </c>
      <c r="D13" s="71" t="s">
        <v>1331</v>
      </c>
      <c r="E13" t="s">
        <v>659</v>
      </c>
      <c r="F13" s="5">
        <v>20250202</v>
      </c>
      <c r="G13">
        <v>1E-4</v>
      </c>
      <c r="H13">
        <v>1E-3</v>
      </c>
      <c r="I13">
        <v>1E-3</v>
      </c>
    </row>
    <row r="14" spans="1:9" x14ac:dyDescent="0.25">
      <c r="A14">
        <v>2025</v>
      </c>
      <c r="B14" s="279">
        <v>45689</v>
      </c>
      <c r="C14" t="s">
        <v>13</v>
      </c>
      <c r="D14" s="71" t="s">
        <v>1333</v>
      </c>
      <c r="E14" t="s">
        <v>1416</v>
      </c>
      <c r="F14" s="5">
        <v>20250203</v>
      </c>
      <c r="G14">
        <v>1E-4</v>
      </c>
      <c r="H14">
        <v>1E-3</v>
      </c>
      <c r="I14">
        <v>1E-3</v>
      </c>
    </row>
    <row r="15" spans="1:9" x14ac:dyDescent="0.25">
      <c r="A15">
        <v>2025</v>
      </c>
      <c r="B15" s="279">
        <v>45689</v>
      </c>
      <c r="C15" t="s">
        <v>14</v>
      </c>
      <c r="D15" s="71" t="s">
        <v>1401</v>
      </c>
      <c r="E15" t="s">
        <v>1408</v>
      </c>
      <c r="F15" s="5">
        <v>20250204</v>
      </c>
      <c r="G15">
        <v>1E-4</v>
      </c>
      <c r="H15">
        <v>1E-3</v>
      </c>
      <c r="I15">
        <v>1E-3</v>
      </c>
    </row>
    <row r="16" spans="1:9" x14ac:dyDescent="0.25">
      <c r="A16">
        <v>2025</v>
      </c>
      <c r="B16" s="279">
        <v>45689</v>
      </c>
      <c r="C16" t="s">
        <v>14</v>
      </c>
      <c r="D16" s="71" t="s">
        <v>1402</v>
      </c>
      <c r="E16" t="s">
        <v>1409</v>
      </c>
      <c r="F16" s="5">
        <v>20250205</v>
      </c>
      <c r="G16">
        <v>1E-4</v>
      </c>
      <c r="H16">
        <v>1E-3</v>
      </c>
      <c r="I16">
        <v>1E-3</v>
      </c>
    </row>
    <row r="17" spans="1:9" x14ac:dyDescent="0.25">
      <c r="A17">
        <v>2025</v>
      </c>
      <c r="B17" s="279">
        <v>45689</v>
      </c>
      <c r="C17" t="s">
        <v>14</v>
      </c>
      <c r="D17" s="71" t="s">
        <v>1403</v>
      </c>
      <c r="E17" t="s">
        <v>1410</v>
      </c>
      <c r="F17" s="5">
        <v>20250206</v>
      </c>
      <c r="G17">
        <v>1E-4</v>
      </c>
      <c r="H17">
        <v>1E-3</v>
      </c>
      <c r="I17">
        <v>1E-3</v>
      </c>
    </row>
    <row r="18" spans="1:9" x14ac:dyDescent="0.25">
      <c r="A18">
        <v>2025</v>
      </c>
      <c r="B18" s="279">
        <v>45689</v>
      </c>
      <c r="C18" t="s">
        <v>14</v>
      </c>
      <c r="D18" s="71" t="s">
        <v>1404</v>
      </c>
      <c r="E18" t="s">
        <v>1411</v>
      </c>
      <c r="F18" s="5">
        <v>20250207</v>
      </c>
      <c r="G18">
        <v>1E-4</v>
      </c>
      <c r="H18">
        <v>1E-3</v>
      </c>
      <c r="I18">
        <v>1E-3</v>
      </c>
    </row>
    <row r="19" spans="1:9" x14ac:dyDescent="0.25">
      <c r="A19">
        <v>2025</v>
      </c>
      <c r="B19" s="279">
        <v>45689</v>
      </c>
      <c r="C19" t="s">
        <v>14</v>
      </c>
      <c r="D19" s="71" t="s">
        <v>1405</v>
      </c>
      <c r="E19" t="s">
        <v>1412</v>
      </c>
      <c r="F19" s="5">
        <v>20250208</v>
      </c>
      <c r="G19">
        <v>1E-4</v>
      </c>
      <c r="H19">
        <v>1E-3</v>
      </c>
      <c r="I19">
        <v>1E-3</v>
      </c>
    </row>
    <row r="20" spans="1:9" x14ac:dyDescent="0.25">
      <c r="A20">
        <v>2025</v>
      </c>
      <c r="B20" s="279">
        <v>45689</v>
      </c>
      <c r="C20" t="s">
        <v>14</v>
      </c>
      <c r="D20" s="71" t="s">
        <v>1406</v>
      </c>
      <c r="E20" t="s">
        <v>1414</v>
      </c>
      <c r="F20" s="5">
        <v>20250209</v>
      </c>
      <c r="G20">
        <v>1E-4</v>
      </c>
      <c r="H20">
        <v>1E-3</v>
      </c>
      <c r="I20">
        <v>1E-3</v>
      </c>
    </row>
    <row r="21" spans="1:9" x14ac:dyDescent="0.25">
      <c r="A21">
        <v>2025</v>
      </c>
      <c r="B21" s="279">
        <v>45689</v>
      </c>
      <c r="C21" t="s">
        <v>14</v>
      </c>
      <c r="D21" s="71" t="s">
        <v>1407</v>
      </c>
      <c r="E21" t="s">
        <v>1413</v>
      </c>
      <c r="F21" s="5">
        <v>20250210</v>
      </c>
      <c r="G21">
        <v>1E-4</v>
      </c>
      <c r="H21">
        <v>1E-3</v>
      </c>
      <c r="I21">
        <v>1E-3</v>
      </c>
    </row>
    <row r="22" spans="1:9" x14ac:dyDescent="0.25">
      <c r="A22">
        <v>2026</v>
      </c>
      <c r="B22" s="279">
        <v>45658</v>
      </c>
      <c r="C22" t="s">
        <v>13</v>
      </c>
      <c r="D22" s="71" t="s">
        <v>1332</v>
      </c>
      <c r="E22" t="s">
        <v>1415</v>
      </c>
      <c r="F22" s="5">
        <v>20260101</v>
      </c>
      <c r="G22">
        <v>1E-4</v>
      </c>
      <c r="H22">
        <v>1E-3</v>
      </c>
      <c r="I22">
        <v>1E-3</v>
      </c>
    </row>
    <row r="23" spans="1:9" x14ac:dyDescent="0.25">
      <c r="A23">
        <v>2026</v>
      </c>
      <c r="B23" s="279">
        <v>45658</v>
      </c>
      <c r="C23" t="s">
        <v>13</v>
      </c>
      <c r="D23" s="71" t="s">
        <v>1331</v>
      </c>
      <c r="E23" t="s">
        <v>659</v>
      </c>
      <c r="F23" s="5">
        <v>20260102</v>
      </c>
      <c r="G23">
        <v>1E-4</v>
      </c>
      <c r="H23">
        <v>1E-3</v>
      </c>
      <c r="I23">
        <v>1E-3</v>
      </c>
    </row>
    <row r="24" spans="1:9" x14ac:dyDescent="0.25">
      <c r="A24">
        <v>2026</v>
      </c>
      <c r="B24" s="279">
        <v>45658</v>
      </c>
      <c r="C24" t="s">
        <v>13</v>
      </c>
      <c r="D24" s="71" t="s">
        <v>1333</v>
      </c>
      <c r="E24" t="s">
        <v>1416</v>
      </c>
      <c r="F24" s="5">
        <v>20260103</v>
      </c>
      <c r="G24">
        <v>1E-4</v>
      </c>
      <c r="H24">
        <v>1E-3</v>
      </c>
      <c r="I24">
        <v>1E-3</v>
      </c>
    </row>
    <row r="25" spans="1:9" x14ac:dyDescent="0.25">
      <c r="A25">
        <v>2026</v>
      </c>
      <c r="B25" s="279">
        <v>45658</v>
      </c>
      <c r="C25" t="s">
        <v>14</v>
      </c>
      <c r="D25" s="71" t="s">
        <v>1401</v>
      </c>
      <c r="E25" t="s">
        <v>1408</v>
      </c>
      <c r="F25" s="5">
        <v>20260104</v>
      </c>
      <c r="G25">
        <v>1E-4</v>
      </c>
      <c r="H25">
        <v>1E-3</v>
      </c>
      <c r="I25">
        <v>1E-3</v>
      </c>
    </row>
    <row r="26" spans="1:9" x14ac:dyDescent="0.25">
      <c r="A26">
        <v>2026</v>
      </c>
      <c r="B26" s="279">
        <v>45658</v>
      </c>
      <c r="C26" t="s">
        <v>14</v>
      </c>
      <c r="D26" s="71" t="s">
        <v>1402</v>
      </c>
      <c r="E26" t="s">
        <v>1409</v>
      </c>
      <c r="F26" s="5">
        <v>20260105</v>
      </c>
      <c r="G26">
        <v>1E-4</v>
      </c>
      <c r="H26">
        <v>1E-3</v>
      </c>
      <c r="I26">
        <v>1E-3</v>
      </c>
    </row>
    <row r="27" spans="1:9" x14ac:dyDescent="0.25">
      <c r="A27">
        <v>2026</v>
      </c>
      <c r="B27" s="279">
        <v>45658</v>
      </c>
      <c r="C27" t="s">
        <v>14</v>
      </c>
      <c r="D27" s="71" t="s">
        <v>1403</v>
      </c>
      <c r="E27" t="s">
        <v>1410</v>
      </c>
      <c r="F27" s="5">
        <v>20260106</v>
      </c>
      <c r="G27">
        <v>1E-4</v>
      </c>
      <c r="H27">
        <v>1E-3</v>
      </c>
      <c r="I27">
        <v>1E-3</v>
      </c>
    </row>
    <row r="28" spans="1:9" x14ac:dyDescent="0.25">
      <c r="A28">
        <v>2026</v>
      </c>
      <c r="B28" s="279">
        <v>45658</v>
      </c>
      <c r="C28" t="s">
        <v>14</v>
      </c>
      <c r="D28" s="71" t="s">
        <v>1404</v>
      </c>
      <c r="E28" t="s">
        <v>1411</v>
      </c>
      <c r="F28" s="5">
        <v>20260107</v>
      </c>
      <c r="G28">
        <v>1E-4</v>
      </c>
      <c r="H28">
        <v>1E-3</v>
      </c>
      <c r="I28">
        <v>1E-3</v>
      </c>
    </row>
    <row r="29" spans="1:9" x14ac:dyDescent="0.25">
      <c r="A29">
        <v>2026</v>
      </c>
      <c r="B29" s="279">
        <v>45658</v>
      </c>
      <c r="C29" t="s">
        <v>14</v>
      </c>
      <c r="D29" s="71" t="s">
        <v>1405</v>
      </c>
      <c r="E29" t="s">
        <v>1412</v>
      </c>
      <c r="F29" s="5">
        <v>20260108</v>
      </c>
      <c r="G29">
        <v>1E-4</v>
      </c>
      <c r="H29">
        <v>1E-3</v>
      </c>
      <c r="I29">
        <v>1E-3</v>
      </c>
    </row>
    <row r="30" spans="1:9" x14ac:dyDescent="0.25">
      <c r="A30">
        <v>2026</v>
      </c>
      <c r="B30" s="279">
        <v>45658</v>
      </c>
      <c r="C30" t="s">
        <v>14</v>
      </c>
      <c r="D30" s="71" t="s">
        <v>1406</v>
      </c>
      <c r="E30" t="s">
        <v>1414</v>
      </c>
      <c r="F30" s="5">
        <v>20260109</v>
      </c>
      <c r="G30">
        <v>1E-4</v>
      </c>
      <c r="H30">
        <v>1E-3</v>
      </c>
      <c r="I30">
        <v>1E-3</v>
      </c>
    </row>
    <row r="31" spans="1:9" x14ac:dyDescent="0.25">
      <c r="A31">
        <v>2026</v>
      </c>
      <c r="B31" s="279">
        <v>45658</v>
      </c>
      <c r="C31" t="s">
        <v>14</v>
      </c>
      <c r="D31" s="71" t="s">
        <v>1407</v>
      </c>
      <c r="E31" t="s">
        <v>1413</v>
      </c>
      <c r="F31" s="5">
        <v>20260110</v>
      </c>
      <c r="G31">
        <v>1E-4</v>
      </c>
      <c r="H31">
        <v>1E-3</v>
      </c>
      <c r="I31">
        <v>1E-3</v>
      </c>
    </row>
    <row r="32" spans="1:9" x14ac:dyDescent="0.25">
      <c r="A32">
        <v>2026</v>
      </c>
      <c r="B32" s="279">
        <v>45689</v>
      </c>
      <c r="C32" t="s">
        <v>13</v>
      </c>
      <c r="D32" s="71" t="s">
        <v>1332</v>
      </c>
      <c r="E32" t="s">
        <v>1415</v>
      </c>
      <c r="F32" s="281">
        <v>20260201</v>
      </c>
      <c r="G32">
        <v>1E-4</v>
      </c>
      <c r="H32">
        <v>1E-3</v>
      </c>
      <c r="I32">
        <v>1E-3</v>
      </c>
    </row>
    <row r="33" spans="1:9" x14ac:dyDescent="0.25">
      <c r="A33">
        <v>2026</v>
      </c>
      <c r="B33" s="279">
        <v>45689</v>
      </c>
      <c r="C33" t="s">
        <v>13</v>
      </c>
      <c r="D33" s="71" t="s">
        <v>1331</v>
      </c>
      <c r="E33" t="s">
        <v>659</v>
      </c>
      <c r="F33" s="5">
        <v>20260202</v>
      </c>
      <c r="G33">
        <v>1E-4</v>
      </c>
      <c r="H33">
        <v>1E-3</v>
      </c>
      <c r="I33">
        <v>1E-3</v>
      </c>
    </row>
    <row r="34" spans="1:9" x14ac:dyDescent="0.25">
      <c r="A34">
        <v>2026</v>
      </c>
      <c r="B34" s="279">
        <v>45689</v>
      </c>
      <c r="C34" t="s">
        <v>13</v>
      </c>
      <c r="D34" s="71" t="s">
        <v>1333</v>
      </c>
      <c r="E34" t="s">
        <v>1416</v>
      </c>
      <c r="F34" s="5">
        <v>20260203</v>
      </c>
      <c r="G34">
        <v>1E-4</v>
      </c>
      <c r="H34">
        <v>1E-3</v>
      </c>
      <c r="I34">
        <v>1E-3</v>
      </c>
    </row>
    <row r="35" spans="1:9" x14ac:dyDescent="0.25">
      <c r="A35">
        <v>2026</v>
      </c>
      <c r="B35" s="279">
        <v>45689</v>
      </c>
      <c r="C35" t="s">
        <v>14</v>
      </c>
      <c r="D35" s="71" t="s">
        <v>1401</v>
      </c>
      <c r="E35" t="s">
        <v>1408</v>
      </c>
      <c r="F35" s="5">
        <v>20260204</v>
      </c>
      <c r="G35">
        <v>1E-4</v>
      </c>
      <c r="H35">
        <v>1E-3</v>
      </c>
      <c r="I35">
        <v>1E-3</v>
      </c>
    </row>
    <row r="36" spans="1:9" x14ac:dyDescent="0.25">
      <c r="A36">
        <v>2026</v>
      </c>
      <c r="B36" s="279">
        <v>45689</v>
      </c>
      <c r="C36" t="s">
        <v>14</v>
      </c>
      <c r="D36" s="71" t="s">
        <v>1402</v>
      </c>
      <c r="E36" t="s">
        <v>1409</v>
      </c>
      <c r="F36" s="5">
        <v>20260205</v>
      </c>
      <c r="G36">
        <v>1E-4</v>
      </c>
      <c r="H36">
        <v>1E-3</v>
      </c>
      <c r="I36">
        <v>1E-3</v>
      </c>
    </row>
    <row r="37" spans="1:9" x14ac:dyDescent="0.25">
      <c r="A37">
        <v>2026</v>
      </c>
      <c r="B37" s="279">
        <v>45689</v>
      </c>
      <c r="C37" t="s">
        <v>14</v>
      </c>
      <c r="D37" s="71" t="s">
        <v>1403</v>
      </c>
      <c r="E37" t="s">
        <v>1410</v>
      </c>
      <c r="F37" s="5">
        <v>20260206</v>
      </c>
      <c r="G37">
        <v>1E-4</v>
      </c>
      <c r="H37">
        <v>1E-3</v>
      </c>
      <c r="I37">
        <v>1E-3</v>
      </c>
    </row>
    <row r="38" spans="1:9" x14ac:dyDescent="0.25">
      <c r="A38">
        <v>2026</v>
      </c>
      <c r="B38" s="279">
        <v>45689</v>
      </c>
      <c r="C38" t="s">
        <v>14</v>
      </c>
      <c r="D38" s="71" t="s">
        <v>1404</v>
      </c>
      <c r="E38" t="s">
        <v>1411</v>
      </c>
      <c r="F38" s="5">
        <v>20260207</v>
      </c>
      <c r="G38">
        <v>1E-4</v>
      </c>
      <c r="H38">
        <v>1E-3</v>
      </c>
      <c r="I38">
        <v>1E-3</v>
      </c>
    </row>
    <row r="39" spans="1:9" x14ac:dyDescent="0.25">
      <c r="A39">
        <v>2026</v>
      </c>
      <c r="B39" s="279">
        <v>45689</v>
      </c>
      <c r="C39" t="s">
        <v>14</v>
      </c>
      <c r="D39" s="71" t="s">
        <v>1405</v>
      </c>
      <c r="E39" t="s">
        <v>1412</v>
      </c>
      <c r="F39" s="5">
        <v>20260208</v>
      </c>
      <c r="G39">
        <v>1E-4</v>
      </c>
      <c r="H39">
        <v>1E-3</v>
      </c>
      <c r="I39">
        <v>1E-3</v>
      </c>
    </row>
    <row r="40" spans="1:9" x14ac:dyDescent="0.25">
      <c r="A40">
        <v>2026</v>
      </c>
      <c r="B40" s="279">
        <v>45689</v>
      </c>
      <c r="C40" t="s">
        <v>14</v>
      </c>
      <c r="D40" s="71" t="s">
        <v>1406</v>
      </c>
      <c r="E40" t="s">
        <v>1414</v>
      </c>
      <c r="F40" s="5">
        <v>20260209</v>
      </c>
      <c r="G40">
        <v>1E-4</v>
      </c>
      <c r="H40">
        <v>1E-3</v>
      </c>
      <c r="I40">
        <v>1E-3</v>
      </c>
    </row>
    <row r="41" spans="1:9" x14ac:dyDescent="0.25">
      <c r="A41">
        <v>2026</v>
      </c>
      <c r="B41" s="279">
        <v>45689</v>
      </c>
      <c r="C41" t="s">
        <v>14</v>
      </c>
      <c r="D41" s="71" t="s">
        <v>1407</v>
      </c>
      <c r="E41" t="s">
        <v>1413</v>
      </c>
      <c r="F41" s="5">
        <v>20260210</v>
      </c>
      <c r="G41">
        <v>1E-4</v>
      </c>
      <c r="H41">
        <v>1E-3</v>
      </c>
      <c r="I41">
        <v>1E-3</v>
      </c>
    </row>
    <row r="42" spans="1:9" x14ac:dyDescent="0.25">
      <c r="B42" s="279"/>
      <c r="D42" s="71"/>
    </row>
    <row r="43" spans="1:9" x14ac:dyDescent="0.25">
      <c r="B43" s="279"/>
      <c r="D43" s="71"/>
    </row>
    <row r="44" spans="1:9" x14ac:dyDescent="0.25">
      <c r="B44" s="279"/>
      <c r="D44" s="71"/>
    </row>
    <row r="45" spans="1:9" x14ac:dyDescent="0.25">
      <c r="B45" s="279"/>
      <c r="D45" s="71"/>
    </row>
    <row r="46" spans="1:9" x14ac:dyDescent="0.25">
      <c r="B46" s="279"/>
      <c r="D46" s="71"/>
    </row>
    <row r="47" spans="1:9" x14ac:dyDescent="0.25">
      <c r="B47" s="279"/>
      <c r="D47" s="71"/>
    </row>
    <row r="48" spans="1:9" x14ac:dyDescent="0.25">
      <c r="B48" s="279"/>
      <c r="D48" s="71"/>
    </row>
    <row r="49" spans="2:4" x14ac:dyDescent="0.25">
      <c r="B49" s="279"/>
      <c r="D49" s="71"/>
    </row>
    <row r="50" spans="2:4" x14ac:dyDescent="0.25">
      <c r="B50" s="279"/>
      <c r="D50" s="71"/>
    </row>
    <row r="51" spans="2:4" x14ac:dyDescent="0.25">
      <c r="B51" s="279"/>
      <c r="D51" s="71"/>
    </row>
    <row r="52" spans="2:4" x14ac:dyDescent="0.25">
      <c r="B52" s="279"/>
      <c r="D52" s="71"/>
    </row>
    <row r="53" spans="2:4" x14ac:dyDescent="0.25">
      <c r="B53" s="279"/>
      <c r="D53" s="71"/>
    </row>
    <row r="54" spans="2:4" x14ac:dyDescent="0.25">
      <c r="B54" s="279"/>
      <c r="D54" s="71"/>
    </row>
    <row r="55" spans="2:4" x14ac:dyDescent="0.25">
      <c r="B55" s="279"/>
      <c r="D55" s="71"/>
    </row>
    <row r="56" spans="2:4" x14ac:dyDescent="0.25">
      <c r="B56" s="279"/>
      <c r="D56" s="71"/>
    </row>
    <row r="57" spans="2:4" x14ac:dyDescent="0.25">
      <c r="B57" s="279"/>
      <c r="D57" s="71"/>
    </row>
    <row r="58" spans="2:4" x14ac:dyDescent="0.25">
      <c r="B58" s="279"/>
      <c r="D58" s="71"/>
    </row>
    <row r="59" spans="2:4" x14ac:dyDescent="0.25">
      <c r="B59" s="279"/>
      <c r="D59" s="71"/>
    </row>
    <row r="60" spans="2:4" x14ac:dyDescent="0.25">
      <c r="B60" s="279"/>
      <c r="D60" s="71"/>
    </row>
    <row r="61" spans="2:4" x14ac:dyDescent="0.25">
      <c r="B61" s="279"/>
      <c r="D61" s="71"/>
    </row>
    <row r="62" spans="2:4" x14ac:dyDescent="0.25">
      <c r="B62" s="279"/>
      <c r="D62" s="71"/>
    </row>
    <row r="63" spans="2:4" x14ac:dyDescent="0.25">
      <c r="B63" s="279"/>
      <c r="D63" s="71"/>
    </row>
    <row r="64" spans="2:4" x14ac:dyDescent="0.25">
      <c r="B64" s="279"/>
      <c r="D64" s="71"/>
    </row>
    <row r="65" spans="2:4" x14ac:dyDescent="0.25">
      <c r="B65" s="279"/>
      <c r="D65" s="71"/>
    </row>
    <row r="66" spans="2:4" x14ac:dyDescent="0.25">
      <c r="B66" s="279"/>
      <c r="D66" s="71"/>
    </row>
    <row r="67" spans="2:4" x14ac:dyDescent="0.25">
      <c r="B67" s="279"/>
      <c r="D67" s="71"/>
    </row>
    <row r="68" spans="2:4" x14ac:dyDescent="0.25">
      <c r="B68" s="279"/>
      <c r="D68" s="71"/>
    </row>
    <row r="69" spans="2:4" x14ac:dyDescent="0.25">
      <c r="B69" s="279"/>
      <c r="D69" s="71"/>
    </row>
    <row r="70" spans="2:4" x14ac:dyDescent="0.25">
      <c r="B70" s="279"/>
    </row>
    <row r="71" spans="2:4" x14ac:dyDescent="0.25">
      <c r="B71" s="279"/>
      <c r="D71" s="71"/>
    </row>
    <row r="72" spans="2:4" x14ac:dyDescent="0.25">
      <c r="B72" s="279"/>
      <c r="D72" s="71"/>
    </row>
    <row r="73" spans="2:4" x14ac:dyDescent="0.25">
      <c r="B73" s="279"/>
      <c r="D73" s="71"/>
    </row>
    <row r="74" spans="2:4" x14ac:dyDescent="0.25">
      <c r="B74" s="279"/>
      <c r="D74" s="71"/>
    </row>
    <row r="75" spans="2:4" x14ac:dyDescent="0.25">
      <c r="B75" s="279"/>
      <c r="D75" s="71"/>
    </row>
    <row r="76" spans="2:4" x14ac:dyDescent="0.25">
      <c r="B76" s="279"/>
      <c r="D76" s="71"/>
    </row>
    <row r="77" spans="2:4" x14ac:dyDescent="0.25">
      <c r="B77" s="279"/>
      <c r="D77" s="71"/>
    </row>
    <row r="78" spans="2:4" x14ac:dyDescent="0.25">
      <c r="B78" s="279"/>
      <c r="D78" s="71"/>
    </row>
    <row r="79" spans="2:4" x14ac:dyDescent="0.25">
      <c r="B79" s="279"/>
      <c r="D79" s="71"/>
    </row>
    <row r="80" spans="2:4" x14ac:dyDescent="0.25">
      <c r="B80" s="279"/>
      <c r="D80" s="71"/>
    </row>
    <row r="81" spans="2:4" x14ac:dyDescent="0.25">
      <c r="B81" s="279"/>
      <c r="D81" s="71"/>
    </row>
    <row r="82" spans="2:4" x14ac:dyDescent="0.25">
      <c r="B82" s="279"/>
      <c r="D82" s="71"/>
    </row>
    <row r="83" spans="2:4" x14ac:dyDescent="0.25">
      <c r="B83" s="279"/>
      <c r="D83" s="71"/>
    </row>
    <row r="84" spans="2:4" x14ac:dyDescent="0.25">
      <c r="B84" s="279"/>
      <c r="D84" s="71"/>
    </row>
    <row r="85" spans="2:4" x14ac:dyDescent="0.25">
      <c r="B85" s="279"/>
      <c r="D85" s="71"/>
    </row>
    <row r="86" spans="2:4" x14ac:dyDescent="0.25">
      <c r="B86" s="279"/>
      <c r="D86" s="71"/>
    </row>
    <row r="87" spans="2:4" x14ac:dyDescent="0.25">
      <c r="B87" s="279"/>
      <c r="D87" s="71"/>
    </row>
    <row r="88" spans="2:4" x14ac:dyDescent="0.25">
      <c r="B88" s="279"/>
      <c r="D88" s="71"/>
    </row>
    <row r="89" spans="2:4" x14ac:dyDescent="0.25">
      <c r="B89" s="279"/>
      <c r="D89" s="71"/>
    </row>
    <row r="90" spans="2:4" x14ac:dyDescent="0.25">
      <c r="B90" s="279"/>
      <c r="D90" s="71"/>
    </row>
    <row r="91" spans="2:4" x14ac:dyDescent="0.25">
      <c r="B91" s="279"/>
      <c r="D91" s="71"/>
    </row>
    <row r="92" spans="2:4" x14ac:dyDescent="0.25">
      <c r="B92" s="279"/>
      <c r="D92" s="71"/>
    </row>
    <row r="93" spans="2:4" x14ac:dyDescent="0.25">
      <c r="B93" s="279"/>
      <c r="D93" s="71"/>
    </row>
    <row r="94" spans="2:4" x14ac:dyDescent="0.25">
      <c r="B94" s="279"/>
      <c r="D94" s="71"/>
    </row>
    <row r="95" spans="2:4" x14ac:dyDescent="0.25">
      <c r="B95" s="279"/>
      <c r="D95" s="71"/>
    </row>
    <row r="96" spans="2:4" x14ac:dyDescent="0.25">
      <c r="B96" s="279"/>
      <c r="D96" s="71"/>
    </row>
    <row r="97" spans="2:4" x14ac:dyDescent="0.25">
      <c r="B97" s="279"/>
      <c r="D97" s="71"/>
    </row>
    <row r="98" spans="2:4" x14ac:dyDescent="0.25">
      <c r="B98" s="279"/>
      <c r="D98" s="71"/>
    </row>
    <row r="99" spans="2:4" x14ac:dyDescent="0.25">
      <c r="B99" s="279"/>
      <c r="D99" s="71"/>
    </row>
    <row r="100" spans="2:4" x14ac:dyDescent="0.25">
      <c r="B100" s="279"/>
      <c r="D100" s="71"/>
    </row>
    <row r="101" spans="2:4" x14ac:dyDescent="0.25">
      <c r="B101" s="279"/>
      <c r="D101" s="71"/>
    </row>
    <row r="102" spans="2:4" x14ac:dyDescent="0.25">
      <c r="B102" s="279"/>
      <c r="D102" s="71"/>
    </row>
    <row r="103" spans="2:4" x14ac:dyDescent="0.25">
      <c r="B103" s="279"/>
      <c r="D103" s="71"/>
    </row>
    <row r="104" spans="2:4" x14ac:dyDescent="0.25">
      <c r="B104" s="279"/>
      <c r="D104" s="71"/>
    </row>
    <row r="105" spans="2:4" x14ac:dyDescent="0.25">
      <c r="B105" s="279"/>
      <c r="D105" s="71"/>
    </row>
    <row r="106" spans="2:4" x14ac:dyDescent="0.25">
      <c r="B106" s="279"/>
      <c r="D106" s="71"/>
    </row>
    <row r="107" spans="2:4" x14ac:dyDescent="0.25">
      <c r="B107" s="279"/>
      <c r="D107" s="71"/>
    </row>
    <row r="108" spans="2:4" x14ac:dyDescent="0.25">
      <c r="B108" s="279"/>
      <c r="D108" s="71"/>
    </row>
    <row r="109" spans="2:4" x14ac:dyDescent="0.25">
      <c r="B109" s="279"/>
      <c r="D109" s="71"/>
    </row>
    <row r="110" spans="2:4" x14ac:dyDescent="0.25">
      <c r="B110" s="279"/>
      <c r="D110" s="71"/>
    </row>
    <row r="111" spans="2:4" x14ac:dyDescent="0.25">
      <c r="B111" s="279"/>
      <c r="D111" s="71"/>
    </row>
    <row r="112" spans="2:4" x14ac:dyDescent="0.25">
      <c r="B112" s="279"/>
      <c r="D112" s="71"/>
    </row>
    <row r="113" spans="2:4" x14ac:dyDescent="0.25">
      <c r="B113" s="279"/>
      <c r="D113" s="71"/>
    </row>
    <row r="114" spans="2:4" x14ac:dyDescent="0.25">
      <c r="B114" s="279"/>
      <c r="D114" s="71"/>
    </row>
    <row r="115" spans="2:4" x14ac:dyDescent="0.25">
      <c r="B115" s="279"/>
      <c r="D115" s="71"/>
    </row>
    <row r="116" spans="2:4" x14ac:dyDescent="0.25">
      <c r="B116" s="279"/>
      <c r="D116" s="71"/>
    </row>
    <row r="117" spans="2:4" x14ac:dyDescent="0.25">
      <c r="B117" s="279"/>
      <c r="D117" s="71"/>
    </row>
    <row r="118" spans="2:4" x14ac:dyDescent="0.25">
      <c r="B118" s="279"/>
      <c r="D118" s="71"/>
    </row>
    <row r="119" spans="2:4" x14ac:dyDescent="0.25">
      <c r="B119" s="279"/>
      <c r="D119" s="71"/>
    </row>
    <row r="120" spans="2:4" x14ac:dyDescent="0.25">
      <c r="B120" s="279"/>
      <c r="D120" s="71"/>
    </row>
    <row r="121" spans="2:4" x14ac:dyDescent="0.25">
      <c r="B121" s="279"/>
      <c r="D121" s="71"/>
    </row>
    <row r="122" spans="2:4" x14ac:dyDescent="0.25">
      <c r="B122" s="279"/>
      <c r="D122" s="71"/>
    </row>
    <row r="123" spans="2:4" x14ac:dyDescent="0.25">
      <c r="B123" s="279"/>
      <c r="D123" s="71"/>
    </row>
    <row r="124" spans="2:4" x14ac:dyDescent="0.25">
      <c r="B124" s="279"/>
      <c r="D124" s="71"/>
    </row>
    <row r="125" spans="2:4" x14ac:dyDescent="0.25">
      <c r="B125" s="279"/>
      <c r="D125" s="71"/>
    </row>
    <row r="126" spans="2:4" x14ac:dyDescent="0.25">
      <c r="B126" s="279"/>
      <c r="D126" s="71"/>
    </row>
    <row r="127" spans="2:4" x14ac:dyDescent="0.25">
      <c r="B127" s="279"/>
      <c r="D127" s="71"/>
    </row>
    <row r="128" spans="2:4" x14ac:dyDescent="0.25">
      <c r="B128" s="279"/>
      <c r="D128" s="71"/>
    </row>
    <row r="129" spans="2:9" x14ac:dyDescent="0.25">
      <c r="B129" s="279"/>
      <c r="D129" s="71"/>
    </row>
    <row r="130" spans="2:9" x14ac:dyDescent="0.25">
      <c r="B130" s="279"/>
      <c r="D130" s="71"/>
    </row>
    <row r="131" spans="2:9" x14ac:dyDescent="0.25">
      <c r="B131" s="279"/>
      <c r="D131" s="71"/>
    </row>
    <row r="132" spans="2:9" x14ac:dyDescent="0.25">
      <c r="B132" s="279"/>
      <c r="D132" s="71"/>
    </row>
    <row r="133" spans="2:9" x14ac:dyDescent="0.25">
      <c r="B133" s="279"/>
      <c r="D133" s="71"/>
    </row>
    <row r="134" spans="2:9" x14ac:dyDescent="0.25">
      <c r="B134" s="279"/>
      <c r="D134" s="71"/>
    </row>
    <row r="135" spans="2:9" x14ac:dyDescent="0.25">
      <c r="B135" s="279"/>
      <c r="D135" s="71"/>
    </row>
    <row r="136" spans="2:9" x14ac:dyDescent="0.25">
      <c r="B136" s="279"/>
      <c r="D136" s="71"/>
    </row>
    <row r="137" spans="2:9" x14ac:dyDescent="0.25">
      <c r="B137" s="279"/>
      <c r="D137" s="71"/>
    </row>
    <row r="138" spans="2:9" x14ac:dyDescent="0.25">
      <c r="B138" s="279"/>
      <c r="D138" s="71"/>
      <c r="I138" s="20"/>
    </row>
    <row r="139" spans="2:9" x14ac:dyDescent="0.25">
      <c r="B139" s="279"/>
      <c r="D139" s="71"/>
      <c r="I139" s="20"/>
    </row>
    <row r="140" spans="2:9" x14ac:dyDescent="0.25">
      <c r="B140" s="279"/>
      <c r="D140" s="71"/>
      <c r="I140" s="20"/>
    </row>
    <row r="141" spans="2:9" x14ac:dyDescent="0.25">
      <c r="B141" s="279"/>
      <c r="D141" s="71"/>
      <c r="I141" s="20"/>
    </row>
    <row r="142" spans="2:9" x14ac:dyDescent="0.25">
      <c r="B142" s="279"/>
      <c r="D142" s="71"/>
      <c r="I142" s="20"/>
    </row>
    <row r="143" spans="2:9" x14ac:dyDescent="0.25">
      <c r="B143" s="279"/>
      <c r="D143" s="71"/>
      <c r="I143" s="20"/>
    </row>
    <row r="144" spans="2:9" x14ac:dyDescent="0.25">
      <c r="B144" s="279"/>
      <c r="D144" s="71"/>
      <c r="I144" s="20"/>
    </row>
    <row r="145" spans="2:9" x14ac:dyDescent="0.25">
      <c r="B145" s="279"/>
      <c r="D145" s="71"/>
      <c r="I145" s="20"/>
    </row>
    <row r="146" spans="2:9" x14ac:dyDescent="0.25">
      <c r="B146" s="279"/>
      <c r="D146" s="71"/>
      <c r="I146" s="20"/>
    </row>
    <row r="147" spans="2:9" x14ac:dyDescent="0.25">
      <c r="B147" s="279"/>
      <c r="D147" s="71"/>
      <c r="I147" s="20"/>
    </row>
    <row r="148" spans="2:9" x14ac:dyDescent="0.25">
      <c r="B148" s="279"/>
      <c r="D148" s="71"/>
      <c r="I148" s="20"/>
    </row>
    <row r="149" spans="2:9" x14ac:dyDescent="0.25">
      <c r="B149" s="279"/>
      <c r="D149" s="71"/>
      <c r="I149" s="20"/>
    </row>
    <row r="150" spans="2:9" x14ac:dyDescent="0.25">
      <c r="B150" s="279"/>
      <c r="D150" s="71"/>
      <c r="I150" s="20"/>
    </row>
    <row r="151" spans="2:9" x14ac:dyDescent="0.25">
      <c r="B151" s="279"/>
      <c r="D151" s="71"/>
      <c r="I151" s="20"/>
    </row>
    <row r="152" spans="2:9" x14ac:dyDescent="0.25">
      <c r="B152" s="279"/>
      <c r="D152" s="71"/>
      <c r="I152" s="20"/>
    </row>
    <row r="153" spans="2:9" x14ac:dyDescent="0.25">
      <c r="B153" s="279"/>
      <c r="D153" s="71"/>
      <c r="I153" s="20"/>
    </row>
    <row r="154" spans="2:9" x14ac:dyDescent="0.25">
      <c r="B154" s="279"/>
      <c r="D154" s="71"/>
      <c r="I154" s="20"/>
    </row>
    <row r="155" spans="2:9" x14ac:dyDescent="0.25">
      <c r="B155" s="279"/>
      <c r="D155" s="71"/>
      <c r="I155" s="20"/>
    </row>
    <row r="156" spans="2:9" x14ac:dyDescent="0.25">
      <c r="B156" s="279"/>
      <c r="D156" s="71"/>
      <c r="I156" s="20"/>
    </row>
    <row r="157" spans="2:9" x14ac:dyDescent="0.25">
      <c r="B157" s="279"/>
      <c r="D157" s="71"/>
      <c r="I157" s="20"/>
    </row>
    <row r="158" spans="2:9" x14ac:dyDescent="0.25">
      <c r="B158" s="279"/>
      <c r="D158" s="71"/>
      <c r="I158" s="20"/>
    </row>
    <row r="159" spans="2:9" x14ac:dyDescent="0.25">
      <c r="B159" s="279"/>
      <c r="D159" s="71"/>
      <c r="I159" s="20"/>
    </row>
    <row r="160" spans="2:9" x14ac:dyDescent="0.25">
      <c r="B160" s="279"/>
      <c r="D160" s="71"/>
      <c r="I160" s="20"/>
    </row>
    <row r="161" spans="2:9" x14ac:dyDescent="0.25">
      <c r="B161" s="279"/>
      <c r="D161" s="71"/>
      <c r="I161" s="20"/>
    </row>
    <row r="162" spans="2:9" x14ac:dyDescent="0.25">
      <c r="B162" s="279"/>
      <c r="D162" s="71"/>
      <c r="I162" s="20"/>
    </row>
    <row r="163" spans="2:9" x14ac:dyDescent="0.25">
      <c r="B163" s="279"/>
      <c r="D163" s="71"/>
      <c r="I163" s="20"/>
    </row>
    <row r="164" spans="2:9" x14ac:dyDescent="0.25">
      <c r="B164" s="279"/>
      <c r="D164" s="71"/>
      <c r="I164" s="20"/>
    </row>
    <row r="165" spans="2:9" x14ac:dyDescent="0.25">
      <c r="B165" s="279"/>
      <c r="D165" s="71"/>
      <c r="I165" s="20"/>
    </row>
    <row r="166" spans="2:9" x14ac:dyDescent="0.25">
      <c r="B166" s="279"/>
      <c r="D166" s="71"/>
      <c r="I166" s="20"/>
    </row>
    <row r="167" spans="2:9" x14ac:dyDescent="0.25">
      <c r="B167" s="279"/>
      <c r="D167" s="71"/>
      <c r="I167" s="20"/>
    </row>
    <row r="168" spans="2:9" x14ac:dyDescent="0.25">
      <c r="B168" s="279"/>
      <c r="D168" s="71"/>
      <c r="I168" s="20"/>
    </row>
    <row r="169" spans="2:9" x14ac:dyDescent="0.25">
      <c r="B169" s="279"/>
      <c r="D169" s="71"/>
      <c r="I169" s="20"/>
    </row>
    <row r="170" spans="2:9" x14ac:dyDescent="0.25">
      <c r="B170" s="279"/>
      <c r="D170" s="71"/>
      <c r="I170" s="20"/>
    </row>
    <row r="171" spans="2:9" x14ac:dyDescent="0.25">
      <c r="B171" s="279"/>
      <c r="D171" s="71"/>
      <c r="I171" s="20"/>
    </row>
    <row r="172" spans="2:9" x14ac:dyDescent="0.25">
      <c r="B172" s="279"/>
      <c r="D172" s="71"/>
      <c r="I172" s="20"/>
    </row>
    <row r="173" spans="2:9" x14ac:dyDescent="0.25">
      <c r="B173" s="279"/>
      <c r="D173" s="71"/>
      <c r="I173" s="20"/>
    </row>
    <row r="174" spans="2:9" x14ac:dyDescent="0.25">
      <c r="B174" s="279"/>
      <c r="D174" s="71"/>
      <c r="I174" s="20"/>
    </row>
    <row r="175" spans="2:9" x14ac:dyDescent="0.25">
      <c r="B175" s="279"/>
      <c r="D175" s="71"/>
      <c r="I175" s="20"/>
    </row>
    <row r="176" spans="2:9" x14ac:dyDescent="0.25">
      <c r="B176" s="279"/>
      <c r="D176" s="71"/>
      <c r="I176" s="20"/>
    </row>
    <row r="177" spans="2:9" x14ac:dyDescent="0.25">
      <c r="B177" s="279"/>
      <c r="D177" s="71"/>
      <c r="I177" s="20"/>
    </row>
    <row r="178" spans="2:9" x14ac:dyDescent="0.25">
      <c r="B178" s="279"/>
      <c r="D178" s="71"/>
      <c r="I178" s="20"/>
    </row>
    <row r="179" spans="2:9" x14ac:dyDescent="0.25">
      <c r="B179" s="279"/>
      <c r="D179" s="71"/>
      <c r="I179" s="20"/>
    </row>
    <row r="180" spans="2:9" x14ac:dyDescent="0.25">
      <c r="B180" s="279"/>
      <c r="D180" s="71"/>
      <c r="I180" s="20"/>
    </row>
    <row r="181" spans="2:9" x14ac:dyDescent="0.25">
      <c r="B181" s="279"/>
      <c r="D181" s="71"/>
      <c r="I181" s="20"/>
    </row>
    <row r="182" spans="2:9" x14ac:dyDescent="0.25">
      <c r="B182" s="279"/>
      <c r="D182" s="71"/>
      <c r="I182" s="20"/>
    </row>
    <row r="183" spans="2:9" x14ac:dyDescent="0.25">
      <c r="B183" s="279"/>
      <c r="D183" s="71"/>
      <c r="I183" s="20"/>
    </row>
    <row r="184" spans="2:9" x14ac:dyDescent="0.25">
      <c r="B184" s="279"/>
      <c r="D184" s="71"/>
      <c r="I184" s="20"/>
    </row>
    <row r="185" spans="2:9" x14ac:dyDescent="0.25">
      <c r="B185" s="279"/>
      <c r="D185" s="71"/>
      <c r="I185" s="20"/>
    </row>
    <row r="186" spans="2:9" x14ac:dyDescent="0.25">
      <c r="B186" s="279"/>
      <c r="D186" s="71"/>
      <c r="I186" s="20"/>
    </row>
    <row r="187" spans="2:9" x14ac:dyDescent="0.25">
      <c r="B187" s="279"/>
      <c r="D187" s="71"/>
      <c r="I187" s="20"/>
    </row>
    <row r="188" spans="2:9" x14ac:dyDescent="0.25">
      <c r="B188" s="279"/>
      <c r="D188" s="71"/>
      <c r="I188" s="20"/>
    </row>
    <row r="189" spans="2:9" x14ac:dyDescent="0.25">
      <c r="B189" s="279"/>
      <c r="D189" s="71"/>
      <c r="I189" s="20"/>
    </row>
    <row r="190" spans="2:9" x14ac:dyDescent="0.25">
      <c r="B190" s="279"/>
      <c r="D190" s="71"/>
      <c r="I190" s="20"/>
    </row>
    <row r="191" spans="2:9" x14ac:dyDescent="0.25">
      <c r="B191" s="279"/>
      <c r="D191" s="71"/>
      <c r="I191" s="20"/>
    </row>
    <row r="192" spans="2:9" x14ac:dyDescent="0.25">
      <c r="B192" s="279"/>
      <c r="D192" s="71"/>
      <c r="I192" s="20"/>
    </row>
    <row r="193" spans="2:9" x14ac:dyDescent="0.25">
      <c r="B193" s="279"/>
      <c r="D193" s="71"/>
      <c r="I193" s="20"/>
    </row>
    <row r="194" spans="2:9" x14ac:dyDescent="0.25">
      <c r="B194" s="279"/>
      <c r="D194" s="71"/>
      <c r="I194" s="20"/>
    </row>
    <row r="195" spans="2:9" x14ac:dyDescent="0.25">
      <c r="B195" s="279"/>
      <c r="D195" s="71"/>
      <c r="I195" s="20"/>
    </row>
    <row r="196" spans="2:9" x14ac:dyDescent="0.25">
      <c r="B196" s="279"/>
      <c r="D196" s="71"/>
      <c r="I196" s="20"/>
    </row>
    <row r="197" spans="2:9" x14ac:dyDescent="0.25">
      <c r="B197" s="279"/>
      <c r="D197" s="71"/>
      <c r="I197" s="20"/>
    </row>
    <row r="198" spans="2:9" x14ac:dyDescent="0.25">
      <c r="B198" s="279"/>
      <c r="D198" s="71"/>
      <c r="I198" s="20"/>
    </row>
    <row r="199" spans="2:9" x14ac:dyDescent="0.25">
      <c r="B199" s="279"/>
      <c r="D199" s="71"/>
      <c r="I199" s="20"/>
    </row>
    <row r="200" spans="2:9" x14ac:dyDescent="0.25">
      <c r="B200" s="279"/>
      <c r="D200" s="71"/>
      <c r="I200" s="20"/>
    </row>
    <row r="201" spans="2:9" x14ac:dyDescent="0.25">
      <c r="B201" s="279"/>
      <c r="D201" s="71"/>
      <c r="I201" s="20"/>
    </row>
    <row r="202" spans="2:9" x14ac:dyDescent="0.25">
      <c r="B202" s="279"/>
      <c r="D202" s="71"/>
      <c r="I202" s="20"/>
    </row>
    <row r="203" spans="2:9" x14ac:dyDescent="0.25">
      <c r="B203" s="279"/>
      <c r="D203" s="71"/>
      <c r="I203" s="20"/>
    </row>
    <row r="204" spans="2:9" x14ac:dyDescent="0.25">
      <c r="B204" s="279"/>
      <c r="D204" s="71"/>
      <c r="I204" s="20"/>
    </row>
    <row r="205" spans="2:9" x14ac:dyDescent="0.25">
      <c r="B205" s="279"/>
      <c r="D205" s="71"/>
      <c r="I205" s="20"/>
    </row>
    <row r="206" spans="2:9" x14ac:dyDescent="0.25">
      <c r="B206" s="279"/>
      <c r="D206" s="71"/>
      <c r="I206" s="20"/>
    </row>
    <row r="207" spans="2:9" x14ac:dyDescent="0.25">
      <c r="B207" s="279"/>
      <c r="D207" s="71"/>
      <c r="I207" s="20"/>
    </row>
    <row r="208" spans="2:9" x14ac:dyDescent="0.25">
      <c r="B208" s="279"/>
      <c r="D208" s="71"/>
      <c r="I208" s="20"/>
    </row>
    <row r="209" spans="2:9" x14ac:dyDescent="0.25">
      <c r="B209" s="279"/>
      <c r="D209" s="71"/>
      <c r="I209" s="20"/>
    </row>
    <row r="210" spans="2:9" x14ac:dyDescent="0.25">
      <c r="B210" s="279"/>
      <c r="D210" s="71"/>
      <c r="I210" s="20"/>
    </row>
    <row r="211" spans="2:9" x14ac:dyDescent="0.25">
      <c r="B211" s="279"/>
      <c r="D211" s="71"/>
      <c r="I211" s="20"/>
    </row>
    <row r="212" spans="2:9" x14ac:dyDescent="0.25">
      <c r="B212" s="279"/>
      <c r="D212" s="71"/>
      <c r="I212" s="20"/>
    </row>
    <row r="213" spans="2:9" x14ac:dyDescent="0.25">
      <c r="B213" s="279"/>
      <c r="D213" s="71"/>
      <c r="I213" s="20"/>
    </row>
    <row r="214" spans="2:9" x14ac:dyDescent="0.25">
      <c r="B214" s="279"/>
      <c r="D214" s="71"/>
      <c r="I214" s="20"/>
    </row>
    <row r="215" spans="2:9" x14ac:dyDescent="0.25">
      <c r="B215" s="279"/>
      <c r="D215" s="71"/>
      <c r="I215" s="20"/>
    </row>
    <row r="216" spans="2:9" x14ac:dyDescent="0.25">
      <c r="B216" s="279"/>
      <c r="D216" s="71"/>
      <c r="I216" s="20"/>
    </row>
    <row r="217" spans="2:9" x14ac:dyDescent="0.25">
      <c r="B217" s="279"/>
      <c r="D217" s="71"/>
      <c r="I217" s="20"/>
    </row>
    <row r="218" spans="2:9" x14ac:dyDescent="0.25">
      <c r="B218" s="279"/>
      <c r="D218" s="71"/>
      <c r="I218" s="20"/>
    </row>
    <row r="219" spans="2:9" x14ac:dyDescent="0.25">
      <c r="B219" s="279"/>
      <c r="D219" s="71"/>
      <c r="I219" s="20"/>
    </row>
    <row r="220" spans="2:9" x14ac:dyDescent="0.25">
      <c r="B220" s="279"/>
      <c r="D220" s="71"/>
      <c r="I220" s="20"/>
    </row>
    <row r="221" spans="2:9" x14ac:dyDescent="0.25">
      <c r="B221" s="279"/>
      <c r="D221" s="71"/>
      <c r="I221" s="20"/>
    </row>
    <row r="222" spans="2:9" x14ac:dyDescent="0.25">
      <c r="B222" s="279"/>
      <c r="D222" s="71"/>
      <c r="I222" s="20"/>
    </row>
    <row r="223" spans="2:9" x14ac:dyDescent="0.25">
      <c r="B223" s="279"/>
      <c r="D223" s="71"/>
      <c r="I223" s="20"/>
    </row>
    <row r="224" spans="2:9" x14ac:dyDescent="0.25">
      <c r="B224" s="279"/>
      <c r="D224" s="71"/>
      <c r="I224" s="20"/>
    </row>
    <row r="225" spans="2:9" x14ac:dyDescent="0.25">
      <c r="B225" s="279"/>
      <c r="D225" s="71"/>
      <c r="I225" s="20"/>
    </row>
    <row r="226" spans="2:9" x14ac:dyDescent="0.25">
      <c r="B226" s="279"/>
      <c r="D226" s="71"/>
      <c r="I226" s="20"/>
    </row>
    <row r="227" spans="2:9" x14ac:dyDescent="0.25">
      <c r="B227" s="279"/>
      <c r="D227" s="71"/>
      <c r="I227" s="20"/>
    </row>
    <row r="228" spans="2:9" x14ac:dyDescent="0.25">
      <c r="B228" s="279"/>
      <c r="D228" s="71"/>
      <c r="I228" s="20"/>
    </row>
    <row r="229" spans="2:9" x14ac:dyDescent="0.25">
      <c r="B229" s="279"/>
      <c r="D229" s="71"/>
      <c r="I229" s="20"/>
    </row>
    <row r="230" spans="2:9" x14ac:dyDescent="0.25">
      <c r="B230" s="279"/>
      <c r="D230" s="71"/>
      <c r="I230" s="20"/>
    </row>
    <row r="231" spans="2:9" x14ac:dyDescent="0.25">
      <c r="B231" s="279"/>
      <c r="D231" s="71"/>
      <c r="I231" s="20"/>
    </row>
    <row r="232" spans="2:9" x14ac:dyDescent="0.25">
      <c r="B232" s="279"/>
      <c r="D232" s="71"/>
      <c r="I232" s="20"/>
    </row>
    <row r="233" spans="2:9" x14ac:dyDescent="0.25">
      <c r="B233" s="279"/>
      <c r="D233" s="71"/>
      <c r="I233" s="20"/>
    </row>
    <row r="234" spans="2:9" x14ac:dyDescent="0.25">
      <c r="B234" s="279"/>
      <c r="D234" s="71"/>
      <c r="I234" s="20"/>
    </row>
    <row r="235" spans="2:9" x14ac:dyDescent="0.25">
      <c r="B235" s="279"/>
      <c r="D235" s="71"/>
      <c r="I235" s="20"/>
    </row>
    <row r="236" spans="2:9" x14ac:dyDescent="0.25">
      <c r="B236" s="279"/>
      <c r="D236" s="71"/>
      <c r="I236" s="20"/>
    </row>
    <row r="237" spans="2:9" x14ac:dyDescent="0.25">
      <c r="B237" s="279"/>
      <c r="D237" s="71"/>
      <c r="I237" s="20"/>
    </row>
    <row r="238" spans="2:9" x14ac:dyDescent="0.25">
      <c r="B238" s="279"/>
      <c r="D238" s="71"/>
      <c r="I238" s="20"/>
    </row>
    <row r="239" spans="2:9" x14ac:dyDescent="0.25">
      <c r="B239" s="279"/>
      <c r="D239" s="71"/>
      <c r="I239" s="20"/>
    </row>
    <row r="240" spans="2:9" x14ac:dyDescent="0.25">
      <c r="B240" s="279"/>
      <c r="D240" s="71"/>
      <c r="I240" s="20"/>
    </row>
    <row r="241" spans="2:9" x14ac:dyDescent="0.25">
      <c r="B241" s="279"/>
      <c r="D241" s="71"/>
      <c r="I241" s="20"/>
    </row>
    <row r="242" spans="2:9" x14ac:dyDescent="0.25">
      <c r="B242" s="279"/>
      <c r="D242" s="71"/>
      <c r="I242" s="20"/>
    </row>
    <row r="243" spans="2:9" x14ac:dyDescent="0.25">
      <c r="B243" s="279"/>
      <c r="D243" s="71"/>
      <c r="I243" s="20"/>
    </row>
    <row r="244" spans="2:9" x14ac:dyDescent="0.25">
      <c r="B244" s="279"/>
      <c r="D244" s="71"/>
      <c r="I244" s="20"/>
    </row>
    <row r="245" spans="2:9" x14ac:dyDescent="0.25">
      <c r="B245" s="279"/>
      <c r="D245" s="71"/>
      <c r="I245" s="20"/>
    </row>
    <row r="246" spans="2:9" x14ac:dyDescent="0.25">
      <c r="B246" s="279"/>
      <c r="D246" s="71"/>
      <c r="I246" s="20"/>
    </row>
    <row r="247" spans="2:9" x14ac:dyDescent="0.25">
      <c r="B247" s="279"/>
      <c r="D247" s="71"/>
      <c r="I247" s="20"/>
    </row>
    <row r="248" spans="2:9" x14ac:dyDescent="0.25">
      <c r="B248" s="279"/>
      <c r="D248" s="71"/>
      <c r="I248" s="20"/>
    </row>
    <row r="249" spans="2:9" x14ac:dyDescent="0.25">
      <c r="B249" s="279"/>
      <c r="D249" s="71"/>
      <c r="I249" s="20"/>
    </row>
    <row r="250" spans="2:9" x14ac:dyDescent="0.25">
      <c r="B250" s="279"/>
      <c r="D250" s="71"/>
      <c r="I250" s="20"/>
    </row>
    <row r="251" spans="2:9" x14ac:dyDescent="0.25">
      <c r="B251" s="279"/>
      <c r="D251" s="71"/>
      <c r="I251" s="20"/>
    </row>
    <row r="252" spans="2:9" x14ac:dyDescent="0.25">
      <c r="B252" s="279"/>
      <c r="D252" s="71"/>
      <c r="I252" s="20"/>
    </row>
    <row r="253" spans="2:9" x14ac:dyDescent="0.25">
      <c r="B253" s="279"/>
      <c r="D253" s="71"/>
      <c r="I253" s="20"/>
    </row>
    <row r="254" spans="2:9" x14ac:dyDescent="0.25">
      <c r="B254" s="279"/>
      <c r="D254" s="71"/>
      <c r="I254" s="20"/>
    </row>
    <row r="255" spans="2:9" x14ac:dyDescent="0.25">
      <c r="B255" s="279"/>
      <c r="D255" s="71"/>
      <c r="I255" s="20"/>
    </row>
    <row r="256" spans="2:9" x14ac:dyDescent="0.25">
      <c r="B256" s="279"/>
      <c r="D256" s="71"/>
      <c r="I256" s="20"/>
    </row>
    <row r="257" spans="2:9" x14ac:dyDescent="0.25">
      <c r="B257" s="279"/>
      <c r="D257" s="71"/>
      <c r="I257" s="20"/>
    </row>
    <row r="258" spans="2:9" x14ac:dyDescent="0.25">
      <c r="B258" s="279"/>
      <c r="D258" s="71"/>
      <c r="I258" s="20"/>
    </row>
    <row r="259" spans="2:9" x14ac:dyDescent="0.25">
      <c r="B259" s="279"/>
      <c r="D259" s="71"/>
      <c r="I259" s="20"/>
    </row>
    <row r="260" spans="2:9" x14ac:dyDescent="0.25">
      <c r="B260" s="279"/>
      <c r="D260" s="71"/>
      <c r="I260" s="20"/>
    </row>
    <row r="261" spans="2:9" x14ac:dyDescent="0.25">
      <c r="B261" s="279"/>
      <c r="D261" s="71"/>
      <c r="I261" s="20"/>
    </row>
    <row r="262" spans="2:9" x14ac:dyDescent="0.25">
      <c r="B262" s="279"/>
      <c r="D262" s="71"/>
      <c r="I262" s="20"/>
    </row>
    <row r="263" spans="2:9" x14ac:dyDescent="0.25">
      <c r="B263" s="279"/>
      <c r="D263" s="71"/>
      <c r="I263" s="20"/>
    </row>
    <row r="264" spans="2:9" x14ac:dyDescent="0.25">
      <c r="B264" s="279"/>
      <c r="D264" s="71"/>
      <c r="I264" s="20"/>
    </row>
    <row r="265" spans="2:9" x14ac:dyDescent="0.25">
      <c r="B265" s="279"/>
      <c r="D265" s="71"/>
      <c r="I265" s="20"/>
    </row>
    <row r="266" spans="2:9" x14ac:dyDescent="0.25">
      <c r="B266" s="279"/>
      <c r="D266" s="71"/>
      <c r="I266" s="20"/>
    </row>
    <row r="267" spans="2:9" x14ac:dyDescent="0.25">
      <c r="B267" s="279"/>
      <c r="D267" s="71"/>
      <c r="I267" s="20"/>
    </row>
    <row r="268" spans="2:9" x14ac:dyDescent="0.25">
      <c r="B268" s="279"/>
      <c r="D268" s="71"/>
      <c r="I268" s="20"/>
    </row>
    <row r="269" spans="2:9" x14ac:dyDescent="0.25">
      <c r="B269" s="279"/>
      <c r="D269" s="71"/>
      <c r="I269" s="20"/>
    </row>
    <row r="270" spans="2:9" x14ac:dyDescent="0.25">
      <c r="B270" s="279"/>
      <c r="D270" s="71"/>
      <c r="I270" s="20"/>
    </row>
    <row r="271" spans="2:9" x14ac:dyDescent="0.25">
      <c r="B271" s="279"/>
      <c r="D271" s="71"/>
      <c r="I271" s="20"/>
    </row>
    <row r="272" spans="2:9" x14ac:dyDescent="0.25">
      <c r="B272" s="279"/>
      <c r="D272" s="71"/>
      <c r="I272" s="20"/>
    </row>
    <row r="273" spans="2:9" x14ac:dyDescent="0.25">
      <c r="B273" s="279"/>
      <c r="D273" s="71"/>
      <c r="I273" s="20"/>
    </row>
    <row r="274" spans="2:9" x14ac:dyDescent="0.25">
      <c r="B274" s="279"/>
      <c r="D274" s="71"/>
      <c r="I274" s="20"/>
    </row>
    <row r="275" spans="2:9" x14ac:dyDescent="0.25">
      <c r="B275" s="279"/>
      <c r="D275" s="71"/>
      <c r="I275" s="20"/>
    </row>
    <row r="276" spans="2:9" x14ac:dyDescent="0.25">
      <c r="B276" s="279"/>
      <c r="D276" s="71"/>
      <c r="I276" s="20"/>
    </row>
    <row r="277" spans="2:9" x14ac:dyDescent="0.25">
      <c r="B277" s="279"/>
      <c r="D277" s="71"/>
      <c r="I277" s="20"/>
    </row>
    <row r="278" spans="2:9" x14ac:dyDescent="0.25">
      <c r="B278" s="279"/>
      <c r="D278" s="71"/>
      <c r="I278" s="20"/>
    </row>
    <row r="279" spans="2:9" x14ac:dyDescent="0.25">
      <c r="B279" s="279"/>
      <c r="D279" s="71"/>
      <c r="I279" s="20"/>
    </row>
    <row r="280" spans="2:9" x14ac:dyDescent="0.25">
      <c r="B280" s="279"/>
      <c r="D280" s="71"/>
      <c r="I280" s="20"/>
    </row>
    <row r="281" spans="2:9" x14ac:dyDescent="0.25">
      <c r="B281" s="279"/>
      <c r="D281" s="71"/>
      <c r="I281" s="20"/>
    </row>
    <row r="282" spans="2:9" x14ac:dyDescent="0.25">
      <c r="B282" s="279"/>
      <c r="D282" s="71"/>
      <c r="I282" s="20"/>
    </row>
    <row r="283" spans="2:9" x14ac:dyDescent="0.25">
      <c r="B283" s="279"/>
      <c r="D283" s="71"/>
      <c r="I283" s="20"/>
    </row>
    <row r="284" spans="2:9" x14ac:dyDescent="0.25">
      <c r="B284" s="279"/>
      <c r="D284" s="71"/>
      <c r="I284" s="20"/>
    </row>
    <row r="285" spans="2:9" x14ac:dyDescent="0.25">
      <c r="B285" s="279"/>
      <c r="D285" s="71"/>
      <c r="I285" s="20"/>
    </row>
    <row r="286" spans="2:9" x14ac:dyDescent="0.25">
      <c r="B286" s="279"/>
      <c r="D286" s="71"/>
      <c r="I286" s="20"/>
    </row>
    <row r="287" spans="2:9" x14ac:dyDescent="0.25">
      <c r="B287" s="279"/>
      <c r="D287" s="71"/>
      <c r="I287" s="20"/>
    </row>
    <row r="288" spans="2:9" x14ac:dyDescent="0.25">
      <c r="B288" s="279"/>
      <c r="D288" s="71"/>
      <c r="I288" s="20"/>
    </row>
    <row r="289" spans="2:9" x14ac:dyDescent="0.25">
      <c r="B289" s="279"/>
      <c r="D289" s="71"/>
      <c r="I289" s="20"/>
    </row>
    <row r="290" spans="2:9" x14ac:dyDescent="0.25">
      <c r="B290" s="279"/>
      <c r="D290" s="71"/>
      <c r="I290" s="20"/>
    </row>
    <row r="291" spans="2:9" x14ac:dyDescent="0.25">
      <c r="B291" s="279"/>
      <c r="D291" s="71"/>
      <c r="I291" s="20"/>
    </row>
    <row r="292" spans="2:9" x14ac:dyDescent="0.25">
      <c r="B292" s="279"/>
      <c r="D292" s="71"/>
      <c r="I292" s="20"/>
    </row>
    <row r="293" spans="2:9" x14ac:dyDescent="0.25">
      <c r="B293" s="279"/>
      <c r="D293" s="71"/>
      <c r="I293" s="20"/>
    </row>
    <row r="294" spans="2:9" x14ac:dyDescent="0.25">
      <c r="B294" s="279"/>
      <c r="D294" s="71"/>
      <c r="I294" s="20"/>
    </row>
    <row r="295" spans="2:9" x14ac:dyDescent="0.25">
      <c r="B295" s="279"/>
      <c r="D295" s="71"/>
      <c r="I295" s="20"/>
    </row>
    <row r="296" spans="2:9" x14ac:dyDescent="0.25">
      <c r="B296" s="279"/>
      <c r="D296" s="71"/>
      <c r="I296" s="20"/>
    </row>
    <row r="297" spans="2:9" x14ac:dyDescent="0.25">
      <c r="B297" s="279"/>
      <c r="D297" s="71"/>
      <c r="I297" s="20"/>
    </row>
    <row r="298" spans="2:9" x14ac:dyDescent="0.25">
      <c r="B298" s="279"/>
      <c r="D298" s="71"/>
      <c r="I298" s="20"/>
    </row>
    <row r="299" spans="2:9" x14ac:dyDescent="0.25">
      <c r="B299" s="279"/>
      <c r="D299" s="71"/>
      <c r="I299" s="20"/>
    </row>
    <row r="300" spans="2:9" x14ac:dyDescent="0.25">
      <c r="B300" s="279"/>
      <c r="D300" s="71"/>
      <c r="I300" s="20"/>
    </row>
    <row r="301" spans="2:9" x14ac:dyDescent="0.25">
      <c r="B301" s="279"/>
      <c r="D301" s="71"/>
      <c r="I301" s="20"/>
    </row>
    <row r="302" spans="2:9" x14ac:dyDescent="0.25">
      <c r="B302" s="279"/>
      <c r="D302" s="71"/>
      <c r="I302" s="20"/>
    </row>
    <row r="303" spans="2:9" x14ac:dyDescent="0.25">
      <c r="B303" s="279"/>
      <c r="D303" s="71"/>
      <c r="I303" s="20"/>
    </row>
    <row r="304" spans="2:9" x14ac:dyDescent="0.25">
      <c r="B304" s="279"/>
      <c r="D304" s="71"/>
      <c r="I304" s="20"/>
    </row>
    <row r="305" spans="2:9" x14ac:dyDescent="0.25">
      <c r="B305" s="279"/>
      <c r="D305" s="71"/>
      <c r="I305" s="20"/>
    </row>
    <row r="306" spans="2:9" x14ac:dyDescent="0.25">
      <c r="B306" s="279"/>
      <c r="D306" s="71"/>
      <c r="I306" s="20"/>
    </row>
    <row r="307" spans="2:9" x14ac:dyDescent="0.25">
      <c r="B307" s="279"/>
      <c r="D307" s="71"/>
      <c r="I307" s="20"/>
    </row>
    <row r="308" spans="2:9" x14ac:dyDescent="0.25">
      <c r="B308" s="279"/>
      <c r="D308" s="71"/>
      <c r="I308" s="20"/>
    </row>
    <row r="309" spans="2:9" x14ac:dyDescent="0.25">
      <c r="B309" s="279"/>
      <c r="D309" s="71"/>
      <c r="I309" s="20"/>
    </row>
    <row r="310" spans="2:9" x14ac:dyDescent="0.25">
      <c r="B310" s="279"/>
      <c r="D310" s="71"/>
      <c r="I310" s="20"/>
    </row>
    <row r="311" spans="2:9" x14ac:dyDescent="0.25">
      <c r="B311" s="279"/>
      <c r="D311" s="71"/>
      <c r="I311" s="20"/>
    </row>
    <row r="312" spans="2:9" x14ac:dyDescent="0.25">
      <c r="B312" s="279"/>
      <c r="D312" s="71"/>
      <c r="I312" s="20"/>
    </row>
    <row r="313" spans="2:9" x14ac:dyDescent="0.25">
      <c r="B313" s="279"/>
      <c r="D313" s="71"/>
      <c r="I313" s="20"/>
    </row>
    <row r="314" spans="2:9" x14ac:dyDescent="0.25">
      <c r="B314" s="279"/>
      <c r="D314" s="71"/>
      <c r="I314" s="20"/>
    </row>
    <row r="315" spans="2:9" x14ac:dyDescent="0.25">
      <c r="B315" s="279"/>
      <c r="D315" s="71"/>
      <c r="I315" s="20"/>
    </row>
    <row r="316" spans="2:9" x14ac:dyDescent="0.25">
      <c r="B316" s="279"/>
      <c r="D316" s="71"/>
      <c r="I316" s="20"/>
    </row>
    <row r="317" spans="2:9" x14ac:dyDescent="0.25">
      <c r="B317" s="279"/>
      <c r="D317" s="71"/>
      <c r="I317" s="20"/>
    </row>
    <row r="318" spans="2:9" x14ac:dyDescent="0.25">
      <c r="B318" s="279"/>
      <c r="D318" s="71"/>
      <c r="I318" s="20"/>
    </row>
    <row r="319" spans="2:9" x14ac:dyDescent="0.25">
      <c r="B319" s="279"/>
      <c r="D319" s="71"/>
      <c r="I319" s="20"/>
    </row>
    <row r="320" spans="2:9" x14ac:dyDescent="0.25">
      <c r="B320" s="279"/>
      <c r="D320" s="71"/>
      <c r="I320" s="20"/>
    </row>
    <row r="321" spans="2:9" x14ac:dyDescent="0.25">
      <c r="B321" s="279"/>
      <c r="D321" s="71"/>
      <c r="I321" s="20"/>
    </row>
    <row r="322" spans="2:9" x14ac:dyDescent="0.25">
      <c r="B322" s="279"/>
      <c r="D322" s="71"/>
      <c r="I322" s="20"/>
    </row>
    <row r="323" spans="2:9" x14ac:dyDescent="0.25">
      <c r="B323" s="279"/>
      <c r="D323" s="71"/>
      <c r="I323" s="20"/>
    </row>
    <row r="324" spans="2:9" x14ac:dyDescent="0.25">
      <c r="B324" s="279"/>
      <c r="D324" s="71"/>
      <c r="I324" s="20"/>
    </row>
    <row r="325" spans="2:9" x14ac:dyDescent="0.25">
      <c r="B325" s="279"/>
      <c r="D325" s="71"/>
      <c r="I325" s="20"/>
    </row>
    <row r="326" spans="2:9" x14ac:dyDescent="0.25">
      <c r="B326" s="279"/>
      <c r="D326" s="71"/>
      <c r="I326" s="20"/>
    </row>
    <row r="327" spans="2:9" x14ac:dyDescent="0.25">
      <c r="B327" s="279"/>
      <c r="D327" s="71"/>
      <c r="I327" s="20"/>
    </row>
    <row r="328" spans="2:9" x14ac:dyDescent="0.25">
      <c r="B328" s="279"/>
      <c r="D328" s="71"/>
      <c r="I328" s="20"/>
    </row>
    <row r="329" spans="2:9" x14ac:dyDescent="0.25">
      <c r="B329" s="279"/>
      <c r="D329" s="71"/>
      <c r="I329" s="20"/>
    </row>
    <row r="330" spans="2:9" x14ac:dyDescent="0.25">
      <c r="B330" s="279"/>
      <c r="D330" s="71"/>
      <c r="I330" s="20"/>
    </row>
    <row r="331" spans="2:9" x14ac:dyDescent="0.25">
      <c r="B331" s="279"/>
      <c r="D331" s="71"/>
      <c r="I331" s="20"/>
    </row>
    <row r="332" spans="2:9" x14ac:dyDescent="0.25">
      <c r="B332" s="279"/>
      <c r="D332" s="71"/>
      <c r="I332" s="20"/>
    </row>
    <row r="333" spans="2:9" x14ac:dyDescent="0.25">
      <c r="B333" s="279"/>
      <c r="D333" s="71"/>
      <c r="I333" s="20"/>
    </row>
    <row r="334" spans="2:9" x14ac:dyDescent="0.25">
      <c r="B334" s="279"/>
      <c r="D334" s="71"/>
      <c r="I334" s="20"/>
    </row>
    <row r="335" spans="2:9" x14ac:dyDescent="0.25">
      <c r="B335" s="279"/>
      <c r="D335" s="71"/>
      <c r="I335" s="20"/>
    </row>
    <row r="336" spans="2:9" x14ac:dyDescent="0.25">
      <c r="B336" s="279"/>
      <c r="D336" s="71"/>
      <c r="I336" s="20"/>
    </row>
    <row r="337" spans="2:9" x14ac:dyDescent="0.25">
      <c r="B337" s="279"/>
      <c r="D337" s="71"/>
      <c r="I337" s="20"/>
    </row>
    <row r="338" spans="2:9" x14ac:dyDescent="0.25">
      <c r="B338" s="279"/>
      <c r="D338" s="71"/>
      <c r="I338" s="20"/>
    </row>
    <row r="339" spans="2:9" x14ac:dyDescent="0.25">
      <c r="B339" s="279"/>
      <c r="D339" s="71"/>
      <c r="I339" s="20"/>
    </row>
    <row r="340" spans="2:9" x14ac:dyDescent="0.25">
      <c r="B340" s="279"/>
      <c r="D340" s="71"/>
      <c r="I340" s="20"/>
    </row>
    <row r="341" spans="2:9" x14ac:dyDescent="0.25">
      <c r="B341" s="279"/>
      <c r="D341" s="71"/>
      <c r="I341" s="20"/>
    </row>
    <row r="342" spans="2:9" x14ac:dyDescent="0.25">
      <c r="B342" s="279"/>
      <c r="D342" s="71"/>
      <c r="I342" s="20"/>
    </row>
    <row r="343" spans="2:9" x14ac:dyDescent="0.25">
      <c r="B343" s="279"/>
      <c r="D343" s="71"/>
      <c r="I343" s="20"/>
    </row>
    <row r="344" spans="2:9" x14ac:dyDescent="0.25">
      <c r="B344" s="279"/>
      <c r="D344" s="71"/>
      <c r="I344" s="20"/>
    </row>
    <row r="345" spans="2:9" x14ac:dyDescent="0.25">
      <c r="B345" s="279"/>
      <c r="D345" s="71"/>
      <c r="I345" s="20"/>
    </row>
    <row r="346" spans="2:9" x14ac:dyDescent="0.25">
      <c r="B346" s="279"/>
      <c r="D346" s="71"/>
      <c r="I346" s="20"/>
    </row>
    <row r="347" spans="2:9" x14ac:dyDescent="0.25">
      <c r="B347" s="279"/>
      <c r="D347" s="71"/>
      <c r="I347" s="20"/>
    </row>
    <row r="348" spans="2:9" x14ac:dyDescent="0.25">
      <c r="B348" s="279"/>
      <c r="D348" s="71"/>
      <c r="I348" s="20"/>
    </row>
    <row r="349" spans="2:9" x14ac:dyDescent="0.25">
      <c r="B349" s="279"/>
      <c r="D349" s="71"/>
      <c r="I349" s="20"/>
    </row>
    <row r="350" spans="2:9" x14ac:dyDescent="0.25">
      <c r="B350" s="279"/>
      <c r="D350" s="71"/>
      <c r="I350" s="20"/>
    </row>
    <row r="351" spans="2:9" x14ac:dyDescent="0.25">
      <c r="B351" s="279"/>
      <c r="D351" s="71"/>
      <c r="I351" s="20"/>
    </row>
    <row r="352" spans="2:9" x14ac:dyDescent="0.25">
      <c r="B352" s="279"/>
      <c r="D352" s="71"/>
      <c r="I352" s="20"/>
    </row>
    <row r="353" spans="2:9" x14ac:dyDescent="0.25">
      <c r="B353" s="279"/>
      <c r="D353" s="71"/>
      <c r="I353" s="20"/>
    </row>
    <row r="354" spans="2:9" x14ac:dyDescent="0.25">
      <c r="B354" s="279"/>
      <c r="D354" s="71"/>
      <c r="I354" s="20"/>
    </row>
    <row r="355" spans="2:9" x14ac:dyDescent="0.25">
      <c r="B355" s="279"/>
      <c r="D355" s="71"/>
      <c r="I355" s="20"/>
    </row>
    <row r="356" spans="2:9" x14ac:dyDescent="0.25">
      <c r="B356" s="279"/>
      <c r="D356" s="71"/>
      <c r="I356" s="20"/>
    </row>
    <row r="357" spans="2:9" x14ac:dyDescent="0.25">
      <c r="B357" s="279"/>
      <c r="D357" s="71"/>
      <c r="I357" s="20"/>
    </row>
    <row r="358" spans="2:9" x14ac:dyDescent="0.25">
      <c r="B358" s="279"/>
      <c r="D358" s="71"/>
      <c r="I358" s="20"/>
    </row>
    <row r="359" spans="2:9" x14ac:dyDescent="0.25">
      <c r="B359" s="279"/>
      <c r="D359" s="71"/>
      <c r="I359" s="20"/>
    </row>
    <row r="360" spans="2:9" x14ac:dyDescent="0.25">
      <c r="B360" s="279"/>
      <c r="D360" s="71"/>
      <c r="I360" s="20"/>
    </row>
    <row r="361" spans="2:9" x14ac:dyDescent="0.25">
      <c r="B361" s="279"/>
      <c r="D361" s="71"/>
      <c r="I361" s="20"/>
    </row>
    <row r="362" spans="2:9" x14ac:dyDescent="0.25">
      <c r="B362" s="279"/>
      <c r="D362" s="71"/>
      <c r="I362" s="20"/>
    </row>
    <row r="363" spans="2:9" x14ac:dyDescent="0.25">
      <c r="B363" s="279"/>
      <c r="D363" s="71"/>
      <c r="I363" s="20"/>
    </row>
    <row r="364" spans="2:9" x14ac:dyDescent="0.25">
      <c r="B364" s="279"/>
      <c r="D364" s="71"/>
      <c r="I364" s="20"/>
    </row>
    <row r="365" spans="2:9" x14ac:dyDescent="0.25">
      <c r="B365" s="279"/>
      <c r="D365" s="71"/>
      <c r="I365" s="20"/>
    </row>
    <row r="366" spans="2:9" x14ac:dyDescent="0.25">
      <c r="B366" s="279"/>
      <c r="D366" s="71"/>
      <c r="I366" s="20"/>
    </row>
    <row r="367" spans="2:9" x14ac:dyDescent="0.25">
      <c r="B367" s="279"/>
      <c r="D367" s="71"/>
      <c r="I367" s="20"/>
    </row>
    <row r="368" spans="2:9" x14ac:dyDescent="0.25">
      <c r="B368" s="279"/>
      <c r="D368" s="71"/>
      <c r="I368" s="20"/>
    </row>
    <row r="369" spans="2:9" x14ac:dyDescent="0.25">
      <c r="B369" s="279"/>
      <c r="D369" s="71"/>
      <c r="I369" s="20"/>
    </row>
    <row r="370" spans="2:9" x14ac:dyDescent="0.25">
      <c r="B370" s="279"/>
      <c r="D370" s="71"/>
      <c r="I370" s="20"/>
    </row>
    <row r="371" spans="2:9" x14ac:dyDescent="0.25">
      <c r="B371" s="279"/>
      <c r="D371" s="71"/>
      <c r="I371" s="20"/>
    </row>
    <row r="372" spans="2:9" x14ac:dyDescent="0.25">
      <c r="B372" s="279"/>
      <c r="D372" s="71"/>
      <c r="I372" s="20"/>
    </row>
    <row r="373" spans="2:9" x14ac:dyDescent="0.25">
      <c r="B373" s="279"/>
      <c r="D373" s="71"/>
      <c r="I373" s="20"/>
    </row>
    <row r="374" spans="2:9" x14ac:dyDescent="0.25">
      <c r="B374" s="279"/>
      <c r="D374" s="71"/>
      <c r="I374" s="20"/>
    </row>
    <row r="375" spans="2:9" x14ac:dyDescent="0.25">
      <c r="B375" s="279"/>
      <c r="D375" s="71"/>
      <c r="I375" s="20"/>
    </row>
    <row r="376" spans="2:9" x14ac:dyDescent="0.25">
      <c r="B376" s="279"/>
      <c r="D376" s="71"/>
      <c r="I376" s="20"/>
    </row>
    <row r="377" spans="2:9" x14ac:dyDescent="0.25">
      <c r="B377" s="279"/>
      <c r="D377" s="71"/>
      <c r="I377" s="20"/>
    </row>
    <row r="378" spans="2:9" x14ac:dyDescent="0.25">
      <c r="B378" s="279"/>
      <c r="D378" s="71"/>
      <c r="I378" s="20"/>
    </row>
    <row r="379" spans="2:9" x14ac:dyDescent="0.25">
      <c r="B379" s="279"/>
      <c r="D379" s="71"/>
      <c r="I379" s="20"/>
    </row>
    <row r="380" spans="2:9" x14ac:dyDescent="0.25">
      <c r="B380" s="279"/>
      <c r="D380" s="71"/>
      <c r="I380" s="20"/>
    </row>
    <row r="381" spans="2:9" x14ac:dyDescent="0.25">
      <c r="B381" s="279"/>
      <c r="D381" s="71"/>
      <c r="I381" s="20"/>
    </row>
    <row r="382" spans="2:9" x14ac:dyDescent="0.25">
      <c r="B382" s="279"/>
      <c r="D382" s="71"/>
      <c r="I382" s="20"/>
    </row>
    <row r="383" spans="2:9" x14ac:dyDescent="0.25">
      <c r="B383" s="279"/>
      <c r="D383" s="71"/>
      <c r="I383" s="20"/>
    </row>
    <row r="384" spans="2:9" x14ac:dyDescent="0.25">
      <c r="B384" s="279"/>
      <c r="D384" s="71"/>
      <c r="I384" s="20"/>
    </row>
    <row r="385" spans="2:9" x14ac:dyDescent="0.25">
      <c r="B385" s="279"/>
      <c r="D385" s="71"/>
      <c r="I385" s="20"/>
    </row>
    <row r="386" spans="2:9" x14ac:dyDescent="0.25">
      <c r="B386" s="279"/>
      <c r="D386" s="71"/>
      <c r="I386" s="20"/>
    </row>
    <row r="387" spans="2:9" x14ac:dyDescent="0.25">
      <c r="B387" s="279"/>
      <c r="D387" s="71"/>
      <c r="I387" s="20"/>
    </row>
    <row r="388" spans="2:9" x14ac:dyDescent="0.25">
      <c r="B388" s="279"/>
      <c r="D388" s="71"/>
      <c r="I388" s="20"/>
    </row>
    <row r="389" spans="2:9" x14ac:dyDescent="0.25">
      <c r="B389" s="279"/>
      <c r="D389" s="71"/>
      <c r="I389" s="20"/>
    </row>
    <row r="390" spans="2:9" x14ac:dyDescent="0.25">
      <c r="B390" s="279"/>
      <c r="D390" s="71"/>
      <c r="I390" s="20"/>
    </row>
    <row r="391" spans="2:9" x14ac:dyDescent="0.25">
      <c r="B391" s="279"/>
      <c r="D391" s="71"/>
      <c r="I391" s="20"/>
    </row>
    <row r="392" spans="2:9" x14ac:dyDescent="0.25">
      <c r="B392" s="279"/>
      <c r="D392" s="71"/>
      <c r="I392" s="20"/>
    </row>
    <row r="393" spans="2:9" x14ac:dyDescent="0.25">
      <c r="B393" s="279"/>
      <c r="D393" s="71"/>
      <c r="I393" s="20"/>
    </row>
    <row r="394" spans="2:9" x14ac:dyDescent="0.25">
      <c r="B394" s="279"/>
      <c r="D394" s="71"/>
      <c r="I394" s="20"/>
    </row>
    <row r="395" spans="2:9" x14ac:dyDescent="0.25">
      <c r="B395" s="279"/>
      <c r="D395" s="71"/>
      <c r="I395" s="20"/>
    </row>
    <row r="396" spans="2:9" x14ac:dyDescent="0.25">
      <c r="B396" s="279"/>
      <c r="D396" s="71"/>
      <c r="I396" s="20"/>
    </row>
    <row r="397" spans="2:9" x14ac:dyDescent="0.25">
      <c r="B397" s="279"/>
      <c r="D397" s="71"/>
      <c r="I397" s="20"/>
    </row>
    <row r="398" spans="2:9" x14ac:dyDescent="0.25">
      <c r="B398" s="279"/>
      <c r="D398" s="71"/>
      <c r="I398" s="20"/>
    </row>
    <row r="399" spans="2:9" x14ac:dyDescent="0.25">
      <c r="B399" s="279"/>
      <c r="D399" s="71"/>
      <c r="I399" s="20"/>
    </row>
    <row r="400" spans="2:9" x14ac:dyDescent="0.25">
      <c r="B400" s="279"/>
      <c r="D400" s="71"/>
      <c r="I400" s="20"/>
    </row>
    <row r="401" spans="2:9" x14ac:dyDescent="0.25">
      <c r="B401" s="279"/>
      <c r="D401" s="71"/>
      <c r="I401" s="20"/>
    </row>
    <row r="402" spans="2:9" x14ac:dyDescent="0.25">
      <c r="B402" s="279"/>
      <c r="D402" s="71"/>
      <c r="I402" s="20"/>
    </row>
    <row r="403" spans="2:9" x14ac:dyDescent="0.25">
      <c r="B403" s="279"/>
      <c r="D403" s="71"/>
      <c r="I403" s="20"/>
    </row>
    <row r="404" spans="2:9" x14ac:dyDescent="0.25">
      <c r="B404" s="279"/>
      <c r="D404" s="71"/>
      <c r="I404" s="20"/>
    </row>
    <row r="405" spans="2:9" x14ac:dyDescent="0.25">
      <c r="B405" s="279"/>
      <c r="D405" s="71"/>
      <c r="I405" s="20"/>
    </row>
    <row r="406" spans="2:9" x14ac:dyDescent="0.25">
      <c r="B406" s="279"/>
      <c r="D406" s="71"/>
      <c r="I406" s="20"/>
    </row>
    <row r="407" spans="2:9" x14ac:dyDescent="0.25">
      <c r="B407" s="279"/>
      <c r="D407" s="71"/>
      <c r="I407" s="20"/>
    </row>
    <row r="408" spans="2:9" x14ac:dyDescent="0.25">
      <c r="B408" s="279"/>
      <c r="D408" s="71"/>
      <c r="I408" s="20"/>
    </row>
    <row r="409" spans="2:9" x14ac:dyDescent="0.25">
      <c r="B409" s="279"/>
      <c r="D409" s="71"/>
      <c r="I409" s="20"/>
    </row>
    <row r="410" spans="2:9" x14ac:dyDescent="0.25">
      <c r="B410" s="279"/>
      <c r="D410" s="71"/>
      <c r="I410" s="20"/>
    </row>
    <row r="411" spans="2:9" x14ac:dyDescent="0.25">
      <c r="B411" s="279"/>
      <c r="D411" s="71"/>
      <c r="I411" s="20"/>
    </row>
    <row r="412" spans="2:9" x14ac:dyDescent="0.25">
      <c r="B412" s="279"/>
      <c r="D412" s="71"/>
      <c r="I412" s="20"/>
    </row>
    <row r="413" spans="2:9" x14ac:dyDescent="0.25">
      <c r="B413" s="279"/>
      <c r="D413" s="71"/>
      <c r="I413" s="20"/>
    </row>
    <row r="414" spans="2:9" x14ac:dyDescent="0.25">
      <c r="B414" s="279"/>
      <c r="D414" s="71"/>
      <c r="I414" s="20"/>
    </row>
    <row r="415" spans="2:9" x14ac:dyDescent="0.25">
      <c r="B415" s="279"/>
      <c r="D415" s="71"/>
      <c r="I415" s="20"/>
    </row>
    <row r="416" spans="2:9" x14ac:dyDescent="0.25">
      <c r="B416" s="279"/>
      <c r="D416" s="71"/>
      <c r="I416" s="20"/>
    </row>
    <row r="417" spans="2:9" x14ac:dyDescent="0.25">
      <c r="B417" s="279"/>
      <c r="D417" s="71"/>
      <c r="I417" s="20"/>
    </row>
    <row r="418" spans="2:9" x14ac:dyDescent="0.25">
      <c r="B418" s="279"/>
      <c r="D418" s="71"/>
      <c r="I418" s="20"/>
    </row>
    <row r="419" spans="2:9" x14ac:dyDescent="0.25">
      <c r="B419" s="279"/>
      <c r="D419" s="71"/>
      <c r="I419" s="20"/>
    </row>
    <row r="420" spans="2:9" x14ac:dyDescent="0.25">
      <c r="B420" s="279"/>
      <c r="D420" s="71"/>
      <c r="I420" s="20"/>
    </row>
    <row r="421" spans="2:9" x14ac:dyDescent="0.25">
      <c r="B421" s="279"/>
      <c r="D421" s="71"/>
      <c r="I421" s="20"/>
    </row>
  </sheetData>
  <sheetProtection algorithmName="SHA-512" hashValue="OvQS6cVM/qy64LArIlv6uvLxr/Ocyhk8nEKgCByQa7m1Uj6bU5G3CTs9Wnb5Vx1Ql51ekf6/bSInbPqZqYU/nQ==" saltValue="tiASC7IlMG/K8kKUi/qV1Q==" spinCount="100000" sheet="1" objects="1" scenarios="1"/>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D2B0-3473-4412-A9CC-7D379C5AB7DC}">
  <sheetPr codeName="Sheet9">
    <tabColor rgb="FF7030A0"/>
  </sheetPr>
  <dimension ref="A1:AI829"/>
  <sheetViews>
    <sheetView showGridLines="0" showRowColHeaders="0" topLeftCell="A49" workbookViewId="0">
      <selection activeCell="Z20" sqref="Z20"/>
    </sheetView>
  </sheetViews>
  <sheetFormatPr defaultRowHeight="11.5" x14ac:dyDescent="0.25"/>
  <cols>
    <col min="2" max="2" width="9.59765625" bestFit="1" customWidth="1"/>
    <col min="3" max="3" width="9.296875" bestFit="1" customWidth="1"/>
    <col min="5" max="5" width="9.296875" bestFit="1" customWidth="1"/>
    <col min="7" max="7" width="12.59765625" customWidth="1"/>
    <col min="8" max="8" width="12" customWidth="1"/>
    <col min="9" max="9" width="13.3984375" customWidth="1"/>
    <col min="10" max="13" width="15.8984375" customWidth="1"/>
    <col min="14" max="14" width="9.59765625" customWidth="1"/>
    <col min="15" max="15" width="12.296875" customWidth="1"/>
    <col min="16" max="16" width="10.8984375" customWidth="1"/>
    <col min="17" max="17" width="13.296875" bestFit="1" customWidth="1"/>
    <col min="18" max="18" width="14.09765625" bestFit="1" customWidth="1"/>
    <col min="19" max="19" width="10" bestFit="1" customWidth="1"/>
    <col min="20" max="20" width="15.69921875" bestFit="1" customWidth="1"/>
    <col min="21" max="21" width="11" bestFit="1" customWidth="1"/>
    <col min="22" max="22" width="11" customWidth="1"/>
    <col min="23" max="23" width="6.8984375" bestFit="1" customWidth="1"/>
    <col min="24" max="24" width="9.3984375" customWidth="1"/>
    <col min="25" max="25" width="7.3984375" bestFit="1" customWidth="1"/>
    <col min="26" max="27" width="14.69921875" customWidth="1"/>
    <col min="28" max="28" width="13.296875" bestFit="1" customWidth="1"/>
    <col min="29" max="34" width="13.296875" customWidth="1"/>
    <col min="35" max="35" width="12.09765625" bestFit="1" customWidth="1"/>
    <col min="36" max="36" width="9.69921875" bestFit="1" customWidth="1"/>
    <col min="37" max="37" width="14.69921875" bestFit="1" customWidth="1"/>
    <col min="38" max="38" width="9.69921875" bestFit="1" customWidth="1"/>
    <col min="39" max="39" width="14.69921875" bestFit="1" customWidth="1"/>
    <col min="40" max="40" width="16.3984375" customWidth="1"/>
    <col min="41" max="41" width="14.69921875" bestFit="1" customWidth="1"/>
    <col min="42" max="42" width="9.69921875" bestFit="1" customWidth="1"/>
    <col min="43" max="43" width="19.59765625" bestFit="1" customWidth="1"/>
    <col min="44" max="44" width="14.59765625" bestFit="1" customWidth="1"/>
    <col min="45" max="45" width="10.3984375" bestFit="1" customWidth="1"/>
    <col min="46" max="46" width="9.3984375" bestFit="1" customWidth="1"/>
  </cols>
  <sheetData>
    <row r="1" spans="1:32" x14ac:dyDescent="0.25">
      <c r="A1" s="23" t="s">
        <v>8</v>
      </c>
      <c r="B1" s="68" t="s">
        <v>9</v>
      </c>
      <c r="C1" s="24" t="s">
        <v>10</v>
      </c>
      <c r="D1" s="24" t="s">
        <v>11</v>
      </c>
      <c r="E1" s="24" t="s">
        <v>12</v>
      </c>
      <c r="F1" s="24" t="s">
        <v>73</v>
      </c>
      <c r="G1" s="24" t="s">
        <v>15</v>
      </c>
      <c r="H1" s="67" t="s">
        <v>76</v>
      </c>
      <c r="I1" s="67" t="s">
        <v>78</v>
      </c>
      <c r="J1" s="67" t="s">
        <v>72</v>
      </c>
      <c r="K1" s="75"/>
      <c r="L1" s="75"/>
      <c r="M1" s="5" t="s">
        <v>79</v>
      </c>
      <c r="N1" s="5" t="s">
        <v>46</v>
      </c>
      <c r="O1" s="5" t="s">
        <v>15</v>
      </c>
      <c r="P1" s="5" t="s">
        <v>89</v>
      </c>
      <c r="Q1" s="5" t="s">
        <v>82</v>
      </c>
      <c r="R1" s="5" t="s">
        <v>83</v>
      </c>
      <c r="S1" s="5" t="s">
        <v>77</v>
      </c>
      <c r="U1" s="5" t="s">
        <v>9</v>
      </c>
      <c r="V1" s="5" t="s">
        <v>8</v>
      </c>
      <c r="X1" s="5" t="s">
        <v>79</v>
      </c>
      <c r="Y1" s="5" t="s">
        <v>46</v>
      </c>
      <c r="Z1" s="5" t="s">
        <v>15</v>
      </c>
      <c r="AA1" s="5" t="s">
        <v>90</v>
      </c>
      <c r="AB1" s="75" t="s">
        <v>191</v>
      </c>
      <c r="AC1" s="75"/>
      <c r="AD1" s="75"/>
      <c r="AE1" s="183"/>
      <c r="AF1" s="75"/>
    </row>
    <row r="2" spans="1:32" x14ac:dyDescent="0.25">
      <c r="A2">
        <v>2026</v>
      </c>
      <c r="B2" s="279">
        <v>46023</v>
      </c>
      <c r="C2" t="s">
        <v>13</v>
      </c>
      <c r="D2" t="s">
        <v>1332</v>
      </c>
      <c r="E2" t="s">
        <v>1415</v>
      </c>
      <c r="F2">
        <v>20260101</v>
      </c>
      <c r="G2" s="293">
        <v>0.01</v>
      </c>
      <c r="H2" s="70">
        <f>IFERROR(ExtrapBudget2[[#This Row],[Montant]]/VLOOKUP(ExtrapBudget2[[#This Row],[Cat_3]],TamponBudget2[],4,FALSE),"")</f>
        <v>12</v>
      </c>
      <c r="I2" s="293">
        <v>0.01</v>
      </c>
      <c r="K2" s="71"/>
      <c r="L2" s="71"/>
      <c r="M2" t="s">
        <v>1415</v>
      </c>
      <c r="N2">
        <v>1</v>
      </c>
      <c r="O2" s="293">
        <v>0.01</v>
      </c>
      <c r="P2" s="71">
        <f>IFERROR(TamponBudget2[[#This Row],[Montant]]/$S$2,"")</f>
        <v>8.3333333333333339E-4</v>
      </c>
      <c r="Q2">
        <v>1</v>
      </c>
      <c r="R2">
        <v>112</v>
      </c>
      <c r="S2">
        <v>12</v>
      </c>
      <c r="U2" t="s">
        <v>433</v>
      </c>
      <c r="V2">
        <v>2026</v>
      </c>
      <c r="X2" t="s">
        <v>1415</v>
      </c>
      <c r="Y2">
        <v>1</v>
      </c>
      <c r="Z2" s="293">
        <v>0.01</v>
      </c>
      <c r="AA2" s="71">
        <f>IFERROR(tbTPCBudget2[[#This Row],[Montant]]/$S$2,"")</f>
        <v>8.3333333333333339E-4</v>
      </c>
      <c r="AE2" s="71"/>
    </row>
    <row r="3" spans="1:32" x14ac:dyDescent="0.25">
      <c r="A3">
        <v>2026</v>
      </c>
      <c r="B3" s="279">
        <v>46023</v>
      </c>
      <c r="C3" t="s">
        <v>13</v>
      </c>
      <c r="D3" t="s">
        <v>1331</v>
      </c>
      <c r="E3" t="s">
        <v>659</v>
      </c>
      <c r="F3">
        <v>20260102</v>
      </c>
      <c r="G3" s="293">
        <v>0.01</v>
      </c>
      <c r="H3" s="70">
        <f>IFERROR(ExtrapBudget2[[#This Row],[Montant]]/VLOOKUP(ExtrapBudget2[[#This Row],[Cat_3]],TamponBudget2[],4,FALSE),"")</f>
        <v>12</v>
      </c>
      <c r="I3" s="293">
        <v>0.01</v>
      </c>
      <c r="K3" s="71"/>
      <c r="L3" s="71"/>
      <c r="M3" t="s">
        <v>659</v>
      </c>
      <c r="N3">
        <v>2</v>
      </c>
      <c r="O3" s="293">
        <v>0.01</v>
      </c>
      <c r="P3" s="71">
        <f>IFERROR(TamponBudget2[[#This Row],[Montant]]/$S$2,"")</f>
        <v>8.3333333333333339E-4</v>
      </c>
      <c r="Q3">
        <f>IFERROR(SUM(ExtrapBudget2[Montant_Extrap])/$S$2,"")</f>
        <v>9.3333333333333393E-2</v>
      </c>
      <c r="U3" t="s">
        <v>434</v>
      </c>
      <c r="V3">
        <v>2026</v>
      </c>
      <c r="X3" t="s">
        <v>659</v>
      </c>
      <c r="Y3">
        <v>2</v>
      </c>
      <c r="Z3" s="293">
        <v>0.01</v>
      </c>
      <c r="AA3" s="71">
        <f>IFERROR(tbTPCBudget2[[#This Row],[Montant]]/$S$2,"")</f>
        <v>8.3333333333333339E-4</v>
      </c>
      <c r="AE3" s="71"/>
    </row>
    <row r="4" spans="1:32" x14ac:dyDescent="0.25">
      <c r="A4">
        <v>2026</v>
      </c>
      <c r="B4" s="279">
        <v>46023</v>
      </c>
      <c r="C4" t="s">
        <v>13</v>
      </c>
      <c r="D4" t="s">
        <v>1333</v>
      </c>
      <c r="E4" t="s">
        <v>1416</v>
      </c>
      <c r="F4">
        <v>20260103</v>
      </c>
      <c r="G4" s="293">
        <v>0.01</v>
      </c>
      <c r="H4" s="70">
        <f>IFERROR(ExtrapBudget2[[#This Row],[Montant]]/VLOOKUP(ExtrapBudget2[[#This Row],[Cat_3]],TamponBudget2[],4,FALSE),"")</f>
        <v>12</v>
      </c>
      <c r="I4" s="293">
        <v>0.01</v>
      </c>
      <c r="K4" s="71"/>
      <c r="L4" s="71"/>
      <c r="M4" t="s">
        <v>1416</v>
      </c>
      <c r="N4">
        <v>3</v>
      </c>
      <c r="O4" s="293">
        <v>0.01</v>
      </c>
      <c r="P4" s="71">
        <f>IFERROR(TamponBudget2[[#This Row],[Montant]]/$S$2,"")</f>
        <v>8.3333333333333339E-4</v>
      </c>
      <c r="U4" t="s">
        <v>435</v>
      </c>
      <c r="V4">
        <v>2026</v>
      </c>
      <c r="X4" t="s">
        <v>1416</v>
      </c>
      <c r="Y4">
        <v>3</v>
      </c>
      <c r="Z4" s="293">
        <v>0.01</v>
      </c>
      <c r="AA4" s="71">
        <f>IFERROR(tbTPCBudget2[[#This Row],[Montant]]/$S$2,"")</f>
        <v>8.3333333333333339E-4</v>
      </c>
      <c r="AE4" s="71"/>
    </row>
    <row r="5" spans="1:32" x14ac:dyDescent="0.25">
      <c r="A5">
        <v>2026</v>
      </c>
      <c r="B5" s="279">
        <v>46023</v>
      </c>
      <c r="C5" t="s">
        <v>14</v>
      </c>
      <c r="D5" t="s">
        <v>1401</v>
      </c>
      <c r="E5" t="s">
        <v>1408</v>
      </c>
      <c r="F5">
        <v>20260104</v>
      </c>
      <c r="G5" s="293">
        <v>0.01</v>
      </c>
      <c r="H5" s="70">
        <f>IFERROR(ExtrapBudget2[[#This Row],[Montant]]/VLOOKUP(ExtrapBudget2[[#This Row],[Cat_3]],TamponBudget2[],4,FALSE),"")</f>
        <v>12</v>
      </c>
      <c r="I5" s="293">
        <v>0.01</v>
      </c>
      <c r="K5" s="71"/>
      <c r="L5" s="71"/>
      <c r="M5" t="s">
        <v>1408</v>
      </c>
      <c r="N5">
        <v>4</v>
      </c>
      <c r="O5" s="293">
        <v>0.01</v>
      </c>
      <c r="P5" s="71">
        <f>IFERROR(TamponBudget2[[#This Row],[Montant]]/$S$2,"")</f>
        <v>8.3333333333333339E-4</v>
      </c>
      <c r="U5" t="s">
        <v>436</v>
      </c>
      <c r="V5">
        <v>2026</v>
      </c>
      <c r="X5" t="s">
        <v>1408</v>
      </c>
      <c r="Y5">
        <v>4</v>
      </c>
      <c r="Z5" s="293">
        <v>0.01</v>
      </c>
      <c r="AA5" s="71">
        <f>IFERROR(tbTPCBudget2[[#This Row],[Montant]]/$S$2,"")</f>
        <v>8.3333333333333339E-4</v>
      </c>
      <c r="AE5" s="71"/>
    </row>
    <row r="6" spans="1:32" x14ac:dyDescent="0.25">
      <c r="A6">
        <v>2026</v>
      </c>
      <c r="B6" s="279">
        <v>46023</v>
      </c>
      <c r="C6" t="s">
        <v>14</v>
      </c>
      <c r="D6" t="s">
        <v>1402</v>
      </c>
      <c r="E6" t="s">
        <v>1409</v>
      </c>
      <c r="F6">
        <v>20260105</v>
      </c>
      <c r="G6" s="293">
        <v>0.01</v>
      </c>
      <c r="H6" s="70">
        <f>IFERROR(ExtrapBudget2[[#This Row],[Montant]]/VLOOKUP(ExtrapBudget2[[#This Row],[Cat_3]],TamponBudget2[],4,FALSE),"")</f>
        <v>12</v>
      </c>
      <c r="I6" s="293">
        <v>0.01</v>
      </c>
      <c r="K6" s="71"/>
      <c r="L6" s="71"/>
      <c r="M6" t="s">
        <v>1409</v>
      </c>
      <c r="N6">
        <v>5</v>
      </c>
      <c r="O6" s="293">
        <v>0.01</v>
      </c>
      <c r="P6" s="71">
        <f>IFERROR(TamponBudget2[[#This Row],[Montant]]/$S$2,"")</f>
        <v>8.3333333333333339E-4</v>
      </c>
      <c r="U6" t="s">
        <v>437</v>
      </c>
      <c r="V6">
        <v>2026</v>
      </c>
      <c r="X6" t="s">
        <v>1409</v>
      </c>
      <c r="Y6">
        <v>5</v>
      </c>
      <c r="Z6" s="293">
        <v>0.01</v>
      </c>
      <c r="AA6" s="71">
        <f>IFERROR(tbTPCBudget2[[#This Row],[Montant]]/$S$2,"")</f>
        <v>8.3333333333333339E-4</v>
      </c>
      <c r="AE6" s="71"/>
    </row>
    <row r="7" spans="1:32" x14ac:dyDescent="0.25">
      <c r="A7">
        <v>2026</v>
      </c>
      <c r="B7" s="279">
        <v>46023</v>
      </c>
      <c r="C7" t="s">
        <v>14</v>
      </c>
      <c r="D7" t="s">
        <v>1403</v>
      </c>
      <c r="E7" t="s">
        <v>1410</v>
      </c>
      <c r="F7">
        <v>20260106</v>
      </c>
      <c r="G7" s="293">
        <v>0.01</v>
      </c>
      <c r="H7" s="70">
        <f>IFERROR(ExtrapBudget2[[#This Row],[Montant]]/VLOOKUP(ExtrapBudget2[[#This Row],[Cat_3]],TamponBudget2[],4,FALSE),"")</f>
        <v>12</v>
      </c>
      <c r="I7" s="293">
        <v>0.01</v>
      </c>
      <c r="K7" s="71"/>
      <c r="L7" s="71"/>
      <c r="M7" t="s">
        <v>1410</v>
      </c>
      <c r="N7">
        <v>6</v>
      </c>
      <c r="O7" s="293">
        <v>0.01</v>
      </c>
      <c r="P7" s="71">
        <f>IFERROR(TamponBudget2[[#This Row],[Montant]]/$S$2,"")</f>
        <v>8.3333333333333339E-4</v>
      </c>
      <c r="U7" t="s">
        <v>438</v>
      </c>
      <c r="V7">
        <v>2026</v>
      </c>
      <c r="X7" t="s">
        <v>1410</v>
      </c>
      <c r="Y7">
        <v>6</v>
      </c>
      <c r="Z7" s="293">
        <v>0.01</v>
      </c>
      <c r="AA7" s="71">
        <f>IFERROR(tbTPCBudget2[[#This Row],[Montant]]/$S$2,"")</f>
        <v>8.3333333333333339E-4</v>
      </c>
      <c r="AE7" s="71"/>
    </row>
    <row r="8" spans="1:32" x14ac:dyDescent="0.25">
      <c r="A8">
        <v>2026</v>
      </c>
      <c r="B8" s="279">
        <v>46023</v>
      </c>
      <c r="C8" t="s">
        <v>14</v>
      </c>
      <c r="D8" t="s">
        <v>1404</v>
      </c>
      <c r="E8" t="s">
        <v>1411</v>
      </c>
      <c r="F8">
        <v>20260107</v>
      </c>
      <c r="G8" s="293">
        <v>0.01</v>
      </c>
      <c r="H8" s="70">
        <f>IFERROR(ExtrapBudget2[[#This Row],[Montant]]/VLOOKUP(ExtrapBudget2[[#This Row],[Cat_3]],TamponBudget2[],4,FALSE),"")</f>
        <v>12</v>
      </c>
      <c r="I8" s="293">
        <v>0.01</v>
      </c>
      <c r="K8" s="71"/>
      <c r="L8" s="71"/>
      <c r="M8" t="s">
        <v>1411</v>
      </c>
      <c r="N8">
        <v>7</v>
      </c>
      <c r="O8" s="293">
        <v>0.01</v>
      </c>
      <c r="P8" s="71">
        <f>IFERROR(TamponBudget2[[#This Row],[Montant]]/$S$2,"")</f>
        <v>8.3333333333333339E-4</v>
      </c>
      <c r="U8" t="s">
        <v>439</v>
      </c>
      <c r="V8">
        <v>2026</v>
      </c>
      <c r="X8" t="s">
        <v>1411</v>
      </c>
      <c r="Y8">
        <v>7</v>
      </c>
      <c r="Z8" s="293">
        <v>0.01</v>
      </c>
      <c r="AA8" s="71">
        <f>IFERROR(tbTPCBudget2[[#This Row],[Montant]]/$S$2,"")</f>
        <v>8.3333333333333339E-4</v>
      </c>
      <c r="AE8" s="71"/>
    </row>
    <row r="9" spans="1:32" x14ac:dyDescent="0.25">
      <c r="A9">
        <v>2026</v>
      </c>
      <c r="B9" s="279">
        <v>46023</v>
      </c>
      <c r="C9" t="s">
        <v>14</v>
      </c>
      <c r="D9" t="s">
        <v>1405</v>
      </c>
      <c r="E9" t="s">
        <v>1412</v>
      </c>
      <c r="F9">
        <v>20260108</v>
      </c>
      <c r="G9" s="293">
        <v>0.01</v>
      </c>
      <c r="H9" s="70">
        <f>IFERROR(ExtrapBudget2[[#This Row],[Montant]]/VLOOKUP(ExtrapBudget2[[#This Row],[Cat_3]],TamponBudget2[],4,FALSE),"")</f>
        <v>12</v>
      </c>
      <c r="I9" s="293">
        <v>0.01</v>
      </c>
      <c r="K9" s="71"/>
      <c r="L9" s="71"/>
      <c r="M9" t="s">
        <v>1412</v>
      </c>
      <c r="N9">
        <v>8</v>
      </c>
      <c r="O9" s="293">
        <v>0.01</v>
      </c>
      <c r="P9" s="71">
        <f>IFERROR(TamponBudget2[[#This Row],[Montant]]/$S$2,"")</f>
        <v>8.3333333333333339E-4</v>
      </c>
      <c r="U9" t="s">
        <v>440</v>
      </c>
      <c r="V9">
        <v>2026</v>
      </c>
      <c r="X9" t="s">
        <v>1412</v>
      </c>
      <c r="Y9">
        <v>8</v>
      </c>
      <c r="Z9" s="293">
        <v>0.01</v>
      </c>
      <c r="AA9" s="71">
        <f>IFERROR(tbTPCBudget2[[#This Row],[Montant]]/$S$2,"")</f>
        <v>8.3333333333333339E-4</v>
      </c>
      <c r="AE9" s="71"/>
    </row>
    <row r="10" spans="1:32" x14ac:dyDescent="0.25">
      <c r="A10">
        <v>2026</v>
      </c>
      <c r="B10" s="279">
        <v>46023</v>
      </c>
      <c r="C10" t="s">
        <v>14</v>
      </c>
      <c r="D10" t="s">
        <v>1406</v>
      </c>
      <c r="E10" t="s">
        <v>1414</v>
      </c>
      <c r="F10">
        <v>20260109</v>
      </c>
      <c r="G10" s="293">
        <v>0.01</v>
      </c>
      <c r="H10" s="70">
        <f>IFERROR(ExtrapBudget2[[#This Row],[Montant]]/VLOOKUP(ExtrapBudget2[[#This Row],[Cat_3]],TamponBudget2[],4,FALSE),"")</f>
        <v>12</v>
      </c>
      <c r="I10" s="293">
        <v>0.01</v>
      </c>
      <c r="K10" s="71"/>
      <c r="L10" s="71"/>
      <c r="M10" t="s">
        <v>1414</v>
      </c>
      <c r="N10">
        <v>9</v>
      </c>
      <c r="O10" s="293">
        <v>0.01</v>
      </c>
      <c r="P10" s="71">
        <f>IFERROR(TamponBudget2[[#This Row],[Montant]]/$S$2,"")</f>
        <v>8.3333333333333339E-4</v>
      </c>
      <c r="U10" t="s">
        <v>441</v>
      </c>
      <c r="V10">
        <v>2026</v>
      </c>
      <c r="X10" t="s">
        <v>1414</v>
      </c>
      <c r="Y10">
        <v>9</v>
      </c>
      <c r="Z10" s="293">
        <v>0.01</v>
      </c>
      <c r="AA10" s="71">
        <f>IFERROR(tbTPCBudget2[[#This Row],[Montant]]/$S$2,"")</f>
        <v>8.3333333333333339E-4</v>
      </c>
      <c r="AE10" s="71"/>
    </row>
    <row r="11" spans="1:32" x14ac:dyDescent="0.25">
      <c r="A11">
        <v>2026</v>
      </c>
      <c r="B11" s="279">
        <v>46023</v>
      </c>
      <c r="C11" t="s">
        <v>14</v>
      </c>
      <c r="D11" t="s">
        <v>1407</v>
      </c>
      <c r="E11" t="s">
        <v>1413</v>
      </c>
      <c r="F11">
        <v>20260110</v>
      </c>
      <c r="G11" s="293">
        <v>0.01</v>
      </c>
      <c r="H11" s="70">
        <f>IFERROR(ExtrapBudget2[[#This Row],[Montant]]/VLOOKUP(ExtrapBudget2[[#This Row],[Cat_3]],TamponBudget2[],4,FALSE),"")</f>
        <v>12</v>
      </c>
      <c r="I11" s="293">
        <v>0.01</v>
      </c>
      <c r="K11" s="71"/>
      <c r="L11" s="71"/>
      <c r="M11" t="s">
        <v>1413</v>
      </c>
      <c r="N11">
        <v>10</v>
      </c>
      <c r="O11" s="293">
        <v>0.01</v>
      </c>
      <c r="P11" s="71">
        <f>IFERROR(TamponBudget2[[#This Row],[Montant]]/$S$2,"")</f>
        <v>8.3333333333333339E-4</v>
      </c>
      <c r="U11" t="s">
        <v>442</v>
      </c>
      <c r="V11">
        <v>2026</v>
      </c>
      <c r="X11" t="s">
        <v>1413</v>
      </c>
      <c r="Y11">
        <v>10</v>
      </c>
      <c r="Z11" s="293">
        <v>0.01</v>
      </c>
      <c r="AA11" s="71">
        <f>IFERROR(tbTPCBudget2[[#This Row],[Montant]]/$S$2,"")</f>
        <v>8.3333333333333339E-4</v>
      </c>
      <c r="AE11" s="71"/>
    </row>
    <row r="12" spans="1:32" x14ac:dyDescent="0.25">
      <c r="A12">
        <v>2026</v>
      </c>
      <c r="B12" s="279">
        <v>46054</v>
      </c>
      <c r="C12" t="s">
        <v>13</v>
      </c>
      <c r="D12" t="s">
        <v>1332</v>
      </c>
      <c r="E12" t="s">
        <v>1415</v>
      </c>
      <c r="F12">
        <v>20260201</v>
      </c>
      <c r="G12" s="293">
        <v>0.01</v>
      </c>
      <c r="H12" s="70">
        <f>IFERROR(ExtrapBudget2[[#This Row],[Montant]]/VLOOKUP(ExtrapBudget2[[#This Row],[Cat_3]],TamponBudget2[],4,FALSE),"")</f>
        <v>12</v>
      </c>
      <c r="I12" s="293">
        <v>0.01</v>
      </c>
      <c r="K12" s="71"/>
      <c r="L12" s="71"/>
      <c r="O12" s="71"/>
      <c r="P12" s="71"/>
      <c r="U12" t="s">
        <v>443</v>
      </c>
      <c r="V12">
        <v>2026</v>
      </c>
      <c r="Z12" s="71"/>
      <c r="AA12" s="71"/>
      <c r="AE12" s="71"/>
    </row>
    <row r="13" spans="1:32" x14ac:dyDescent="0.25">
      <c r="A13">
        <v>2026</v>
      </c>
      <c r="B13" s="279">
        <v>46054</v>
      </c>
      <c r="C13" t="s">
        <v>13</v>
      </c>
      <c r="D13" t="s">
        <v>1331</v>
      </c>
      <c r="E13" t="s">
        <v>659</v>
      </c>
      <c r="F13">
        <v>20260202</v>
      </c>
      <c r="G13" s="293">
        <v>0.01</v>
      </c>
      <c r="H13" s="70">
        <f>IFERROR(ExtrapBudget2[[#This Row],[Montant]]/VLOOKUP(ExtrapBudget2[[#This Row],[Cat_3]],TamponBudget2[],4,FALSE),"")</f>
        <v>12</v>
      </c>
      <c r="I13" s="293">
        <v>0.01</v>
      </c>
      <c r="K13" s="71"/>
      <c r="L13" s="71"/>
      <c r="O13" s="71"/>
      <c r="P13" s="71"/>
      <c r="U13" t="s">
        <v>444</v>
      </c>
      <c r="V13">
        <v>2026</v>
      </c>
      <c r="Z13" s="71"/>
      <c r="AA13" s="71"/>
      <c r="AE13" s="71"/>
    </row>
    <row r="14" spans="1:32" x14ac:dyDescent="0.25">
      <c r="A14">
        <v>2026</v>
      </c>
      <c r="B14" s="279">
        <v>46054</v>
      </c>
      <c r="C14" t="s">
        <v>13</v>
      </c>
      <c r="D14" t="s">
        <v>1333</v>
      </c>
      <c r="E14" t="s">
        <v>1416</v>
      </c>
      <c r="F14">
        <v>20260203</v>
      </c>
      <c r="G14" s="293">
        <v>0.01</v>
      </c>
      <c r="H14" s="70">
        <f>IFERROR(ExtrapBudget2[[#This Row],[Montant]]/VLOOKUP(ExtrapBudget2[[#This Row],[Cat_3]],TamponBudget2[],4,FALSE),"")</f>
        <v>12</v>
      </c>
      <c r="I14" s="293">
        <v>0.01</v>
      </c>
      <c r="K14" s="71"/>
      <c r="L14" s="71"/>
      <c r="O14" s="71"/>
      <c r="P14" s="71"/>
      <c r="Z14" s="71"/>
      <c r="AA14" s="71"/>
      <c r="AE14" s="71"/>
    </row>
    <row r="15" spans="1:32" x14ac:dyDescent="0.25">
      <c r="A15">
        <v>2026</v>
      </c>
      <c r="B15" s="279">
        <v>46054</v>
      </c>
      <c r="C15" t="s">
        <v>14</v>
      </c>
      <c r="D15" t="s">
        <v>1401</v>
      </c>
      <c r="E15" t="s">
        <v>1408</v>
      </c>
      <c r="F15">
        <v>20260204</v>
      </c>
      <c r="G15" s="293">
        <v>0.01</v>
      </c>
      <c r="H15" s="70">
        <f>IFERROR(ExtrapBudget2[[#This Row],[Montant]]/VLOOKUP(ExtrapBudget2[[#This Row],[Cat_3]],TamponBudget2[],4,FALSE),"")</f>
        <v>12</v>
      </c>
      <c r="I15" s="293">
        <v>0.01</v>
      </c>
      <c r="K15" s="71"/>
      <c r="L15" s="71"/>
      <c r="O15" s="71"/>
      <c r="P15" s="71"/>
      <c r="Z15" s="71"/>
      <c r="AA15" s="71"/>
      <c r="AE15" s="71"/>
    </row>
    <row r="16" spans="1:32" x14ac:dyDescent="0.25">
      <c r="A16">
        <v>2026</v>
      </c>
      <c r="B16" s="279">
        <v>46054</v>
      </c>
      <c r="C16" t="s">
        <v>14</v>
      </c>
      <c r="D16" t="s">
        <v>1402</v>
      </c>
      <c r="E16" t="s">
        <v>1409</v>
      </c>
      <c r="F16">
        <v>20260205</v>
      </c>
      <c r="G16" s="293">
        <v>0.01</v>
      </c>
      <c r="H16" s="70">
        <f>IFERROR(ExtrapBudget2[[#This Row],[Montant]]/VLOOKUP(ExtrapBudget2[[#This Row],[Cat_3]],TamponBudget2[],4,FALSE),"")</f>
        <v>12</v>
      </c>
      <c r="I16" s="293">
        <v>0.01</v>
      </c>
      <c r="K16" s="71"/>
      <c r="L16" s="71"/>
      <c r="O16" s="71"/>
      <c r="P16" s="71"/>
      <c r="Z16" s="71"/>
      <c r="AA16" s="71"/>
      <c r="AE16" s="71"/>
    </row>
    <row r="17" spans="1:31" x14ac:dyDescent="0.25">
      <c r="A17">
        <v>2026</v>
      </c>
      <c r="B17" s="279">
        <v>46054</v>
      </c>
      <c r="C17" t="s">
        <v>14</v>
      </c>
      <c r="D17" t="s">
        <v>1403</v>
      </c>
      <c r="E17" t="s">
        <v>1410</v>
      </c>
      <c r="F17">
        <v>20260206</v>
      </c>
      <c r="G17" s="293">
        <v>0.01</v>
      </c>
      <c r="H17" s="70">
        <f>IFERROR(ExtrapBudget2[[#This Row],[Montant]]/VLOOKUP(ExtrapBudget2[[#This Row],[Cat_3]],TamponBudget2[],4,FALSE),"")</f>
        <v>12</v>
      </c>
      <c r="I17" s="293">
        <v>0.01</v>
      </c>
      <c r="K17" s="71"/>
      <c r="L17" s="71"/>
      <c r="O17" s="71"/>
      <c r="P17" s="71"/>
      <c r="Z17" s="71"/>
      <c r="AA17" s="71"/>
      <c r="AE17" s="71"/>
    </row>
    <row r="18" spans="1:31" x14ac:dyDescent="0.25">
      <c r="A18">
        <v>2026</v>
      </c>
      <c r="B18" s="279">
        <v>46054</v>
      </c>
      <c r="C18" t="s">
        <v>14</v>
      </c>
      <c r="D18" t="s">
        <v>1404</v>
      </c>
      <c r="E18" t="s">
        <v>1411</v>
      </c>
      <c r="F18">
        <v>20260207</v>
      </c>
      <c r="G18" s="293">
        <v>0.01</v>
      </c>
      <c r="H18" s="70">
        <f>IFERROR(ExtrapBudget2[[#This Row],[Montant]]/VLOOKUP(ExtrapBudget2[[#This Row],[Cat_3]],TamponBudget2[],4,FALSE),"")</f>
        <v>12</v>
      </c>
      <c r="I18" s="293">
        <v>0.01</v>
      </c>
      <c r="K18" s="71"/>
      <c r="L18" s="71"/>
      <c r="O18" s="71"/>
      <c r="P18" s="71"/>
      <c r="Z18" s="71"/>
      <c r="AA18" s="71"/>
      <c r="AE18" s="71"/>
    </row>
    <row r="19" spans="1:31" x14ac:dyDescent="0.25">
      <c r="A19">
        <v>2026</v>
      </c>
      <c r="B19" s="279">
        <v>46054</v>
      </c>
      <c r="C19" t="s">
        <v>14</v>
      </c>
      <c r="D19" t="s">
        <v>1405</v>
      </c>
      <c r="E19" t="s">
        <v>1412</v>
      </c>
      <c r="F19">
        <v>20260208</v>
      </c>
      <c r="G19" s="293">
        <v>0.01</v>
      </c>
      <c r="H19" s="70">
        <f>IFERROR(ExtrapBudget2[[#This Row],[Montant]]/VLOOKUP(ExtrapBudget2[[#This Row],[Cat_3]],TamponBudget2[],4,FALSE),"")</f>
        <v>12</v>
      </c>
      <c r="I19" s="293">
        <v>0.01</v>
      </c>
      <c r="K19" s="71"/>
      <c r="L19" s="71"/>
      <c r="O19" s="71"/>
      <c r="P19" s="71"/>
      <c r="Z19" s="71"/>
      <c r="AA19" s="71"/>
      <c r="AE19" s="71"/>
    </row>
    <row r="20" spans="1:31" x14ac:dyDescent="0.25">
      <c r="A20">
        <v>2026</v>
      </c>
      <c r="B20" s="279">
        <v>46054</v>
      </c>
      <c r="C20" t="s">
        <v>14</v>
      </c>
      <c r="D20" t="s">
        <v>1406</v>
      </c>
      <c r="E20" t="s">
        <v>1414</v>
      </c>
      <c r="F20">
        <v>20260209</v>
      </c>
      <c r="G20" s="293">
        <v>0.01</v>
      </c>
      <c r="H20" s="70">
        <f>IFERROR(ExtrapBudget2[[#This Row],[Montant]]/VLOOKUP(ExtrapBudget2[[#This Row],[Cat_3]],TamponBudget2[],4,FALSE),"")</f>
        <v>12</v>
      </c>
      <c r="I20" s="293">
        <v>0.01</v>
      </c>
      <c r="K20" s="71"/>
      <c r="L20" s="71"/>
      <c r="O20" s="71"/>
      <c r="P20" s="71"/>
      <c r="Z20" s="71"/>
      <c r="AA20" s="71"/>
      <c r="AE20" s="71"/>
    </row>
    <row r="21" spans="1:31" x14ac:dyDescent="0.25">
      <c r="A21">
        <v>2026</v>
      </c>
      <c r="B21" s="279">
        <v>46054</v>
      </c>
      <c r="C21" t="s">
        <v>14</v>
      </c>
      <c r="D21" t="s">
        <v>1407</v>
      </c>
      <c r="E21" t="s">
        <v>1413</v>
      </c>
      <c r="F21">
        <v>20260210</v>
      </c>
      <c r="G21" s="293">
        <v>0.01</v>
      </c>
      <c r="H21" s="70">
        <f>IFERROR(ExtrapBudget2[[#This Row],[Montant]]/VLOOKUP(ExtrapBudget2[[#This Row],[Cat_3]],TamponBudget2[],4,FALSE),"")</f>
        <v>12</v>
      </c>
      <c r="I21" s="293">
        <v>0.01</v>
      </c>
      <c r="K21" s="71"/>
      <c r="L21" s="71"/>
      <c r="O21" s="71"/>
      <c r="P21" s="71"/>
      <c r="Z21" s="71"/>
      <c r="AA21" s="71"/>
      <c r="AE21" s="71"/>
    </row>
    <row r="22" spans="1:31" x14ac:dyDescent="0.25">
      <c r="A22">
        <v>2026</v>
      </c>
      <c r="B22" s="279">
        <v>46082</v>
      </c>
      <c r="C22" t="s">
        <v>13</v>
      </c>
      <c r="D22" t="s">
        <v>1332</v>
      </c>
      <c r="E22" t="s">
        <v>1415</v>
      </c>
      <c r="F22">
        <v>20260301</v>
      </c>
      <c r="G22" s="293">
        <v>0.01</v>
      </c>
      <c r="H22" s="70">
        <f>IFERROR(ExtrapBudget2[[#This Row],[Montant]]/VLOOKUP(ExtrapBudget2[[#This Row],[Cat_3]],TamponBudget2[],4,FALSE),"")</f>
        <v>12</v>
      </c>
      <c r="I22" s="293">
        <v>0.01</v>
      </c>
      <c r="K22" s="71"/>
      <c r="L22" s="71"/>
      <c r="O22" s="71"/>
      <c r="P22" s="71"/>
      <c r="Z22" s="71"/>
      <c r="AA22" s="71"/>
      <c r="AE22" s="71"/>
    </row>
    <row r="23" spans="1:31" x14ac:dyDescent="0.25">
      <c r="A23">
        <v>2026</v>
      </c>
      <c r="B23" s="279">
        <v>46082</v>
      </c>
      <c r="C23" t="s">
        <v>13</v>
      </c>
      <c r="D23" t="s">
        <v>1331</v>
      </c>
      <c r="E23" t="s">
        <v>659</v>
      </c>
      <c r="F23">
        <v>20260302</v>
      </c>
      <c r="G23" s="293">
        <v>0.01</v>
      </c>
      <c r="H23" s="70">
        <f>IFERROR(ExtrapBudget2[[#This Row],[Montant]]/VLOOKUP(ExtrapBudget2[[#This Row],[Cat_3]],TamponBudget2[],4,FALSE),"")</f>
        <v>12</v>
      </c>
      <c r="I23" s="293">
        <v>0.01</v>
      </c>
      <c r="K23" s="71"/>
      <c r="L23" s="71"/>
      <c r="O23" s="71"/>
      <c r="P23" s="71"/>
      <c r="Z23" s="71"/>
      <c r="AA23" s="71"/>
      <c r="AE23" s="71"/>
    </row>
    <row r="24" spans="1:31" x14ac:dyDescent="0.25">
      <c r="A24">
        <v>2026</v>
      </c>
      <c r="B24" s="279">
        <v>46082</v>
      </c>
      <c r="C24" t="s">
        <v>13</v>
      </c>
      <c r="D24" t="s">
        <v>1333</v>
      </c>
      <c r="E24" t="s">
        <v>1416</v>
      </c>
      <c r="F24">
        <v>20260303</v>
      </c>
      <c r="G24" s="293">
        <v>0.01</v>
      </c>
      <c r="H24" s="70">
        <f>IFERROR(ExtrapBudget2[[#This Row],[Montant]]/VLOOKUP(ExtrapBudget2[[#This Row],[Cat_3]],TamponBudget2[],4,FALSE),"")</f>
        <v>12</v>
      </c>
      <c r="I24" s="293">
        <v>0.01</v>
      </c>
      <c r="K24" s="71"/>
      <c r="L24" s="71"/>
      <c r="O24" s="71"/>
      <c r="P24" s="71"/>
      <c r="Z24" s="71"/>
      <c r="AA24" s="71"/>
      <c r="AE24" s="71"/>
    </row>
    <row r="25" spans="1:31" x14ac:dyDescent="0.25">
      <c r="A25">
        <v>2026</v>
      </c>
      <c r="B25" s="279">
        <v>46082</v>
      </c>
      <c r="C25" t="s">
        <v>14</v>
      </c>
      <c r="D25" t="s">
        <v>1401</v>
      </c>
      <c r="E25" t="s">
        <v>1408</v>
      </c>
      <c r="F25">
        <v>20260304</v>
      </c>
      <c r="G25" s="293">
        <v>0.01</v>
      </c>
      <c r="H25" s="70">
        <f>IFERROR(ExtrapBudget2[[#This Row],[Montant]]/VLOOKUP(ExtrapBudget2[[#This Row],[Cat_3]],TamponBudget2[],4,FALSE),"")</f>
        <v>12</v>
      </c>
      <c r="I25" s="293">
        <v>0.01</v>
      </c>
      <c r="K25" s="71"/>
      <c r="L25" s="71"/>
      <c r="O25" s="71"/>
      <c r="P25" s="71"/>
      <c r="Z25" s="71"/>
      <c r="AA25" s="71"/>
      <c r="AE25" s="71"/>
    </row>
    <row r="26" spans="1:31" x14ac:dyDescent="0.25">
      <c r="A26">
        <v>2026</v>
      </c>
      <c r="B26" s="279">
        <v>46082</v>
      </c>
      <c r="C26" t="s">
        <v>14</v>
      </c>
      <c r="D26" t="s">
        <v>1402</v>
      </c>
      <c r="E26" t="s">
        <v>1409</v>
      </c>
      <c r="F26">
        <v>20260305</v>
      </c>
      <c r="G26" s="293">
        <v>0.01</v>
      </c>
      <c r="H26" s="70">
        <f>IFERROR(ExtrapBudget2[[#This Row],[Montant]]/VLOOKUP(ExtrapBudget2[[#This Row],[Cat_3]],TamponBudget2[],4,FALSE),"")</f>
        <v>12</v>
      </c>
      <c r="I26" s="293">
        <v>0.01</v>
      </c>
      <c r="K26" s="71"/>
      <c r="L26" s="71"/>
      <c r="O26" s="71"/>
      <c r="P26" s="71"/>
      <c r="Z26" s="71"/>
      <c r="AA26" s="71"/>
      <c r="AE26" s="71"/>
    </row>
    <row r="27" spans="1:31" x14ac:dyDescent="0.25">
      <c r="A27">
        <v>2026</v>
      </c>
      <c r="B27" s="279">
        <v>46082</v>
      </c>
      <c r="C27" t="s">
        <v>14</v>
      </c>
      <c r="D27" t="s">
        <v>1403</v>
      </c>
      <c r="E27" t="s">
        <v>1410</v>
      </c>
      <c r="F27">
        <v>20260306</v>
      </c>
      <c r="G27" s="293">
        <v>0.01</v>
      </c>
      <c r="H27" s="70">
        <f>IFERROR(ExtrapBudget2[[#This Row],[Montant]]/VLOOKUP(ExtrapBudget2[[#This Row],[Cat_3]],TamponBudget2[],4,FALSE),"")</f>
        <v>12</v>
      </c>
      <c r="I27" s="293">
        <v>0.01</v>
      </c>
      <c r="K27" s="71"/>
      <c r="L27" s="71"/>
      <c r="O27" s="71"/>
      <c r="P27" s="71"/>
      <c r="Z27" s="71"/>
      <c r="AA27" s="71"/>
      <c r="AE27" s="71"/>
    </row>
    <row r="28" spans="1:31" x14ac:dyDescent="0.25">
      <c r="A28">
        <v>2026</v>
      </c>
      <c r="B28" s="279">
        <v>46082</v>
      </c>
      <c r="C28" t="s">
        <v>14</v>
      </c>
      <c r="D28" t="s">
        <v>1404</v>
      </c>
      <c r="E28" t="s">
        <v>1411</v>
      </c>
      <c r="F28">
        <v>20260307</v>
      </c>
      <c r="G28" s="293">
        <v>0.01</v>
      </c>
      <c r="H28" s="70">
        <f>IFERROR(ExtrapBudget2[[#This Row],[Montant]]/VLOOKUP(ExtrapBudget2[[#This Row],[Cat_3]],TamponBudget2[],4,FALSE),"")</f>
        <v>12</v>
      </c>
      <c r="I28" s="293">
        <v>0.01</v>
      </c>
      <c r="K28" s="71"/>
      <c r="L28" s="71"/>
      <c r="O28" s="71"/>
      <c r="P28" s="71"/>
      <c r="Z28" s="71"/>
      <c r="AA28" s="71"/>
      <c r="AE28" s="71"/>
    </row>
    <row r="29" spans="1:31" x14ac:dyDescent="0.25">
      <c r="A29">
        <v>2026</v>
      </c>
      <c r="B29" s="279">
        <v>46082</v>
      </c>
      <c r="C29" t="s">
        <v>14</v>
      </c>
      <c r="D29" t="s">
        <v>1405</v>
      </c>
      <c r="E29" t="s">
        <v>1412</v>
      </c>
      <c r="F29">
        <v>20260308</v>
      </c>
      <c r="G29" s="293">
        <v>0.01</v>
      </c>
      <c r="H29" s="70">
        <f>IFERROR(ExtrapBudget2[[#This Row],[Montant]]/VLOOKUP(ExtrapBudget2[[#This Row],[Cat_3]],TamponBudget2[],4,FALSE),"")</f>
        <v>12</v>
      </c>
      <c r="I29" s="293">
        <v>0.01</v>
      </c>
      <c r="K29" s="71"/>
      <c r="L29" s="71"/>
      <c r="O29" s="71"/>
      <c r="P29" s="71"/>
      <c r="Z29" s="71"/>
      <c r="AA29" s="71"/>
      <c r="AE29" s="71"/>
    </row>
    <row r="30" spans="1:31" x14ac:dyDescent="0.25">
      <c r="A30">
        <v>2026</v>
      </c>
      <c r="B30" s="279">
        <v>46082</v>
      </c>
      <c r="C30" t="s">
        <v>14</v>
      </c>
      <c r="D30" t="s">
        <v>1406</v>
      </c>
      <c r="E30" t="s">
        <v>1414</v>
      </c>
      <c r="F30">
        <v>20260309</v>
      </c>
      <c r="G30" s="293">
        <v>0.01</v>
      </c>
      <c r="H30" s="70">
        <f>IFERROR(ExtrapBudget2[[#This Row],[Montant]]/VLOOKUP(ExtrapBudget2[[#This Row],[Cat_3]],TamponBudget2[],4,FALSE),"")</f>
        <v>12</v>
      </c>
      <c r="I30" s="293">
        <v>0.01</v>
      </c>
      <c r="K30" s="71"/>
      <c r="L30" s="71"/>
      <c r="O30" s="71"/>
      <c r="P30" s="71"/>
      <c r="Z30" s="71"/>
      <c r="AA30" s="71"/>
      <c r="AE30" s="71"/>
    </row>
    <row r="31" spans="1:31" x14ac:dyDescent="0.25">
      <c r="A31">
        <v>2026</v>
      </c>
      <c r="B31" s="279">
        <v>46082</v>
      </c>
      <c r="C31" t="s">
        <v>14</v>
      </c>
      <c r="D31" t="s">
        <v>1407</v>
      </c>
      <c r="E31" t="s">
        <v>1413</v>
      </c>
      <c r="F31">
        <v>20260310</v>
      </c>
      <c r="G31" s="293">
        <v>0.01</v>
      </c>
      <c r="H31" s="70">
        <f>IFERROR(ExtrapBudget2[[#This Row],[Montant]]/VLOOKUP(ExtrapBudget2[[#This Row],[Cat_3]],TamponBudget2[],4,FALSE),"")</f>
        <v>12</v>
      </c>
      <c r="I31" s="293">
        <v>0.01</v>
      </c>
      <c r="K31" s="71"/>
      <c r="L31" s="71"/>
      <c r="O31" s="71"/>
      <c r="P31" s="71"/>
      <c r="Z31" s="71"/>
      <c r="AA31" s="71"/>
      <c r="AE31" s="71"/>
    </row>
    <row r="32" spans="1:31" x14ac:dyDescent="0.25">
      <c r="A32">
        <v>2026</v>
      </c>
      <c r="B32" s="279">
        <v>46113</v>
      </c>
      <c r="C32" t="s">
        <v>13</v>
      </c>
      <c r="D32" t="s">
        <v>1332</v>
      </c>
      <c r="E32" t="s">
        <v>1415</v>
      </c>
      <c r="F32">
        <v>20260401</v>
      </c>
      <c r="G32" s="293">
        <v>0.01</v>
      </c>
      <c r="H32" s="70">
        <f>IFERROR(ExtrapBudget2[[#This Row],[Montant]]/VLOOKUP(ExtrapBudget2[[#This Row],[Cat_3]],TamponBudget2[],4,FALSE),"")</f>
        <v>12</v>
      </c>
      <c r="I32" s="293">
        <v>0.01</v>
      </c>
      <c r="K32" s="71"/>
      <c r="L32" s="71"/>
      <c r="O32" s="71"/>
      <c r="P32" s="71"/>
      <c r="Z32" s="71"/>
      <c r="AA32" s="71"/>
      <c r="AE32" s="71"/>
    </row>
    <row r="33" spans="1:35" x14ac:dyDescent="0.25">
      <c r="A33">
        <v>2026</v>
      </c>
      <c r="B33" s="279">
        <v>46113</v>
      </c>
      <c r="C33" t="s">
        <v>13</v>
      </c>
      <c r="D33" t="s">
        <v>1331</v>
      </c>
      <c r="E33" t="s">
        <v>659</v>
      </c>
      <c r="F33">
        <v>20260402</v>
      </c>
      <c r="G33" s="293">
        <v>0.01</v>
      </c>
      <c r="H33" s="70">
        <f>IFERROR(ExtrapBudget2[[#This Row],[Montant]]/VLOOKUP(ExtrapBudget2[[#This Row],[Cat_3]],TamponBudget2[],4,FALSE),"")</f>
        <v>12</v>
      </c>
      <c r="I33" s="293">
        <v>0.01</v>
      </c>
      <c r="K33" s="71"/>
      <c r="L33" s="71"/>
      <c r="O33" s="71"/>
      <c r="P33" s="71"/>
      <c r="Z33" s="71"/>
      <c r="AA33" s="71"/>
      <c r="AE33" s="71"/>
    </row>
    <row r="34" spans="1:35" x14ac:dyDescent="0.25">
      <c r="A34">
        <v>2026</v>
      </c>
      <c r="B34" s="279">
        <v>46113</v>
      </c>
      <c r="C34" t="s">
        <v>14</v>
      </c>
      <c r="D34" t="s">
        <v>1401</v>
      </c>
      <c r="E34" t="s">
        <v>1408</v>
      </c>
      <c r="F34">
        <v>20260404</v>
      </c>
      <c r="G34" s="293">
        <v>0.01</v>
      </c>
      <c r="H34" s="70">
        <f>IFERROR(ExtrapBudget2[[#This Row],[Montant]]/VLOOKUP(ExtrapBudget2[[#This Row],[Cat_3]],TamponBudget2[],4,FALSE),"")</f>
        <v>12</v>
      </c>
      <c r="I34" s="293">
        <v>0.01</v>
      </c>
      <c r="K34" s="71"/>
      <c r="L34" s="71"/>
      <c r="O34" s="71"/>
      <c r="P34" s="71"/>
      <c r="Z34" s="71"/>
      <c r="AA34" s="71"/>
      <c r="AE34" s="71"/>
    </row>
    <row r="35" spans="1:35" x14ac:dyDescent="0.25">
      <c r="A35">
        <v>2026</v>
      </c>
      <c r="B35" s="279">
        <v>46113</v>
      </c>
      <c r="C35" t="s">
        <v>14</v>
      </c>
      <c r="D35" t="s">
        <v>1402</v>
      </c>
      <c r="E35" t="s">
        <v>1409</v>
      </c>
      <c r="F35">
        <v>20260405</v>
      </c>
      <c r="G35" s="293">
        <v>0.01</v>
      </c>
      <c r="H35" s="70">
        <f>IFERROR(ExtrapBudget2[[#This Row],[Montant]]/VLOOKUP(ExtrapBudget2[[#This Row],[Cat_3]],TamponBudget2[],4,FALSE),"")</f>
        <v>12</v>
      </c>
      <c r="I35" s="293">
        <v>0.01</v>
      </c>
      <c r="K35" s="71"/>
      <c r="L35" s="71"/>
      <c r="O35" s="71"/>
      <c r="P35" s="71"/>
      <c r="Z35" s="71"/>
      <c r="AA35" s="71"/>
      <c r="AE35" s="71"/>
    </row>
    <row r="36" spans="1:35" x14ac:dyDescent="0.25">
      <c r="A36">
        <v>2026</v>
      </c>
      <c r="B36" s="279">
        <v>46113</v>
      </c>
      <c r="C36" t="s">
        <v>14</v>
      </c>
      <c r="D36" t="s">
        <v>1403</v>
      </c>
      <c r="E36" t="s">
        <v>1410</v>
      </c>
      <c r="F36">
        <v>20260406</v>
      </c>
      <c r="G36" s="293">
        <v>0.01</v>
      </c>
      <c r="H36" s="70">
        <f>IFERROR(ExtrapBudget2[[#This Row],[Montant]]/VLOOKUP(ExtrapBudget2[[#This Row],[Cat_3]],TamponBudget2[],4,FALSE),"")</f>
        <v>12</v>
      </c>
      <c r="I36" s="293">
        <v>0.01</v>
      </c>
      <c r="K36" s="71"/>
      <c r="L36" s="71"/>
      <c r="O36" s="71"/>
      <c r="P36" s="71"/>
      <c r="Z36" s="71"/>
      <c r="AA36" s="71"/>
      <c r="AE36" s="71"/>
    </row>
    <row r="37" spans="1:35" x14ac:dyDescent="0.25">
      <c r="A37">
        <v>2026</v>
      </c>
      <c r="B37" s="279">
        <v>46113</v>
      </c>
      <c r="C37" t="s">
        <v>14</v>
      </c>
      <c r="D37" t="s">
        <v>1404</v>
      </c>
      <c r="E37" t="s">
        <v>1411</v>
      </c>
      <c r="F37">
        <v>20260407</v>
      </c>
      <c r="G37" s="293">
        <v>0.01</v>
      </c>
      <c r="H37" s="70">
        <f>IFERROR(ExtrapBudget2[[#This Row],[Montant]]/VLOOKUP(ExtrapBudget2[[#This Row],[Cat_3]],TamponBudget2[],4,FALSE),"")</f>
        <v>12</v>
      </c>
      <c r="I37" s="293">
        <v>0.01</v>
      </c>
      <c r="K37" s="71"/>
      <c r="L37" s="71"/>
      <c r="O37" s="71"/>
      <c r="AA37" s="71"/>
      <c r="AE37" s="69"/>
      <c r="AI37" s="71"/>
    </row>
    <row r="38" spans="1:35" x14ac:dyDescent="0.25">
      <c r="A38">
        <v>2026</v>
      </c>
      <c r="B38" s="279">
        <v>46113</v>
      </c>
      <c r="C38" t="s">
        <v>14</v>
      </c>
      <c r="D38" t="s">
        <v>1405</v>
      </c>
      <c r="E38" t="s">
        <v>1412</v>
      </c>
      <c r="F38">
        <v>20260408</v>
      </c>
      <c r="G38" s="293">
        <v>0.01</v>
      </c>
      <c r="H38" s="70">
        <f>IFERROR(ExtrapBudget2[[#This Row],[Montant]]/VLOOKUP(ExtrapBudget2[[#This Row],[Cat_3]],TamponBudget2[],4,FALSE),"")</f>
        <v>12</v>
      </c>
      <c r="I38" s="293">
        <v>0.01</v>
      </c>
      <c r="K38" s="71"/>
      <c r="L38" s="71"/>
      <c r="AE38" s="69"/>
      <c r="AI38" s="71"/>
    </row>
    <row r="39" spans="1:35" x14ac:dyDescent="0.25">
      <c r="A39">
        <v>2026</v>
      </c>
      <c r="B39" s="279">
        <v>46113</v>
      </c>
      <c r="C39" t="s">
        <v>14</v>
      </c>
      <c r="D39" t="s">
        <v>1406</v>
      </c>
      <c r="E39" t="s">
        <v>1414</v>
      </c>
      <c r="F39">
        <v>20260409</v>
      </c>
      <c r="G39" s="293">
        <v>0.01</v>
      </c>
      <c r="H39" s="70">
        <f>IFERROR(ExtrapBudget2[[#This Row],[Montant]]/VLOOKUP(ExtrapBudget2[[#This Row],[Cat_3]],TamponBudget2[],4,FALSE),"")</f>
        <v>12</v>
      </c>
      <c r="I39" s="293">
        <v>0.01</v>
      </c>
      <c r="K39" s="71"/>
      <c r="L39" s="71"/>
      <c r="AE39" s="69"/>
      <c r="AI39" s="71"/>
    </row>
    <row r="40" spans="1:35" x14ac:dyDescent="0.25">
      <c r="A40">
        <v>2026</v>
      </c>
      <c r="B40" s="279">
        <v>46113</v>
      </c>
      <c r="C40" t="s">
        <v>14</v>
      </c>
      <c r="D40" t="s">
        <v>1407</v>
      </c>
      <c r="E40" t="s">
        <v>1413</v>
      </c>
      <c r="F40">
        <v>20260410</v>
      </c>
      <c r="G40" s="293">
        <v>0.01</v>
      </c>
      <c r="H40" s="70">
        <f>IFERROR(ExtrapBudget2[[#This Row],[Montant]]/VLOOKUP(ExtrapBudget2[[#This Row],[Cat_3]],TamponBudget2[],4,FALSE),"")</f>
        <v>12</v>
      </c>
      <c r="I40" s="293">
        <v>0.01</v>
      </c>
      <c r="K40" s="71"/>
      <c r="L40" s="71"/>
      <c r="AE40" s="69"/>
      <c r="AI40" s="71"/>
    </row>
    <row r="41" spans="1:35" x14ac:dyDescent="0.25">
      <c r="A41">
        <v>2026</v>
      </c>
      <c r="B41" s="279">
        <v>46143</v>
      </c>
      <c r="C41" t="s">
        <v>13</v>
      </c>
      <c r="D41" t="s">
        <v>1332</v>
      </c>
      <c r="E41" t="s">
        <v>1415</v>
      </c>
      <c r="F41">
        <v>20260501</v>
      </c>
      <c r="G41" s="293">
        <v>0.01</v>
      </c>
      <c r="H41" s="70">
        <f>IFERROR(ExtrapBudget2[[#This Row],[Montant]]/VLOOKUP(ExtrapBudget2[[#This Row],[Cat_3]],TamponBudget2[],4,FALSE),"")</f>
        <v>12</v>
      </c>
      <c r="I41" s="293">
        <v>0.01</v>
      </c>
      <c r="K41" s="71"/>
      <c r="L41" s="71"/>
      <c r="AE41" s="69"/>
      <c r="AI41" s="71"/>
    </row>
    <row r="42" spans="1:35" x14ac:dyDescent="0.25">
      <c r="A42">
        <v>2026</v>
      </c>
      <c r="B42" s="279">
        <v>46143</v>
      </c>
      <c r="C42" t="s">
        <v>13</v>
      </c>
      <c r="D42" t="s">
        <v>1331</v>
      </c>
      <c r="E42" t="s">
        <v>659</v>
      </c>
      <c r="F42">
        <v>20260502</v>
      </c>
      <c r="G42" s="293">
        <v>0.01</v>
      </c>
      <c r="H42" s="70">
        <f>IFERROR(ExtrapBudget2[[#This Row],[Montant]]/VLOOKUP(ExtrapBudget2[[#This Row],[Cat_3]],TamponBudget2[],4,FALSE),"")</f>
        <v>12</v>
      </c>
      <c r="I42" s="293">
        <v>0.01</v>
      </c>
      <c r="K42" s="71"/>
      <c r="L42" s="71"/>
      <c r="AE42" s="69"/>
      <c r="AI42" s="71"/>
    </row>
    <row r="43" spans="1:35" x14ac:dyDescent="0.25">
      <c r="A43">
        <v>2026</v>
      </c>
      <c r="B43" s="279">
        <v>46143</v>
      </c>
      <c r="C43" t="s">
        <v>14</v>
      </c>
      <c r="D43" t="s">
        <v>1401</v>
      </c>
      <c r="E43" t="s">
        <v>1408</v>
      </c>
      <c r="F43">
        <v>20260504</v>
      </c>
      <c r="G43" s="293">
        <v>0.01</v>
      </c>
      <c r="H43" s="70">
        <f>IFERROR(ExtrapBudget2[[#This Row],[Montant]]/VLOOKUP(ExtrapBudget2[[#This Row],[Cat_3]],TamponBudget2[],4,FALSE),"")</f>
        <v>12</v>
      </c>
      <c r="I43" s="293">
        <v>0.01</v>
      </c>
      <c r="K43" s="71"/>
      <c r="L43" s="71"/>
      <c r="AE43" s="69"/>
      <c r="AI43" s="71"/>
    </row>
    <row r="44" spans="1:35" x14ac:dyDescent="0.25">
      <c r="A44">
        <v>2026</v>
      </c>
      <c r="B44" s="279">
        <v>46143</v>
      </c>
      <c r="C44" t="s">
        <v>14</v>
      </c>
      <c r="D44" t="s">
        <v>1402</v>
      </c>
      <c r="E44" t="s">
        <v>1409</v>
      </c>
      <c r="F44">
        <v>20260505</v>
      </c>
      <c r="G44" s="293">
        <v>0.01</v>
      </c>
      <c r="H44" s="70">
        <f>IFERROR(ExtrapBudget2[[#This Row],[Montant]]/VLOOKUP(ExtrapBudget2[[#This Row],[Cat_3]],TamponBudget2[],4,FALSE),"")</f>
        <v>12</v>
      </c>
      <c r="I44" s="293">
        <v>0.01</v>
      </c>
      <c r="K44" s="71"/>
      <c r="L44" s="71"/>
      <c r="AE44" s="69"/>
      <c r="AI44" s="71"/>
    </row>
    <row r="45" spans="1:35" x14ac:dyDescent="0.25">
      <c r="A45">
        <v>2026</v>
      </c>
      <c r="B45" s="279">
        <v>46143</v>
      </c>
      <c r="C45" t="s">
        <v>14</v>
      </c>
      <c r="D45" t="s">
        <v>1403</v>
      </c>
      <c r="E45" t="s">
        <v>1410</v>
      </c>
      <c r="F45">
        <v>20260506</v>
      </c>
      <c r="G45" s="293">
        <v>0.01</v>
      </c>
      <c r="H45" s="70">
        <f>IFERROR(ExtrapBudget2[[#This Row],[Montant]]/VLOOKUP(ExtrapBudget2[[#This Row],[Cat_3]],TamponBudget2[],4,FALSE),"")</f>
        <v>12</v>
      </c>
      <c r="I45" s="293">
        <v>0.01</v>
      </c>
      <c r="K45" s="71"/>
      <c r="L45" s="71"/>
      <c r="AE45" s="69"/>
      <c r="AI45" s="71"/>
    </row>
    <row r="46" spans="1:35" x14ac:dyDescent="0.25">
      <c r="A46">
        <v>2026</v>
      </c>
      <c r="B46" s="279">
        <v>46143</v>
      </c>
      <c r="C46" t="s">
        <v>14</v>
      </c>
      <c r="D46" t="s">
        <v>1404</v>
      </c>
      <c r="E46" t="s">
        <v>1411</v>
      </c>
      <c r="F46">
        <v>20260507</v>
      </c>
      <c r="G46" s="293">
        <v>0.01</v>
      </c>
      <c r="H46" s="70">
        <f>IFERROR(ExtrapBudget2[[#This Row],[Montant]]/VLOOKUP(ExtrapBudget2[[#This Row],[Cat_3]],TamponBudget2[],4,FALSE),"")</f>
        <v>12</v>
      </c>
      <c r="I46" s="293">
        <v>0.01</v>
      </c>
      <c r="K46" s="71"/>
      <c r="L46" s="71"/>
      <c r="AE46" s="69"/>
      <c r="AI46" s="71"/>
    </row>
    <row r="47" spans="1:35" x14ac:dyDescent="0.25">
      <c r="A47">
        <v>2026</v>
      </c>
      <c r="B47" s="279">
        <v>46143</v>
      </c>
      <c r="C47" t="s">
        <v>14</v>
      </c>
      <c r="D47" t="s">
        <v>1405</v>
      </c>
      <c r="E47" t="s">
        <v>1412</v>
      </c>
      <c r="F47">
        <v>20260508</v>
      </c>
      <c r="G47" s="293">
        <v>0.01</v>
      </c>
      <c r="H47" s="70">
        <f>IFERROR(ExtrapBudget2[[#This Row],[Montant]]/VLOOKUP(ExtrapBudget2[[#This Row],[Cat_3]],TamponBudget2[],4,FALSE),"")</f>
        <v>12</v>
      </c>
      <c r="I47" s="293">
        <v>0.01</v>
      </c>
      <c r="K47" s="71"/>
      <c r="L47" s="71"/>
      <c r="AE47" s="69"/>
      <c r="AI47" s="71"/>
    </row>
    <row r="48" spans="1:35" x14ac:dyDescent="0.25">
      <c r="A48">
        <v>2026</v>
      </c>
      <c r="B48" s="279">
        <v>46143</v>
      </c>
      <c r="C48" t="s">
        <v>14</v>
      </c>
      <c r="D48" t="s">
        <v>1406</v>
      </c>
      <c r="E48" t="s">
        <v>1414</v>
      </c>
      <c r="F48">
        <v>20260509</v>
      </c>
      <c r="G48" s="293">
        <v>0.01</v>
      </c>
      <c r="H48" s="70">
        <f>IFERROR(ExtrapBudget2[[#This Row],[Montant]]/VLOOKUP(ExtrapBudget2[[#This Row],[Cat_3]],TamponBudget2[],4,FALSE),"")</f>
        <v>12</v>
      </c>
      <c r="I48" s="293">
        <v>0.01</v>
      </c>
      <c r="K48" s="71"/>
      <c r="L48" s="71"/>
      <c r="AE48" s="69"/>
      <c r="AI48" s="71"/>
    </row>
    <row r="49" spans="1:35" x14ac:dyDescent="0.25">
      <c r="A49">
        <v>2026</v>
      </c>
      <c r="B49" s="279">
        <v>46143</v>
      </c>
      <c r="C49" t="s">
        <v>14</v>
      </c>
      <c r="D49" t="s">
        <v>1407</v>
      </c>
      <c r="E49" t="s">
        <v>1413</v>
      </c>
      <c r="F49">
        <v>20260510</v>
      </c>
      <c r="G49" s="293">
        <v>0.01</v>
      </c>
      <c r="H49" s="70">
        <f>IFERROR(ExtrapBudget2[[#This Row],[Montant]]/VLOOKUP(ExtrapBudget2[[#This Row],[Cat_3]],TamponBudget2[],4,FALSE),"")</f>
        <v>12</v>
      </c>
      <c r="I49" s="293">
        <v>0.01</v>
      </c>
      <c r="K49" s="71"/>
      <c r="L49" s="71"/>
      <c r="AE49" s="69"/>
      <c r="AI49" s="71"/>
    </row>
    <row r="50" spans="1:35" x14ac:dyDescent="0.25">
      <c r="A50">
        <v>2026</v>
      </c>
      <c r="B50" s="279">
        <v>46174</v>
      </c>
      <c r="C50" t="s">
        <v>13</v>
      </c>
      <c r="D50" t="s">
        <v>1332</v>
      </c>
      <c r="E50" t="s">
        <v>1415</v>
      </c>
      <c r="F50">
        <v>20260601</v>
      </c>
      <c r="G50" s="293">
        <v>0.01</v>
      </c>
      <c r="H50" s="70">
        <f>IFERROR(ExtrapBudget2[[#This Row],[Montant]]/VLOOKUP(ExtrapBudget2[[#This Row],[Cat_3]],TamponBudget2[],4,FALSE),"")</f>
        <v>12</v>
      </c>
      <c r="I50" s="293">
        <v>0.01</v>
      </c>
      <c r="K50" s="71"/>
      <c r="L50" s="71"/>
      <c r="AE50" s="69"/>
      <c r="AI50" s="71"/>
    </row>
    <row r="51" spans="1:35" x14ac:dyDescent="0.25">
      <c r="A51">
        <v>2026</v>
      </c>
      <c r="B51" s="279">
        <v>46174</v>
      </c>
      <c r="C51" t="s">
        <v>13</v>
      </c>
      <c r="D51" t="s">
        <v>1331</v>
      </c>
      <c r="E51" t="s">
        <v>659</v>
      </c>
      <c r="F51">
        <v>20260602</v>
      </c>
      <c r="G51" s="293">
        <v>0.01</v>
      </c>
      <c r="H51" s="70">
        <f>IFERROR(ExtrapBudget2[[#This Row],[Montant]]/VLOOKUP(ExtrapBudget2[[#This Row],[Cat_3]],TamponBudget2[],4,FALSE),"")</f>
        <v>12</v>
      </c>
      <c r="I51" s="293">
        <v>0.01</v>
      </c>
      <c r="K51" s="71"/>
      <c r="L51" s="71"/>
      <c r="AE51" s="69"/>
      <c r="AI51" s="71"/>
    </row>
    <row r="52" spans="1:35" x14ac:dyDescent="0.25">
      <c r="A52">
        <v>2026</v>
      </c>
      <c r="B52" s="279">
        <v>46174</v>
      </c>
      <c r="C52" t="s">
        <v>14</v>
      </c>
      <c r="D52" t="s">
        <v>1401</v>
      </c>
      <c r="E52" t="s">
        <v>1408</v>
      </c>
      <c r="F52">
        <v>20260604</v>
      </c>
      <c r="G52" s="293">
        <v>0.01</v>
      </c>
      <c r="H52" s="70">
        <f>IFERROR(ExtrapBudget2[[#This Row],[Montant]]/VLOOKUP(ExtrapBudget2[[#This Row],[Cat_3]],TamponBudget2[],4,FALSE),"")</f>
        <v>12</v>
      </c>
      <c r="I52" s="293">
        <v>0.01</v>
      </c>
      <c r="K52" s="71"/>
      <c r="L52" s="71"/>
      <c r="AE52" s="69"/>
      <c r="AI52" s="71"/>
    </row>
    <row r="53" spans="1:35" x14ac:dyDescent="0.25">
      <c r="A53">
        <v>2026</v>
      </c>
      <c r="B53" s="279">
        <v>46174</v>
      </c>
      <c r="C53" t="s">
        <v>14</v>
      </c>
      <c r="D53" t="s">
        <v>1402</v>
      </c>
      <c r="E53" t="s">
        <v>1409</v>
      </c>
      <c r="F53">
        <v>20260605</v>
      </c>
      <c r="G53" s="293">
        <v>0.01</v>
      </c>
      <c r="H53" s="70">
        <f>IFERROR(ExtrapBudget2[[#This Row],[Montant]]/VLOOKUP(ExtrapBudget2[[#This Row],[Cat_3]],TamponBudget2[],4,FALSE),"")</f>
        <v>12</v>
      </c>
      <c r="I53" s="293">
        <v>0.01</v>
      </c>
      <c r="K53" s="71"/>
      <c r="L53" s="71"/>
      <c r="AE53" s="69"/>
      <c r="AI53" s="71"/>
    </row>
    <row r="54" spans="1:35" x14ac:dyDescent="0.25">
      <c r="A54">
        <v>2026</v>
      </c>
      <c r="B54" s="279">
        <v>46174</v>
      </c>
      <c r="C54" t="s">
        <v>14</v>
      </c>
      <c r="D54" t="s">
        <v>1403</v>
      </c>
      <c r="E54" t="s">
        <v>1410</v>
      </c>
      <c r="F54">
        <v>20260606</v>
      </c>
      <c r="G54" s="293">
        <v>0.01</v>
      </c>
      <c r="H54" s="70">
        <f>IFERROR(ExtrapBudget2[[#This Row],[Montant]]/VLOOKUP(ExtrapBudget2[[#This Row],[Cat_3]],TamponBudget2[],4,FALSE),"")</f>
        <v>12</v>
      </c>
      <c r="I54" s="293">
        <v>0.01</v>
      </c>
      <c r="K54" s="71"/>
      <c r="L54" s="71"/>
      <c r="AE54" s="69"/>
      <c r="AI54" s="71"/>
    </row>
    <row r="55" spans="1:35" x14ac:dyDescent="0.25">
      <c r="A55">
        <v>2026</v>
      </c>
      <c r="B55" s="279">
        <v>46174</v>
      </c>
      <c r="C55" t="s">
        <v>14</v>
      </c>
      <c r="D55" t="s">
        <v>1404</v>
      </c>
      <c r="E55" t="s">
        <v>1411</v>
      </c>
      <c r="F55">
        <v>20260607</v>
      </c>
      <c r="G55" s="293">
        <v>0.01</v>
      </c>
      <c r="H55" s="70">
        <f>IFERROR(ExtrapBudget2[[#This Row],[Montant]]/VLOOKUP(ExtrapBudget2[[#This Row],[Cat_3]],TamponBudget2[],4,FALSE),"")</f>
        <v>12</v>
      </c>
      <c r="I55" s="293">
        <v>0.01</v>
      </c>
      <c r="K55" s="71"/>
      <c r="L55" s="71"/>
      <c r="AE55" s="69"/>
      <c r="AI55" s="71"/>
    </row>
    <row r="56" spans="1:35" x14ac:dyDescent="0.25">
      <c r="A56">
        <v>2026</v>
      </c>
      <c r="B56" s="279">
        <v>46174</v>
      </c>
      <c r="C56" t="s">
        <v>14</v>
      </c>
      <c r="D56" t="s">
        <v>1405</v>
      </c>
      <c r="E56" t="s">
        <v>1412</v>
      </c>
      <c r="F56">
        <v>20260608</v>
      </c>
      <c r="G56" s="293">
        <v>0.01</v>
      </c>
      <c r="H56" s="70">
        <f>IFERROR(ExtrapBudget2[[#This Row],[Montant]]/VLOOKUP(ExtrapBudget2[[#This Row],[Cat_3]],TamponBudget2[],4,FALSE),"")</f>
        <v>12</v>
      </c>
      <c r="I56" s="293">
        <v>0.01</v>
      </c>
      <c r="K56" s="71"/>
      <c r="L56" s="71"/>
      <c r="AE56" s="69"/>
      <c r="AI56" s="71"/>
    </row>
    <row r="57" spans="1:35" x14ac:dyDescent="0.25">
      <c r="A57">
        <v>2026</v>
      </c>
      <c r="B57" s="279">
        <v>46174</v>
      </c>
      <c r="C57" t="s">
        <v>14</v>
      </c>
      <c r="D57" t="s">
        <v>1406</v>
      </c>
      <c r="E57" t="s">
        <v>1414</v>
      </c>
      <c r="F57">
        <v>20260609</v>
      </c>
      <c r="G57" s="293">
        <v>0.01</v>
      </c>
      <c r="H57" s="70">
        <f>IFERROR(ExtrapBudget2[[#This Row],[Montant]]/VLOOKUP(ExtrapBudget2[[#This Row],[Cat_3]],TamponBudget2[],4,FALSE),"")</f>
        <v>12</v>
      </c>
      <c r="I57" s="293">
        <v>0.01</v>
      </c>
      <c r="K57" s="71"/>
      <c r="L57" s="71"/>
      <c r="AE57" s="69"/>
      <c r="AI57" s="71"/>
    </row>
    <row r="58" spans="1:35" x14ac:dyDescent="0.25">
      <c r="A58">
        <v>2026</v>
      </c>
      <c r="B58" s="279">
        <v>46174</v>
      </c>
      <c r="C58" t="s">
        <v>14</v>
      </c>
      <c r="D58" t="s">
        <v>1407</v>
      </c>
      <c r="E58" t="s">
        <v>1413</v>
      </c>
      <c r="F58">
        <v>20260610</v>
      </c>
      <c r="G58" s="293">
        <v>0.01</v>
      </c>
      <c r="H58" s="70">
        <f>IFERROR(ExtrapBudget2[[#This Row],[Montant]]/VLOOKUP(ExtrapBudget2[[#This Row],[Cat_3]],TamponBudget2[],4,FALSE),"")</f>
        <v>12</v>
      </c>
      <c r="I58" s="293">
        <v>0.01</v>
      </c>
      <c r="K58" s="71"/>
      <c r="L58" s="71"/>
      <c r="AE58" s="69"/>
      <c r="AI58" s="71"/>
    </row>
    <row r="59" spans="1:35" x14ac:dyDescent="0.25">
      <c r="A59">
        <v>2026</v>
      </c>
      <c r="B59" s="279">
        <v>46204</v>
      </c>
      <c r="C59" t="s">
        <v>13</v>
      </c>
      <c r="D59" t="s">
        <v>1332</v>
      </c>
      <c r="E59" t="s">
        <v>1415</v>
      </c>
      <c r="F59">
        <v>20260701</v>
      </c>
      <c r="G59" s="293">
        <v>0.01</v>
      </c>
      <c r="H59" s="70">
        <f>IFERROR(ExtrapBudget2[[#This Row],[Montant]]/VLOOKUP(ExtrapBudget2[[#This Row],[Cat_3]],TamponBudget2[],4,FALSE),"")</f>
        <v>12</v>
      </c>
      <c r="I59" s="293">
        <v>0.01</v>
      </c>
      <c r="K59" s="71"/>
      <c r="L59" s="71"/>
      <c r="AE59" s="69"/>
      <c r="AI59" s="71"/>
    </row>
    <row r="60" spans="1:35" x14ac:dyDescent="0.25">
      <c r="A60">
        <v>2026</v>
      </c>
      <c r="B60" s="279">
        <v>46204</v>
      </c>
      <c r="C60" t="s">
        <v>13</v>
      </c>
      <c r="D60" t="s">
        <v>1331</v>
      </c>
      <c r="E60" t="s">
        <v>659</v>
      </c>
      <c r="F60">
        <v>20260702</v>
      </c>
      <c r="G60" s="293">
        <v>0.01</v>
      </c>
      <c r="H60" s="70">
        <f>IFERROR(ExtrapBudget2[[#This Row],[Montant]]/VLOOKUP(ExtrapBudget2[[#This Row],[Cat_3]],TamponBudget2[],4,FALSE),"")</f>
        <v>12</v>
      </c>
      <c r="I60" s="293">
        <v>0.01</v>
      </c>
      <c r="K60" s="71"/>
      <c r="L60" s="71"/>
      <c r="AE60" s="69"/>
      <c r="AI60" s="71"/>
    </row>
    <row r="61" spans="1:35" x14ac:dyDescent="0.25">
      <c r="A61">
        <v>2026</v>
      </c>
      <c r="B61" s="279">
        <v>46204</v>
      </c>
      <c r="C61" t="s">
        <v>14</v>
      </c>
      <c r="D61" t="s">
        <v>1401</v>
      </c>
      <c r="E61" t="s">
        <v>1408</v>
      </c>
      <c r="F61">
        <v>20260704</v>
      </c>
      <c r="G61" s="293">
        <v>0.01</v>
      </c>
      <c r="H61" s="70">
        <f>IFERROR(ExtrapBudget2[[#This Row],[Montant]]/VLOOKUP(ExtrapBudget2[[#This Row],[Cat_3]],TamponBudget2[],4,FALSE),"")</f>
        <v>12</v>
      </c>
      <c r="I61" s="293">
        <v>0.01</v>
      </c>
      <c r="K61" s="71"/>
      <c r="L61" s="71"/>
      <c r="AE61" s="69"/>
      <c r="AI61" s="71"/>
    </row>
    <row r="62" spans="1:35" x14ac:dyDescent="0.25">
      <c r="A62">
        <v>2026</v>
      </c>
      <c r="B62" s="279">
        <v>46204</v>
      </c>
      <c r="C62" t="s">
        <v>14</v>
      </c>
      <c r="D62" t="s">
        <v>1402</v>
      </c>
      <c r="E62" t="s">
        <v>1409</v>
      </c>
      <c r="F62">
        <v>20260705</v>
      </c>
      <c r="G62" s="293">
        <v>0.01</v>
      </c>
      <c r="H62" s="70">
        <f>IFERROR(ExtrapBudget2[[#This Row],[Montant]]/VLOOKUP(ExtrapBudget2[[#This Row],[Cat_3]],TamponBudget2[],4,FALSE),"")</f>
        <v>12</v>
      </c>
      <c r="I62" s="293">
        <v>0.01</v>
      </c>
      <c r="K62" s="71"/>
      <c r="L62" s="71"/>
      <c r="AE62" s="69"/>
      <c r="AI62" s="71"/>
    </row>
    <row r="63" spans="1:35" x14ac:dyDescent="0.25">
      <c r="A63">
        <v>2026</v>
      </c>
      <c r="B63" s="279">
        <v>46204</v>
      </c>
      <c r="C63" t="s">
        <v>14</v>
      </c>
      <c r="D63" t="s">
        <v>1403</v>
      </c>
      <c r="E63" t="s">
        <v>1410</v>
      </c>
      <c r="F63">
        <v>20260706</v>
      </c>
      <c r="G63" s="293">
        <v>0.01</v>
      </c>
      <c r="H63" s="70">
        <f>IFERROR(ExtrapBudget2[[#This Row],[Montant]]/VLOOKUP(ExtrapBudget2[[#This Row],[Cat_3]],TamponBudget2[],4,FALSE),"")</f>
        <v>12</v>
      </c>
      <c r="I63" s="293">
        <v>0.01</v>
      </c>
      <c r="K63" s="71"/>
      <c r="L63" s="71"/>
      <c r="AE63" s="69"/>
      <c r="AI63" s="71"/>
    </row>
    <row r="64" spans="1:35" x14ac:dyDescent="0.25">
      <c r="A64">
        <v>2026</v>
      </c>
      <c r="B64" s="279">
        <v>46204</v>
      </c>
      <c r="C64" t="s">
        <v>14</v>
      </c>
      <c r="D64" t="s">
        <v>1404</v>
      </c>
      <c r="E64" t="s">
        <v>1411</v>
      </c>
      <c r="F64">
        <v>20260707</v>
      </c>
      <c r="G64" s="293">
        <v>0.01</v>
      </c>
      <c r="H64" s="70">
        <f>IFERROR(ExtrapBudget2[[#This Row],[Montant]]/VLOOKUP(ExtrapBudget2[[#This Row],[Cat_3]],TamponBudget2[],4,FALSE),"")</f>
        <v>12</v>
      </c>
      <c r="I64" s="293">
        <v>0.01</v>
      </c>
      <c r="K64" s="71"/>
      <c r="L64" s="71"/>
      <c r="AE64" s="69"/>
      <c r="AI64" s="71"/>
    </row>
    <row r="65" spans="1:35" x14ac:dyDescent="0.25">
      <c r="A65">
        <v>2026</v>
      </c>
      <c r="B65" s="279">
        <v>46204</v>
      </c>
      <c r="C65" t="s">
        <v>14</v>
      </c>
      <c r="D65" t="s">
        <v>1405</v>
      </c>
      <c r="E65" t="s">
        <v>1412</v>
      </c>
      <c r="F65">
        <v>20260708</v>
      </c>
      <c r="G65" s="293">
        <v>0.01</v>
      </c>
      <c r="H65" s="70">
        <f>IFERROR(ExtrapBudget2[[#This Row],[Montant]]/VLOOKUP(ExtrapBudget2[[#This Row],[Cat_3]],TamponBudget2[],4,FALSE),"")</f>
        <v>12</v>
      </c>
      <c r="I65" s="293">
        <v>0.01</v>
      </c>
      <c r="K65" s="71"/>
      <c r="L65" s="71"/>
      <c r="AE65" s="69"/>
      <c r="AI65" s="71"/>
    </row>
    <row r="66" spans="1:35" x14ac:dyDescent="0.25">
      <c r="A66">
        <v>2026</v>
      </c>
      <c r="B66" s="279">
        <v>46204</v>
      </c>
      <c r="C66" t="s">
        <v>14</v>
      </c>
      <c r="D66" t="s">
        <v>1406</v>
      </c>
      <c r="E66" t="s">
        <v>1414</v>
      </c>
      <c r="F66">
        <v>20260709</v>
      </c>
      <c r="G66" s="293">
        <v>0.01</v>
      </c>
      <c r="H66" s="70">
        <f>IFERROR(ExtrapBudget2[[#This Row],[Montant]]/VLOOKUP(ExtrapBudget2[[#This Row],[Cat_3]],TamponBudget2[],4,FALSE),"")</f>
        <v>12</v>
      </c>
      <c r="I66" s="293">
        <v>0.01</v>
      </c>
      <c r="K66" s="71"/>
      <c r="L66" s="71"/>
      <c r="AE66" s="69"/>
      <c r="AI66" s="71"/>
    </row>
    <row r="67" spans="1:35" x14ac:dyDescent="0.25">
      <c r="A67">
        <v>2026</v>
      </c>
      <c r="B67" s="279">
        <v>46204</v>
      </c>
      <c r="C67" t="s">
        <v>14</v>
      </c>
      <c r="D67" t="s">
        <v>1407</v>
      </c>
      <c r="E67" t="s">
        <v>1413</v>
      </c>
      <c r="F67">
        <v>20260710</v>
      </c>
      <c r="G67" s="293">
        <v>0.01</v>
      </c>
      <c r="H67" s="70">
        <f>IFERROR(ExtrapBudget2[[#This Row],[Montant]]/VLOOKUP(ExtrapBudget2[[#This Row],[Cat_3]],TamponBudget2[],4,FALSE),"")</f>
        <v>12</v>
      </c>
      <c r="I67" s="293">
        <v>0.01</v>
      </c>
      <c r="K67" s="71"/>
      <c r="L67" s="71"/>
      <c r="AE67" s="69"/>
      <c r="AI67" s="71"/>
    </row>
    <row r="68" spans="1:35" x14ac:dyDescent="0.25">
      <c r="A68">
        <v>2026</v>
      </c>
      <c r="B68" s="279">
        <v>46235</v>
      </c>
      <c r="C68" t="s">
        <v>13</v>
      </c>
      <c r="D68" t="s">
        <v>1332</v>
      </c>
      <c r="E68" t="s">
        <v>1415</v>
      </c>
      <c r="F68">
        <v>20260801</v>
      </c>
      <c r="G68" s="293">
        <v>0.01</v>
      </c>
      <c r="H68" s="70">
        <f>IFERROR(ExtrapBudget2[[#This Row],[Montant]]/VLOOKUP(ExtrapBudget2[[#This Row],[Cat_3]],TamponBudget2[],4,FALSE),"")</f>
        <v>12</v>
      </c>
      <c r="I68" s="293">
        <v>0.01</v>
      </c>
      <c r="K68" s="71"/>
      <c r="L68" s="71"/>
      <c r="AE68" s="69"/>
      <c r="AI68" s="71"/>
    </row>
    <row r="69" spans="1:35" x14ac:dyDescent="0.25">
      <c r="A69">
        <v>2026</v>
      </c>
      <c r="B69" s="279">
        <v>46235</v>
      </c>
      <c r="C69" t="s">
        <v>13</v>
      </c>
      <c r="D69" t="s">
        <v>1331</v>
      </c>
      <c r="E69" t="s">
        <v>659</v>
      </c>
      <c r="F69">
        <v>20260802</v>
      </c>
      <c r="G69" s="293">
        <v>0.01</v>
      </c>
      <c r="H69" s="70">
        <f>IFERROR(ExtrapBudget2[[#This Row],[Montant]]/VLOOKUP(ExtrapBudget2[[#This Row],[Cat_3]],TamponBudget2[],4,FALSE),"")</f>
        <v>12</v>
      </c>
      <c r="I69" s="293">
        <v>0.01</v>
      </c>
      <c r="K69" s="71"/>
      <c r="L69" s="71"/>
      <c r="AE69" s="69"/>
      <c r="AI69" s="71"/>
    </row>
    <row r="70" spans="1:35" x14ac:dyDescent="0.25">
      <c r="A70">
        <v>2026</v>
      </c>
      <c r="B70" s="279">
        <v>46235</v>
      </c>
      <c r="C70" t="s">
        <v>14</v>
      </c>
      <c r="D70" t="s">
        <v>1401</v>
      </c>
      <c r="E70" t="s">
        <v>1408</v>
      </c>
      <c r="F70">
        <v>20260804</v>
      </c>
      <c r="G70" s="293">
        <v>0.01</v>
      </c>
      <c r="H70" s="70">
        <f>IFERROR(ExtrapBudget2[[#This Row],[Montant]]/VLOOKUP(ExtrapBudget2[[#This Row],[Cat_3]],TamponBudget2[],4,FALSE),"")</f>
        <v>12</v>
      </c>
      <c r="I70" s="293">
        <v>0.01</v>
      </c>
      <c r="K70" s="71"/>
      <c r="L70" s="71"/>
      <c r="AE70" s="69"/>
      <c r="AI70" s="71"/>
    </row>
    <row r="71" spans="1:35" x14ac:dyDescent="0.25">
      <c r="A71">
        <v>2026</v>
      </c>
      <c r="B71" s="279">
        <v>46235</v>
      </c>
      <c r="C71" t="s">
        <v>14</v>
      </c>
      <c r="D71" t="s">
        <v>1402</v>
      </c>
      <c r="E71" t="s">
        <v>1409</v>
      </c>
      <c r="F71">
        <v>20260805</v>
      </c>
      <c r="G71" s="293">
        <v>0.01</v>
      </c>
      <c r="H71" s="70">
        <f>IFERROR(ExtrapBudget2[[#This Row],[Montant]]/VLOOKUP(ExtrapBudget2[[#This Row],[Cat_3]],TamponBudget2[],4,FALSE),"")</f>
        <v>12</v>
      </c>
      <c r="I71" s="293">
        <v>0.01</v>
      </c>
      <c r="K71" s="71"/>
      <c r="L71" s="71"/>
      <c r="AE71" s="69"/>
      <c r="AI71" s="71"/>
    </row>
    <row r="72" spans="1:35" x14ac:dyDescent="0.25">
      <c r="A72">
        <v>2026</v>
      </c>
      <c r="B72" s="279">
        <v>46235</v>
      </c>
      <c r="C72" t="s">
        <v>14</v>
      </c>
      <c r="D72" t="s">
        <v>1403</v>
      </c>
      <c r="E72" t="s">
        <v>1410</v>
      </c>
      <c r="F72">
        <v>20260806</v>
      </c>
      <c r="G72" s="293">
        <v>0.01</v>
      </c>
      <c r="H72" s="70">
        <f>IFERROR(ExtrapBudget2[[#This Row],[Montant]]/VLOOKUP(ExtrapBudget2[[#This Row],[Cat_3]],TamponBudget2[],4,FALSE),"")</f>
        <v>12</v>
      </c>
      <c r="I72" s="293">
        <v>0.01</v>
      </c>
      <c r="K72" s="71"/>
      <c r="L72" s="71"/>
      <c r="AE72" s="69"/>
      <c r="AI72" s="71"/>
    </row>
    <row r="73" spans="1:35" x14ac:dyDescent="0.25">
      <c r="A73">
        <v>2026</v>
      </c>
      <c r="B73" s="279">
        <v>46235</v>
      </c>
      <c r="C73" t="s">
        <v>14</v>
      </c>
      <c r="D73" t="s">
        <v>1404</v>
      </c>
      <c r="E73" t="s">
        <v>1411</v>
      </c>
      <c r="F73">
        <v>20260807</v>
      </c>
      <c r="G73" s="293">
        <v>0.01</v>
      </c>
      <c r="H73" s="70">
        <f>IFERROR(ExtrapBudget2[[#This Row],[Montant]]/VLOOKUP(ExtrapBudget2[[#This Row],[Cat_3]],TamponBudget2[],4,FALSE),"")</f>
        <v>12</v>
      </c>
      <c r="I73" s="293">
        <v>0.01</v>
      </c>
      <c r="K73" s="71"/>
      <c r="L73" s="71"/>
      <c r="AE73" s="69"/>
      <c r="AI73" s="71"/>
    </row>
    <row r="74" spans="1:35" x14ac:dyDescent="0.25">
      <c r="A74">
        <v>2026</v>
      </c>
      <c r="B74" s="279">
        <v>46235</v>
      </c>
      <c r="C74" t="s">
        <v>14</v>
      </c>
      <c r="D74" t="s">
        <v>1405</v>
      </c>
      <c r="E74" t="s">
        <v>1412</v>
      </c>
      <c r="F74">
        <v>20260808</v>
      </c>
      <c r="G74" s="293">
        <v>0.01</v>
      </c>
      <c r="H74" s="70">
        <f>IFERROR(ExtrapBudget2[[#This Row],[Montant]]/VLOOKUP(ExtrapBudget2[[#This Row],[Cat_3]],TamponBudget2[],4,FALSE),"")</f>
        <v>12</v>
      </c>
      <c r="I74" s="293">
        <v>0.01</v>
      </c>
      <c r="K74" s="71"/>
      <c r="L74" s="71"/>
      <c r="AE74" s="69"/>
      <c r="AI74" s="71"/>
    </row>
    <row r="75" spans="1:35" x14ac:dyDescent="0.25">
      <c r="A75">
        <v>2026</v>
      </c>
      <c r="B75" s="279">
        <v>46235</v>
      </c>
      <c r="C75" t="s">
        <v>14</v>
      </c>
      <c r="D75" t="s">
        <v>1406</v>
      </c>
      <c r="E75" t="s">
        <v>1414</v>
      </c>
      <c r="F75">
        <v>20260809</v>
      </c>
      <c r="G75" s="293">
        <v>0.01</v>
      </c>
      <c r="H75" s="70">
        <f>IFERROR(ExtrapBudget2[[#This Row],[Montant]]/VLOOKUP(ExtrapBudget2[[#This Row],[Cat_3]],TamponBudget2[],4,FALSE),"")</f>
        <v>12</v>
      </c>
      <c r="I75" s="293">
        <v>0.01</v>
      </c>
      <c r="K75" s="71"/>
      <c r="L75" s="71"/>
      <c r="AE75" s="69"/>
      <c r="AI75" s="71"/>
    </row>
    <row r="76" spans="1:35" x14ac:dyDescent="0.25">
      <c r="A76">
        <v>2026</v>
      </c>
      <c r="B76" s="279">
        <v>46235</v>
      </c>
      <c r="C76" t="s">
        <v>14</v>
      </c>
      <c r="D76" t="s">
        <v>1407</v>
      </c>
      <c r="E76" t="s">
        <v>1413</v>
      </c>
      <c r="F76">
        <v>20260810</v>
      </c>
      <c r="G76" s="293">
        <v>0.01</v>
      </c>
      <c r="H76" s="70">
        <f>IFERROR(ExtrapBudget2[[#This Row],[Montant]]/VLOOKUP(ExtrapBudget2[[#This Row],[Cat_3]],TamponBudget2[],4,FALSE),"")</f>
        <v>12</v>
      </c>
      <c r="I76" s="293">
        <v>0.01</v>
      </c>
      <c r="K76" s="71"/>
      <c r="L76" s="71"/>
      <c r="AE76" s="69"/>
      <c r="AI76" s="71"/>
    </row>
    <row r="77" spans="1:35" x14ac:dyDescent="0.25">
      <c r="A77">
        <v>2026</v>
      </c>
      <c r="B77" s="279">
        <v>46266</v>
      </c>
      <c r="C77" t="s">
        <v>13</v>
      </c>
      <c r="D77" t="s">
        <v>1332</v>
      </c>
      <c r="E77" t="s">
        <v>1415</v>
      </c>
      <c r="F77">
        <v>20260901</v>
      </c>
      <c r="G77" s="293">
        <v>0.01</v>
      </c>
      <c r="H77" s="70">
        <f>IFERROR(ExtrapBudget2[[#This Row],[Montant]]/VLOOKUP(ExtrapBudget2[[#This Row],[Cat_3]],TamponBudget2[],4,FALSE),"")</f>
        <v>12</v>
      </c>
      <c r="I77" s="293">
        <v>0.01</v>
      </c>
      <c r="K77" s="71"/>
      <c r="L77" s="71"/>
      <c r="AE77" s="69"/>
      <c r="AI77" s="71"/>
    </row>
    <row r="78" spans="1:35" x14ac:dyDescent="0.25">
      <c r="A78">
        <v>2026</v>
      </c>
      <c r="B78" s="279">
        <v>46266</v>
      </c>
      <c r="C78" t="s">
        <v>13</v>
      </c>
      <c r="D78" t="s">
        <v>1331</v>
      </c>
      <c r="E78" t="s">
        <v>659</v>
      </c>
      <c r="F78">
        <v>20260902</v>
      </c>
      <c r="G78" s="293">
        <v>0.01</v>
      </c>
      <c r="H78" s="70">
        <f>IFERROR(ExtrapBudget2[[#This Row],[Montant]]/VLOOKUP(ExtrapBudget2[[#This Row],[Cat_3]],TamponBudget2[],4,FALSE),"")</f>
        <v>12</v>
      </c>
      <c r="I78" s="293">
        <v>0.01</v>
      </c>
      <c r="K78" s="71"/>
      <c r="L78" s="71"/>
      <c r="AE78" s="69"/>
      <c r="AI78" s="71"/>
    </row>
    <row r="79" spans="1:35" x14ac:dyDescent="0.25">
      <c r="A79">
        <v>2026</v>
      </c>
      <c r="B79" s="279">
        <v>46266</v>
      </c>
      <c r="C79" t="s">
        <v>13</v>
      </c>
      <c r="D79" t="s">
        <v>1333</v>
      </c>
      <c r="E79" t="s">
        <v>1416</v>
      </c>
      <c r="F79">
        <v>20260903</v>
      </c>
      <c r="G79" s="293">
        <v>0.01</v>
      </c>
      <c r="H79" s="70">
        <f>IFERROR(ExtrapBudget2[[#This Row],[Montant]]/VLOOKUP(ExtrapBudget2[[#This Row],[Cat_3]],TamponBudget2[],4,FALSE),"")</f>
        <v>12</v>
      </c>
      <c r="I79" s="293">
        <v>0.01</v>
      </c>
      <c r="K79" s="71"/>
      <c r="L79" s="71"/>
      <c r="W79" s="5"/>
      <c r="AE79" s="69"/>
      <c r="AI79" s="71"/>
    </row>
    <row r="80" spans="1:35" x14ac:dyDescent="0.25">
      <c r="A80">
        <v>2026</v>
      </c>
      <c r="B80" s="279">
        <v>46266</v>
      </c>
      <c r="C80" t="s">
        <v>14</v>
      </c>
      <c r="D80" t="s">
        <v>1401</v>
      </c>
      <c r="E80" t="s">
        <v>1408</v>
      </c>
      <c r="F80">
        <v>20260904</v>
      </c>
      <c r="G80" s="293">
        <v>0.01</v>
      </c>
      <c r="H80" s="70">
        <f>IFERROR(ExtrapBudget2[[#This Row],[Montant]]/VLOOKUP(ExtrapBudget2[[#This Row],[Cat_3]],TamponBudget2[],4,FALSE),"")</f>
        <v>12</v>
      </c>
      <c r="I80" s="293">
        <v>0.01</v>
      </c>
      <c r="K80" s="71"/>
      <c r="L80" s="71"/>
      <c r="W80" s="5"/>
      <c r="AE80" s="69"/>
      <c r="AI80" s="71"/>
    </row>
    <row r="81" spans="1:35" x14ac:dyDescent="0.25">
      <c r="A81">
        <v>2026</v>
      </c>
      <c r="B81" s="279">
        <v>46266</v>
      </c>
      <c r="C81" t="s">
        <v>14</v>
      </c>
      <c r="D81" t="s">
        <v>1402</v>
      </c>
      <c r="E81" t="s">
        <v>1409</v>
      </c>
      <c r="F81">
        <v>20260905</v>
      </c>
      <c r="G81" s="293">
        <v>0.01</v>
      </c>
      <c r="H81" s="70">
        <f>IFERROR(ExtrapBudget2[[#This Row],[Montant]]/VLOOKUP(ExtrapBudget2[[#This Row],[Cat_3]],TamponBudget2[],4,FALSE),"")</f>
        <v>12</v>
      </c>
      <c r="I81" s="293">
        <v>0.01</v>
      </c>
      <c r="K81" s="71"/>
      <c r="L81" s="71"/>
      <c r="W81" s="5"/>
      <c r="AE81" s="69"/>
      <c r="AI81" s="71"/>
    </row>
    <row r="82" spans="1:35" x14ac:dyDescent="0.25">
      <c r="A82">
        <v>2026</v>
      </c>
      <c r="B82" s="279">
        <v>46266</v>
      </c>
      <c r="C82" t="s">
        <v>14</v>
      </c>
      <c r="D82" t="s">
        <v>1403</v>
      </c>
      <c r="E82" t="s">
        <v>1410</v>
      </c>
      <c r="F82">
        <v>20260906</v>
      </c>
      <c r="G82" s="293">
        <v>0.01</v>
      </c>
      <c r="H82" s="70">
        <f>IFERROR(ExtrapBudget2[[#This Row],[Montant]]/VLOOKUP(ExtrapBudget2[[#This Row],[Cat_3]],TamponBudget2[],4,FALSE),"")</f>
        <v>12</v>
      </c>
      <c r="I82" s="293">
        <v>0.01</v>
      </c>
      <c r="K82" s="71"/>
      <c r="L82" s="71"/>
      <c r="W82" s="5"/>
      <c r="AE82" s="69"/>
      <c r="AI82" s="71"/>
    </row>
    <row r="83" spans="1:35" x14ac:dyDescent="0.25">
      <c r="A83">
        <v>2026</v>
      </c>
      <c r="B83" s="279">
        <v>46266</v>
      </c>
      <c r="C83" t="s">
        <v>14</v>
      </c>
      <c r="D83" t="s">
        <v>1404</v>
      </c>
      <c r="E83" t="s">
        <v>1411</v>
      </c>
      <c r="F83">
        <v>20260907</v>
      </c>
      <c r="G83" s="293">
        <v>0.01</v>
      </c>
      <c r="H83" s="70">
        <f>IFERROR(ExtrapBudget2[[#This Row],[Montant]]/VLOOKUP(ExtrapBudget2[[#This Row],[Cat_3]],TamponBudget2[],4,FALSE),"")</f>
        <v>12</v>
      </c>
      <c r="I83" s="293">
        <v>0.01</v>
      </c>
      <c r="K83" s="71"/>
      <c r="L83" s="71"/>
      <c r="W83" s="5"/>
      <c r="AE83" s="69"/>
      <c r="AI83" s="71"/>
    </row>
    <row r="84" spans="1:35" x14ac:dyDescent="0.25">
      <c r="A84">
        <v>2026</v>
      </c>
      <c r="B84" s="279">
        <v>46266</v>
      </c>
      <c r="C84" t="s">
        <v>14</v>
      </c>
      <c r="D84" t="s">
        <v>1405</v>
      </c>
      <c r="E84" t="s">
        <v>1412</v>
      </c>
      <c r="F84">
        <v>20260908</v>
      </c>
      <c r="G84" s="293">
        <v>0.01</v>
      </c>
      <c r="H84" s="70">
        <f>IFERROR(ExtrapBudget2[[#This Row],[Montant]]/VLOOKUP(ExtrapBudget2[[#This Row],[Cat_3]],TamponBudget2[],4,FALSE),"")</f>
        <v>12</v>
      </c>
      <c r="I84" s="293">
        <v>0.01</v>
      </c>
      <c r="K84" s="71"/>
      <c r="L84" s="71"/>
      <c r="W84" s="5"/>
      <c r="AE84" s="69"/>
      <c r="AI84" s="71"/>
    </row>
    <row r="85" spans="1:35" x14ac:dyDescent="0.25">
      <c r="A85">
        <v>2026</v>
      </c>
      <c r="B85" s="279">
        <v>46266</v>
      </c>
      <c r="C85" t="s">
        <v>14</v>
      </c>
      <c r="D85" t="s">
        <v>1406</v>
      </c>
      <c r="E85" t="s">
        <v>1414</v>
      </c>
      <c r="F85">
        <v>20260909</v>
      </c>
      <c r="G85" s="293">
        <v>0.01</v>
      </c>
      <c r="H85" s="70">
        <f>IFERROR(ExtrapBudget2[[#This Row],[Montant]]/VLOOKUP(ExtrapBudget2[[#This Row],[Cat_3]],TamponBudget2[],4,FALSE),"")</f>
        <v>12</v>
      </c>
      <c r="I85" s="293">
        <v>0.01</v>
      </c>
      <c r="K85" s="71"/>
      <c r="L85" s="71"/>
      <c r="W85" s="5"/>
      <c r="AE85" s="69"/>
      <c r="AI85" s="71"/>
    </row>
    <row r="86" spans="1:35" x14ac:dyDescent="0.25">
      <c r="A86">
        <v>2026</v>
      </c>
      <c r="B86" s="279">
        <v>46266</v>
      </c>
      <c r="C86" t="s">
        <v>14</v>
      </c>
      <c r="D86" t="s">
        <v>1407</v>
      </c>
      <c r="E86" t="s">
        <v>1413</v>
      </c>
      <c r="F86">
        <v>20260910</v>
      </c>
      <c r="G86" s="293">
        <v>0.01</v>
      </c>
      <c r="H86" s="70">
        <f>IFERROR(ExtrapBudget2[[#This Row],[Montant]]/VLOOKUP(ExtrapBudget2[[#This Row],[Cat_3]],TamponBudget2[],4,FALSE),"")</f>
        <v>12</v>
      </c>
      <c r="I86" s="293">
        <v>0.01</v>
      </c>
      <c r="K86" s="71"/>
      <c r="L86" s="71"/>
      <c r="W86" s="5"/>
      <c r="AE86" s="69"/>
      <c r="AI86" s="71"/>
    </row>
    <row r="87" spans="1:35" x14ac:dyDescent="0.25">
      <c r="A87">
        <v>2026</v>
      </c>
      <c r="B87" s="279">
        <v>46296</v>
      </c>
      <c r="C87" t="s">
        <v>13</v>
      </c>
      <c r="D87" t="s">
        <v>1332</v>
      </c>
      <c r="E87" t="s">
        <v>1415</v>
      </c>
      <c r="F87">
        <v>20261001</v>
      </c>
      <c r="G87" s="293">
        <v>0.01</v>
      </c>
      <c r="H87" s="70">
        <f>IFERROR(ExtrapBudget2[[#This Row],[Montant]]/VLOOKUP(ExtrapBudget2[[#This Row],[Cat_3]],TamponBudget2[],4,FALSE),"")</f>
        <v>12</v>
      </c>
      <c r="I87" s="293">
        <v>0.01</v>
      </c>
      <c r="K87" s="71"/>
      <c r="L87" s="71"/>
      <c r="W87" s="5"/>
      <c r="AE87" s="69"/>
      <c r="AI87" s="71"/>
    </row>
    <row r="88" spans="1:35" x14ac:dyDescent="0.25">
      <c r="A88">
        <v>2026</v>
      </c>
      <c r="B88" s="279">
        <v>46296</v>
      </c>
      <c r="C88" t="s">
        <v>13</v>
      </c>
      <c r="D88" t="s">
        <v>1331</v>
      </c>
      <c r="E88" t="s">
        <v>659</v>
      </c>
      <c r="F88">
        <v>20261002</v>
      </c>
      <c r="G88" s="293">
        <v>0.01</v>
      </c>
      <c r="H88" s="70">
        <f>IFERROR(ExtrapBudget2[[#This Row],[Montant]]/VLOOKUP(ExtrapBudget2[[#This Row],[Cat_3]],TamponBudget2[],4,FALSE),"")</f>
        <v>12</v>
      </c>
      <c r="I88" s="293">
        <v>0.01</v>
      </c>
      <c r="K88" s="71"/>
      <c r="L88" s="71"/>
      <c r="W88" s="5"/>
      <c r="AE88" s="69"/>
      <c r="AI88" s="71"/>
    </row>
    <row r="89" spans="1:35" x14ac:dyDescent="0.25">
      <c r="A89">
        <v>2026</v>
      </c>
      <c r="B89" s="279">
        <v>46296</v>
      </c>
      <c r="C89" t="s">
        <v>14</v>
      </c>
      <c r="D89" t="s">
        <v>1401</v>
      </c>
      <c r="E89" t="s">
        <v>1408</v>
      </c>
      <c r="F89">
        <v>20261004</v>
      </c>
      <c r="G89" s="293">
        <v>0.01</v>
      </c>
      <c r="H89" s="70">
        <f>IFERROR(ExtrapBudget2[[#This Row],[Montant]]/VLOOKUP(ExtrapBudget2[[#This Row],[Cat_3]],TamponBudget2[],4,FALSE),"")</f>
        <v>12</v>
      </c>
      <c r="I89" s="293">
        <v>0.01</v>
      </c>
      <c r="K89" s="71"/>
      <c r="L89" s="71"/>
      <c r="W89" s="5"/>
      <c r="AE89" s="69"/>
      <c r="AI89" s="71"/>
    </row>
    <row r="90" spans="1:35" x14ac:dyDescent="0.25">
      <c r="A90">
        <v>2026</v>
      </c>
      <c r="B90" s="279">
        <v>46296</v>
      </c>
      <c r="C90" t="s">
        <v>14</v>
      </c>
      <c r="D90" t="s">
        <v>1402</v>
      </c>
      <c r="E90" t="s">
        <v>1409</v>
      </c>
      <c r="F90">
        <v>20261005</v>
      </c>
      <c r="G90" s="293">
        <v>0.01</v>
      </c>
      <c r="H90" s="70">
        <f>IFERROR(ExtrapBudget2[[#This Row],[Montant]]/VLOOKUP(ExtrapBudget2[[#This Row],[Cat_3]],TamponBudget2[],4,FALSE),"")</f>
        <v>12</v>
      </c>
      <c r="I90" s="293">
        <v>0.01</v>
      </c>
      <c r="K90" s="71"/>
      <c r="L90" s="71"/>
      <c r="W90" s="5"/>
      <c r="AE90" s="69"/>
      <c r="AI90" s="71"/>
    </row>
    <row r="91" spans="1:35" x14ac:dyDescent="0.25">
      <c r="A91">
        <v>2026</v>
      </c>
      <c r="B91" s="279">
        <v>46296</v>
      </c>
      <c r="C91" t="s">
        <v>14</v>
      </c>
      <c r="D91" t="s">
        <v>1403</v>
      </c>
      <c r="E91" t="s">
        <v>1410</v>
      </c>
      <c r="F91">
        <v>20261006</v>
      </c>
      <c r="G91" s="293">
        <v>0.01</v>
      </c>
      <c r="H91" s="70">
        <f>IFERROR(ExtrapBudget2[[#This Row],[Montant]]/VLOOKUP(ExtrapBudget2[[#This Row],[Cat_3]],TamponBudget2[],4,FALSE),"")</f>
        <v>12</v>
      </c>
      <c r="I91" s="293">
        <v>0.01</v>
      </c>
      <c r="K91" s="71"/>
      <c r="L91" s="71"/>
      <c r="W91" s="5"/>
      <c r="AE91" s="69"/>
      <c r="AI91" s="71"/>
    </row>
    <row r="92" spans="1:35" x14ac:dyDescent="0.25">
      <c r="A92">
        <v>2026</v>
      </c>
      <c r="B92" s="279">
        <v>46296</v>
      </c>
      <c r="C92" t="s">
        <v>14</v>
      </c>
      <c r="D92" t="s">
        <v>1404</v>
      </c>
      <c r="E92" t="s">
        <v>1411</v>
      </c>
      <c r="F92">
        <v>20261007</v>
      </c>
      <c r="G92" s="293">
        <v>0.01</v>
      </c>
      <c r="H92" s="70">
        <f>IFERROR(ExtrapBudget2[[#This Row],[Montant]]/VLOOKUP(ExtrapBudget2[[#This Row],[Cat_3]],TamponBudget2[],4,FALSE),"")</f>
        <v>12</v>
      </c>
      <c r="I92" s="293">
        <v>0.01</v>
      </c>
      <c r="K92" s="71"/>
      <c r="L92" s="71"/>
      <c r="W92" s="5"/>
      <c r="AE92" s="69"/>
      <c r="AI92" s="71"/>
    </row>
    <row r="93" spans="1:35" x14ac:dyDescent="0.25">
      <c r="A93">
        <v>2026</v>
      </c>
      <c r="B93" s="279">
        <v>46296</v>
      </c>
      <c r="C93" t="s">
        <v>14</v>
      </c>
      <c r="D93" t="s">
        <v>1405</v>
      </c>
      <c r="E93" t="s">
        <v>1412</v>
      </c>
      <c r="F93">
        <v>20261008</v>
      </c>
      <c r="G93" s="293">
        <v>0.01</v>
      </c>
      <c r="H93" s="70">
        <f>IFERROR(ExtrapBudget2[[#This Row],[Montant]]/VLOOKUP(ExtrapBudget2[[#This Row],[Cat_3]],TamponBudget2[],4,FALSE),"")</f>
        <v>12</v>
      </c>
      <c r="I93" s="293">
        <v>0.01</v>
      </c>
      <c r="K93" s="71"/>
      <c r="L93" s="71"/>
      <c r="W93" s="5"/>
      <c r="AE93" s="69"/>
      <c r="AI93" s="71"/>
    </row>
    <row r="94" spans="1:35" x14ac:dyDescent="0.25">
      <c r="A94">
        <v>2026</v>
      </c>
      <c r="B94" s="279">
        <v>46296</v>
      </c>
      <c r="C94" t="s">
        <v>14</v>
      </c>
      <c r="D94" t="s">
        <v>1406</v>
      </c>
      <c r="E94" t="s">
        <v>1414</v>
      </c>
      <c r="F94">
        <v>20261009</v>
      </c>
      <c r="G94" s="293">
        <v>0.01</v>
      </c>
      <c r="H94" s="70">
        <f>IFERROR(ExtrapBudget2[[#This Row],[Montant]]/VLOOKUP(ExtrapBudget2[[#This Row],[Cat_3]],TamponBudget2[],4,FALSE),"")</f>
        <v>12</v>
      </c>
      <c r="I94" s="293">
        <v>0.01</v>
      </c>
      <c r="K94" s="71"/>
      <c r="L94" s="71"/>
      <c r="W94" s="5"/>
      <c r="AE94" s="69"/>
      <c r="AI94" s="71"/>
    </row>
    <row r="95" spans="1:35" x14ac:dyDescent="0.25">
      <c r="A95">
        <v>2026</v>
      </c>
      <c r="B95" s="279">
        <v>46296</v>
      </c>
      <c r="C95" t="s">
        <v>14</v>
      </c>
      <c r="D95" t="s">
        <v>1407</v>
      </c>
      <c r="E95" t="s">
        <v>1413</v>
      </c>
      <c r="F95">
        <v>20261010</v>
      </c>
      <c r="G95" s="293">
        <v>0.01</v>
      </c>
      <c r="H95" s="70">
        <f>IFERROR(ExtrapBudget2[[#This Row],[Montant]]/VLOOKUP(ExtrapBudget2[[#This Row],[Cat_3]],TamponBudget2[],4,FALSE),"")</f>
        <v>12</v>
      </c>
      <c r="I95" s="293">
        <v>0.01</v>
      </c>
      <c r="K95" s="71"/>
      <c r="L95" s="71"/>
      <c r="W95" s="5"/>
      <c r="AE95" s="69"/>
      <c r="AI95" s="71"/>
    </row>
    <row r="96" spans="1:35" x14ac:dyDescent="0.25">
      <c r="A96">
        <v>2026</v>
      </c>
      <c r="B96" s="279">
        <v>46327</v>
      </c>
      <c r="C96" t="s">
        <v>13</v>
      </c>
      <c r="D96" t="s">
        <v>1332</v>
      </c>
      <c r="E96" t="s">
        <v>1415</v>
      </c>
      <c r="F96">
        <v>20261101</v>
      </c>
      <c r="G96" s="293">
        <v>0.01</v>
      </c>
      <c r="H96" s="70">
        <f>IFERROR(ExtrapBudget2[[#This Row],[Montant]]/VLOOKUP(ExtrapBudget2[[#This Row],[Cat_3]],TamponBudget2[],4,FALSE),"")</f>
        <v>12</v>
      </c>
      <c r="I96" s="293">
        <v>0.01</v>
      </c>
      <c r="K96" s="71"/>
      <c r="L96" s="71"/>
      <c r="W96" s="5"/>
      <c r="AE96" s="69"/>
      <c r="AI96" s="71"/>
    </row>
    <row r="97" spans="1:35" x14ac:dyDescent="0.25">
      <c r="A97">
        <v>2026</v>
      </c>
      <c r="B97" s="279">
        <v>46327</v>
      </c>
      <c r="C97" t="s">
        <v>13</v>
      </c>
      <c r="D97" t="s">
        <v>1331</v>
      </c>
      <c r="E97" t="s">
        <v>659</v>
      </c>
      <c r="F97">
        <v>20261102</v>
      </c>
      <c r="G97" s="293">
        <v>0.01</v>
      </c>
      <c r="H97" s="70">
        <f>IFERROR(ExtrapBudget2[[#This Row],[Montant]]/VLOOKUP(ExtrapBudget2[[#This Row],[Cat_3]],TamponBudget2[],4,FALSE),"")</f>
        <v>12</v>
      </c>
      <c r="I97" s="293">
        <v>0.01</v>
      </c>
      <c r="K97" s="71"/>
      <c r="L97" s="71"/>
      <c r="W97" s="5"/>
      <c r="AE97" s="69"/>
      <c r="AI97" s="71"/>
    </row>
    <row r="98" spans="1:35" x14ac:dyDescent="0.25">
      <c r="A98">
        <v>2026</v>
      </c>
      <c r="B98" s="279">
        <v>46327</v>
      </c>
      <c r="C98" t="s">
        <v>14</v>
      </c>
      <c r="D98" t="s">
        <v>1401</v>
      </c>
      <c r="E98" t="s">
        <v>1408</v>
      </c>
      <c r="F98">
        <v>20261104</v>
      </c>
      <c r="G98" s="293">
        <v>0.01</v>
      </c>
      <c r="H98" s="70">
        <f>IFERROR(ExtrapBudget2[[#This Row],[Montant]]/VLOOKUP(ExtrapBudget2[[#This Row],[Cat_3]],TamponBudget2[],4,FALSE),"")</f>
        <v>12</v>
      </c>
      <c r="I98" s="293">
        <v>0.01</v>
      </c>
      <c r="K98" s="71"/>
      <c r="L98" s="71"/>
      <c r="W98" s="5"/>
      <c r="AE98" s="69"/>
      <c r="AI98" s="71"/>
    </row>
    <row r="99" spans="1:35" x14ac:dyDescent="0.25">
      <c r="A99">
        <v>2026</v>
      </c>
      <c r="B99" s="279">
        <v>46327</v>
      </c>
      <c r="C99" t="s">
        <v>14</v>
      </c>
      <c r="D99" t="s">
        <v>1402</v>
      </c>
      <c r="E99" t="s">
        <v>1409</v>
      </c>
      <c r="F99">
        <v>20261105</v>
      </c>
      <c r="G99" s="293">
        <v>0.01</v>
      </c>
      <c r="H99" s="70">
        <f>IFERROR(ExtrapBudget2[[#This Row],[Montant]]/VLOOKUP(ExtrapBudget2[[#This Row],[Cat_3]],TamponBudget2[],4,FALSE),"")</f>
        <v>12</v>
      </c>
      <c r="I99" s="293">
        <v>0.01</v>
      </c>
      <c r="K99" s="71"/>
      <c r="L99" s="71"/>
      <c r="W99" s="5"/>
      <c r="AE99" s="69"/>
      <c r="AI99" s="71"/>
    </row>
    <row r="100" spans="1:35" x14ac:dyDescent="0.25">
      <c r="A100">
        <v>2026</v>
      </c>
      <c r="B100" s="279">
        <v>46327</v>
      </c>
      <c r="C100" t="s">
        <v>14</v>
      </c>
      <c r="D100" t="s">
        <v>1403</v>
      </c>
      <c r="E100" t="s">
        <v>1410</v>
      </c>
      <c r="F100">
        <v>20261106</v>
      </c>
      <c r="G100" s="293">
        <v>0.01</v>
      </c>
      <c r="H100" s="70">
        <f>IFERROR(ExtrapBudget2[[#This Row],[Montant]]/VLOOKUP(ExtrapBudget2[[#This Row],[Cat_3]],TamponBudget2[],4,FALSE),"")</f>
        <v>12</v>
      </c>
      <c r="I100" s="293">
        <v>0.01</v>
      </c>
      <c r="K100" s="71"/>
      <c r="L100" s="71"/>
      <c r="W100" s="5"/>
      <c r="AE100" s="69"/>
      <c r="AI100" s="71"/>
    </row>
    <row r="101" spans="1:35" x14ac:dyDescent="0.25">
      <c r="A101">
        <v>2026</v>
      </c>
      <c r="B101" s="279">
        <v>46327</v>
      </c>
      <c r="C101" t="s">
        <v>14</v>
      </c>
      <c r="D101" t="s">
        <v>1404</v>
      </c>
      <c r="E101" t="s">
        <v>1411</v>
      </c>
      <c r="F101">
        <v>20261107</v>
      </c>
      <c r="G101" s="293">
        <v>0.01</v>
      </c>
      <c r="H101" s="70">
        <f>IFERROR(ExtrapBudget2[[#This Row],[Montant]]/VLOOKUP(ExtrapBudget2[[#This Row],[Cat_3]],TamponBudget2[],4,FALSE),"")</f>
        <v>12</v>
      </c>
      <c r="I101" s="293">
        <v>0.01</v>
      </c>
      <c r="K101" s="71"/>
      <c r="L101" s="71"/>
      <c r="W101" s="5"/>
      <c r="AE101" s="69"/>
      <c r="AI101" s="71"/>
    </row>
    <row r="102" spans="1:35" x14ac:dyDescent="0.25">
      <c r="A102">
        <v>2026</v>
      </c>
      <c r="B102" s="279">
        <v>46327</v>
      </c>
      <c r="C102" t="s">
        <v>14</v>
      </c>
      <c r="D102" t="s">
        <v>1405</v>
      </c>
      <c r="E102" t="s">
        <v>1412</v>
      </c>
      <c r="F102">
        <v>20261108</v>
      </c>
      <c r="G102" s="293">
        <v>0.01</v>
      </c>
      <c r="H102" s="70">
        <f>IFERROR(ExtrapBudget2[[#This Row],[Montant]]/VLOOKUP(ExtrapBudget2[[#This Row],[Cat_3]],TamponBudget2[],4,FALSE),"")</f>
        <v>12</v>
      </c>
      <c r="I102" s="293">
        <v>0.01</v>
      </c>
      <c r="K102" s="71"/>
      <c r="L102" s="71"/>
      <c r="W102" s="5"/>
      <c r="AE102" s="69"/>
      <c r="AI102" s="71"/>
    </row>
    <row r="103" spans="1:35" x14ac:dyDescent="0.25">
      <c r="A103">
        <v>2026</v>
      </c>
      <c r="B103" s="279">
        <v>46327</v>
      </c>
      <c r="C103" t="s">
        <v>14</v>
      </c>
      <c r="D103" t="s">
        <v>1406</v>
      </c>
      <c r="E103" t="s">
        <v>1414</v>
      </c>
      <c r="F103">
        <v>20261109</v>
      </c>
      <c r="G103" s="293">
        <v>0.01</v>
      </c>
      <c r="H103" s="70">
        <f>IFERROR(ExtrapBudget2[[#This Row],[Montant]]/VLOOKUP(ExtrapBudget2[[#This Row],[Cat_3]],TamponBudget2[],4,FALSE),"")</f>
        <v>12</v>
      </c>
      <c r="I103" s="293">
        <v>0.01</v>
      </c>
      <c r="K103" s="71"/>
      <c r="L103" s="71"/>
      <c r="W103" s="5"/>
      <c r="AE103" s="69"/>
      <c r="AI103" s="71"/>
    </row>
    <row r="104" spans="1:35" x14ac:dyDescent="0.25">
      <c r="A104">
        <v>2026</v>
      </c>
      <c r="B104" s="279">
        <v>46327</v>
      </c>
      <c r="C104" t="s">
        <v>14</v>
      </c>
      <c r="D104" t="s">
        <v>1407</v>
      </c>
      <c r="E104" t="s">
        <v>1413</v>
      </c>
      <c r="F104">
        <v>20261110</v>
      </c>
      <c r="G104" s="293">
        <v>0.01</v>
      </c>
      <c r="H104" s="70">
        <f>IFERROR(ExtrapBudget2[[#This Row],[Montant]]/VLOOKUP(ExtrapBudget2[[#This Row],[Cat_3]],TamponBudget2[],4,FALSE),"")</f>
        <v>12</v>
      </c>
      <c r="I104" s="293">
        <v>0.01</v>
      </c>
      <c r="K104" s="71"/>
      <c r="L104" s="71"/>
      <c r="W104" s="5"/>
      <c r="AE104" s="69"/>
      <c r="AI104" s="71"/>
    </row>
    <row r="105" spans="1:35" x14ac:dyDescent="0.25">
      <c r="A105">
        <v>2026</v>
      </c>
      <c r="B105" s="279">
        <v>46357</v>
      </c>
      <c r="C105" t="s">
        <v>13</v>
      </c>
      <c r="D105" t="s">
        <v>1332</v>
      </c>
      <c r="E105" t="s">
        <v>1415</v>
      </c>
      <c r="F105">
        <v>20261201</v>
      </c>
      <c r="G105" s="293">
        <v>0.01</v>
      </c>
      <c r="H105" s="70">
        <f>IFERROR(ExtrapBudget2[[#This Row],[Montant]]/VLOOKUP(ExtrapBudget2[[#This Row],[Cat_3]],TamponBudget2[],4,FALSE),"")</f>
        <v>12</v>
      </c>
      <c r="I105" s="293">
        <v>0.01</v>
      </c>
      <c r="K105" s="71"/>
      <c r="L105" s="71"/>
      <c r="W105" s="5"/>
      <c r="AE105" s="69"/>
      <c r="AI105" s="71"/>
    </row>
    <row r="106" spans="1:35" x14ac:dyDescent="0.25">
      <c r="A106">
        <v>2026</v>
      </c>
      <c r="B106" s="279">
        <v>46357</v>
      </c>
      <c r="C106" t="s">
        <v>13</v>
      </c>
      <c r="D106" t="s">
        <v>1331</v>
      </c>
      <c r="E106" t="s">
        <v>659</v>
      </c>
      <c r="F106">
        <v>20261202</v>
      </c>
      <c r="G106" s="293">
        <v>0.01</v>
      </c>
      <c r="H106" s="70">
        <f>IFERROR(ExtrapBudget2[[#This Row],[Montant]]/VLOOKUP(ExtrapBudget2[[#This Row],[Cat_3]],TamponBudget2[],4,FALSE),"")</f>
        <v>12</v>
      </c>
      <c r="I106" s="293">
        <v>0.01</v>
      </c>
      <c r="K106" s="71"/>
      <c r="L106" s="71"/>
      <c r="W106" s="5"/>
      <c r="AE106" s="69"/>
      <c r="AI106" s="71"/>
    </row>
    <row r="107" spans="1:35" x14ac:dyDescent="0.25">
      <c r="A107">
        <v>2026</v>
      </c>
      <c r="B107" s="279">
        <v>46357</v>
      </c>
      <c r="C107" t="s">
        <v>14</v>
      </c>
      <c r="D107" t="s">
        <v>1401</v>
      </c>
      <c r="E107" t="s">
        <v>1408</v>
      </c>
      <c r="F107">
        <v>20261204</v>
      </c>
      <c r="G107" s="293">
        <v>0.01</v>
      </c>
      <c r="H107" s="70">
        <f>IFERROR(ExtrapBudget2[[#This Row],[Montant]]/VLOOKUP(ExtrapBudget2[[#This Row],[Cat_3]],TamponBudget2[],4,FALSE),"")</f>
        <v>12</v>
      </c>
      <c r="I107" s="293">
        <v>0.01</v>
      </c>
      <c r="K107" s="71"/>
      <c r="L107" s="71"/>
      <c r="W107" s="5"/>
      <c r="AE107" s="69"/>
      <c r="AI107" s="71"/>
    </row>
    <row r="108" spans="1:35" x14ac:dyDescent="0.25">
      <c r="A108">
        <v>2026</v>
      </c>
      <c r="B108" s="279">
        <v>46357</v>
      </c>
      <c r="C108" t="s">
        <v>14</v>
      </c>
      <c r="D108" t="s">
        <v>1402</v>
      </c>
      <c r="E108" t="s">
        <v>1409</v>
      </c>
      <c r="F108">
        <v>20261205</v>
      </c>
      <c r="G108" s="293">
        <v>0.01</v>
      </c>
      <c r="H108" s="70">
        <f>IFERROR(ExtrapBudget2[[#This Row],[Montant]]/VLOOKUP(ExtrapBudget2[[#This Row],[Cat_3]],TamponBudget2[],4,FALSE),"")</f>
        <v>12</v>
      </c>
      <c r="I108" s="293">
        <v>0.01</v>
      </c>
      <c r="K108" s="71"/>
      <c r="L108" s="71"/>
      <c r="W108" s="5"/>
      <c r="AE108" s="69"/>
      <c r="AI108" s="71"/>
    </row>
    <row r="109" spans="1:35" x14ac:dyDescent="0.25">
      <c r="A109">
        <v>2026</v>
      </c>
      <c r="B109" s="279">
        <v>46357</v>
      </c>
      <c r="C109" t="s">
        <v>14</v>
      </c>
      <c r="D109" t="s">
        <v>1403</v>
      </c>
      <c r="E109" t="s">
        <v>1410</v>
      </c>
      <c r="F109">
        <v>20261206</v>
      </c>
      <c r="G109" s="293">
        <v>0.01</v>
      </c>
      <c r="H109" s="70">
        <f>IFERROR(ExtrapBudget2[[#This Row],[Montant]]/VLOOKUP(ExtrapBudget2[[#This Row],[Cat_3]],TamponBudget2[],4,FALSE),"")</f>
        <v>12</v>
      </c>
      <c r="I109" s="293">
        <v>0.01</v>
      </c>
      <c r="K109" s="71"/>
      <c r="L109" s="71"/>
      <c r="W109" s="5"/>
      <c r="AE109" s="69"/>
      <c r="AI109" s="71"/>
    </row>
    <row r="110" spans="1:35" x14ac:dyDescent="0.25">
      <c r="A110">
        <v>2026</v>
      </c>
      <c r="B110" s="279">
        <v>46357</v>
      </c>
      <c r="C110" t="s">
        <v>14</v>
      </c>
      <c r="D110" t="s">
        <v>1404</v>
      </c>
      <c r="E110" t="s">
        <v>1411</v>
      </c>
      <c r="F110">
        <v>20261207</v>
      </c>
      <c r="G110" s="293">
        <v>0.01</v>
      </c>
      <c r="H110" s="70">
        <f>IFERROR(ExtrapBudget2[[#This Row],[Montant]]/VLOOKUP(ExtrapBudget2[[#This Row],[Cat_3]],TamponBudget2[],4,FALSE),"")</f>
        <v>12</v>
      </c>
      <c r="I110" s="293">
        <v>0.01</v>
      </c>
      <c r="K110" s="71"/>
      <c r="L110" s="71"/>
      <c r="W110" s="5"/>
      <c r="AE110" s="69"/>
      <c r="AI110" s="71"/>
    </row>
    <row r="111" spans="1:35" x14ac:dyDescent="0.25">
      <c r="A111">
        <v>2026</v>
      </c>
      <c r="B111" s="279">
        <v>46357</v>
      </c>
      <c r="C111" t="s">
        <v>14</v>
      </c>
      <c r="D111" t="s">
        <v>1405</v>
      </c>
      <c r="E111" t="s">
        <v>1412</v>
      </c>
      <c r="F111">
        <v>20261208</v>
      </c>
      <c r="G111" s="293">
        <v>0.01</v>
      </c>
      <c r="H111" s="70">
        <f>IFERROR(ExtrapBudget2[[#This Row],[Montant]]/VLOOKUP(ExtrapBudget2[[#This Row],[Cat_3]],TamponBudget2[],4,FALSE),"")</f>
        <v>12</v>
      </c>
      <c r="I111" s="293">
        <v>0.01</v>
      </c>
      <c r="K111" s="71"/>
      <c r="L111" s="71"/>
      <c r="W111" s="5"/>
      <c r="AE111" s="69"/>
      <c r="AI111" s="71"/>
    </row>
    <row r="112" spans="1:35" x14ac:dyDescent="0.25">
      <c r="A112">
        <v>2026</v>
      </c>
      <c r="B112" s="279">
        <v>46357</v>
      </c>
      <c r="C112" t="s">
        <v>14</v>
      </c>
      <c r="D112" t="s">
        <v>1406</v>
      </c>
      <c r="E112" t="s">
        <v>1414</v>
      </c>
      <c r="F112">
        <v>20261209</v>
      </c>
      <c r="G112" s="293">
        <v>0.01</v>
      </c>
      <c r="H112" s="70">
        <f>IFERROR(ExtrapBudget2[[#This Row],[Montant]]/VLOOKUP(ExtrapBudget2[[#This Row],[Cat_3]],TamponBudget2[],4,FALSE),"")</f>
        <v>12</v>
      </c>
      <c r="I112" s="293">
        <v>0.01</v>
      </c>
      <c r="K112" s="71"/>
      <c r="L112" s="71"/>
      <c r="W112" s="5"/>
      <c r="AE112" s="69"/>
      <c r="AI112" s="71"/>
    </row>
    <row r="113" spans="1:35" x14ac:dyDescent="0.25">
      <c r="A113">
        <v>2026</v>
      </c>
      <c r="B113" s="279">
        <v>46357</v>
      </c>
      <c r="C113" t="s">
        <v>14</v>
      </c>
      <c r="D113" t="s">
        <v>1407</v>
      </c>
      <c r="E113" t="s">
        <v>1413</v>
      </c>
      <c r="F113">
        <v>20261210</v>
      </c>
      <c r="G113" s="293">
        <v>0.01</v>
      </c>
      <c r="H113" s="70">
        <f>IFERROR(ExtrapBudget2[[#This Row],[Montant]]/VLOOKUP(ExtrapBudget2[[#This Row],[Cat_3]],TamponBudget2[],4,FALSE),"")</f>
        <v>12</v>
      </c>
      <c r="I113" s="293">
        <v>0.01</v>
      </c>
      <c r="K113" s="71"/>
      <c r="L113" s="71"/>
      <c r="W113" s="5"/>
      <c r="AE113" s="69"/>
      <c r="AI113" s="71"/>
    </row>
    <row r="114" spans="1:35" x14ac:dyDescent="0.25">
      <c r="B114" s="316"/>
      <c r="G114" s="71"/>
      <c r="H114" s="70"/>
      <c r="I114" s="71"/>
      <c r="K114" s="71"/>
      <c r="L114" s="71"/>
      <c r="W114" s="5"/>
      <c r="AE114" s="69"/>
      <c r="AI114" s="71"/>
    </row>
    <row r="115" spans="1:35" x14ac:dyDescent="0.25">
      <c r="B115" s="316"/>
      <c r="G115" s="71"/>
      <c r="H115" s="70"/>
      <c r="I115" s="71"/>
      <c r="K115" s="71"/>
      <c r="L115" s="71"/>
      <c r="W115" s="5"/>
      <c r="AE115" s="69"/>
      <c r="AI115" s="71"/>
    </row>
    <row r="116" spans="1:35" x14ac:dyDescent="0.25">
      <c r="B116" s="316"/>
      <c r="G116" s="71"/>
      <c r="H116" s="70"/>
      <c r="I116" s="71"/>
      <c r="K116" s="71"/>
      <c r="L116" s="71"/>
      <c r="W116" s="5"/>
      <c r="AE116" s="69"/>
      <c r="AI116" s="71"/>
    </row>
    <row r="117" spans="1:35" x14ac:dyDescent="0.25">
      <c r="B117" s="316"/>
      <c r="G117" s="71"/>
      <c r="H117" s="70"/>
      <c r="I117" s="71"/>
      <c r="K117" s="71"/>
      <c r="L117" s="71"/>
      <c r="W117" s="5"/>
      <c r="AE117" s="69"/>
      <c r="AI117" s="71"/>
    </row>
    <row r="118" spans="1:35" x14ac:dyDescent="0.25">
      <c r="B118" s="316"/>
      <c r="G118" s="71"/>
      <c r="H118" s="70"/>
      <c r="I118" s="71"/>
      <c r="K118" s="71"/>
      <c r="L118" s="71"/>
      <c r="W118" s="5"/>
      <c r="AE118" s="69"/>
      <c r="AI118" s="71"/>
    </row>
    <row r="119" spans="1:35" x14ac:dyDescent="0.25">
      <c r="B119" s="316"/>
      <c r="G119" s="71"/>
      <c r="H119" s="70"/>
      <c r="I119" s="71"/>
      <c r="K119" s="71"/>
      <c r="L119" s="71"/>
      <c r="W119" s="5"/>
      <c r="AE119" s="69"/>
      <c r="AI119" s="71"/>
    </row>
    <row r="120" spans="1:35" x14ac:dyDescent="0.25">
      <c r="B120" s="316"/>
      <c r="G120" s="71"/>
      <c r="H120" s="70"/>
      <c r="I120" s="71"/>
      <c r="K120" s="71"/>
      <c r="L120" s="71"/>
      <c r="W120" s="5"/>
      <c r="AE120" s="69"/>
      <c r="AI120" s="71"/>
    </row>
    <row r="121" spans="1:35" x14ac:dyDescent="0.25">
      <c r="B121" s="316"/>
      <c r="G121" s="71"/>
      <c r="H121" s="70"/>
      <c r="I121" s="71"/>
      <c r="K121" s="71"/>
      <c r="L121" s="71"/>
      <c r="W121" s="5"/>
      <c r="AE121" s="69"/>
      <c r="AI121" s="71"/>
    </row>
    <row r="122" spans="1:35" x14ac:dyDescent="0.25">
      <c r="B122" s="316"/>
      <c r="G122" s="71"/>
      <c r="H122" s="70"/>
      <c r="I122" s="71"/>
      <c r="K122" s="71"/>
      <c r="L122" s="71"/>
      <c r="W122" s="5"/>
      <c r="AE122" s="69"/>
      <c r="AI122" s="71"/>
    </row>
    <row r="123" spans="1:35" x14ac:dyDescent="0.25">
      <c r="B123" s="316"/>
      <c r="G123" s="71"/>
      <c r="H123" s="70"/>
      <c r="I123" s="71"/>
      <c r="K123" s="71"/>
      <c r="L123" s="71"/>
      <c r="W123" s="5"/>
      <c r="AE123" s="69"/>
      <c r="AI123" s="71"/>
    </row>
    <row r="124" spans="1:35" x14ac:dyDescent="0.25">
      <c r="B124" s="316"/>
      <c r="G124" s="71"/>
      <c r="H124" s="70"/>
      <c r="I124" s="71"/>
      <c r="K124" s="71"/>
      <c r="L124" s="71"/>
      <c r="W124" s="5"/>
      <c r="AE124" s="69"/>
      <c r="AI124" s="71"/>
    </row>
    <row r="125" spans="1:35" x14ac:dyDescent="0.25">
      <c r="B125" s="316"/>
      <c r="G125" s="71"/>
      <c r="H125" s="70"/>
      <c r="I125" s="71"/>
      <c r="K125" s="71"/>
      <c r="L125" s="71"/>
      <c r="W125" s="5"/>
      <c r="AE125" s="69"/>
      <c r="AI125" s="71"/>
    </row>
    <row r="126" spans="1:35" x14ac:dyDescent="0.25">
      <c r="B126" s="316"/>
      <c r="G126" s="71"/>
      <c r="H126" s="70"/>
      <c r="I126" s="71"/>
      <c r="K126" s="71"/>
      <c r="L126" s="71"/>
      <c r="W126" s="5"/>
      <c r="AE126" s="69"/>
      <c r="AI126" s="71"/>
    </row>
    <row r="127" spans="1:35" x14ac:dyDescent="0.25">
      <c r="B127" s="316"/>
      <c r="G127" s="71"/>
      <c r="H127" s="70"/>
      <c r="I127" s="71"/>
      <c r="K127" s="71"/>
      <c r="L127" s="71"/>
      <c r="W127" s="5"/>
      <c r="AE127" s="69"/>
      <c r="AI127" s="71"/>
    </row>
    <row r="128" spans="1:35" x14ac:dyDescent="0.25">
      <c r="B128" s="316"/>
      <c r="G128" s="71"/>
      <c r="H128" s="70"/>
      <c r="I128" s="71"/>
      <c r="K128" s="71"/>
      <c r="L128" s="71"/>
      <c r="W128" s="5"/>
      <c r="AE128" s="69"/>
      <c r="AI128" s="71"/>
    </row>
    <row r="129" spans="2:35" x14ac:dyDescent="0.25">
      <c r="B129" s="316"/>
      <c r="G129" s="71"/>
      <c r="H129" s="70"/>
      <c r="I129" s="71"/>
      <c r="K129" s="71"/>
      <c r="L129" s="71"/>
      <c r="W129" s="5"/>
      <c r="AE129" s="69"/>
      <c r="AI129" s="71"/>
    </row>
    <row r="130" spans="2:35" x14ac:dyDescent="0.25">
      <c r="B130" s="316"/>
      <c r="G130" s="71"/>
      <c r="H130" s="70"/>
      <c r="I130" s="71"/>
      <c r="K130" s="71"/>
      <c r="L130" s="71"/>
      <c r="W130" s="5"/>
      <c r="AE130" s="69"/>
      <c r="AI130" s="71"/>
    </row>
    <row r="131" spans="2:35" x14ac:dyDescent="0.25">
      <c r="B131" s="316"/>
      <c r="G131" s="71"/>
      <c r="H131" s="70"/>
      <c r="I131" s="71"/>
      <c r="K131" s="71"/>
      <c r="L131" s="71"/>
      <c r="W131" s="5"/>
      <c r="AE131" s="69"/>
      <c r="AI131" s="71"/>
    </row>
    <row r="132" spans="2:35" x14ac:dyDescent="0.25">
      <c r="B132" s="316"/>
      <c r="G132" s="71"/>
      <c r="H132" s="70"/>
      <c r="I132" s="71"/>
      <c r="K132" s="71"/>
      <c r="L132" s="71"/>
      <c r="W132" s="5"/>
      <c r="AE132" s="69"/>
      <c r="AI132" s="71"/>
    </row>
    <row r="133" spans="2:35" x14ac:dyDescent="0.25">
      <c r="B133" s="316"/>
      <c r="G133" s="71"/>
      <c r="H133" s="70"/>
      <c r="I133" s="71"/>
      <c r="K133" s="71"/>
      <c r="L133" s="71"/>
      <c r="W133" s="5"/>
      <c r="AE133" s="69"/>
      <c r="AI133" s="71"/>
    </row>
    <row r="134" spans="2:35" x14ac:dyDescent="0.25">
      <c r="B134" s="316"/>
      <c r="G134" s="71"/>
      <c r="H134" s="70"/>
      <c r="I134" s="71"/>
      <c r="K134" s="71"/>
      <c r="L134" s="71"/>
      <c r="W134" s="5"/>
      <c r="AE134" s="69"/>
      <c r="AI134" s="71"/>
    </row>
    <row r="135" spans="2:35" x14ac:dyDescent="0.25">
      <c r="B135" s="316"/>
      <c r="G135" s="71"/>
      <c r="H135" s="70"/>
      <c r="I135" s="71"/>
      <c r="K135" s="71"/>
      <c r="L135" s="71"/>
      <c r="W135" s="5"/>
      <c r="AE135" s="69"/>
      <c r="AI135" s="71"/>
    </row>
    <row r="136" spans="2:35" x14ac:dyDescent="0.25">
      <c r="B136" s="316"/>
      <c r="G136" s="71"/>
      <c r="H136" s="70"/>
      <c r="I136" s="71"/>
      <c r="K136" s="71"/>
      <c r="L136" s="71"/>
      <c r="W136" s="5"/>
      <c r="AE136" s="69"/>
      <c r="AI136" s="71"/>
    </row>
    <row r="137" spans="2:35" x14ac:dyDescent="0.25">
      <c r="B137" s="316"/>
      <c r="G137" s="71"/>
      <c r="H137" s="70"/>
      <c r="I137" s="71"/>
      <c r="K137" s="71"/>
      <c r="L137" s="71"/>
      <c r="W137" s="5"/>
      <c r="AE137" s="69"/>
      <c r="AI137" s="71"/>
    </row>
    <row r="138" spans="2:35" x14ac:dyDescent="0.25">
      <c r="B138" s="316"/>
      <c r="G138" s="71"/>
      <c r="H138" s="70"/>
      <c r="I138" s="71"/>
      <c r="K138" s="71"/>
      <c r="L138" s="71"/>
      <c r="W138" s="5"/>
      <c r="AE138" s="69"/>
      <c r="AI138" s="71"/>
    </row>
    <row r="139" spans="2:35" x14ac:dyDescent="0.25">
      <c r="B139" s="316"/>
      <c r="G139" s="71"/>
      <c r="H139" s="70"/>
      <c r="I139" s="71"/>
      <c r="K139" s="71"/>
      <c r="L139" s="71"/>
      <c r="W139" s="5"/>
      <c r="AE139" s="69"/>
      <c r="AI139" s="71"/>
    </row>
    <row r="140" spans="2:35" x14ac:dyDescent="0.25">
      <c r="B140" s="316"/>
      <c r="G140" s="71"/>
      <c r="H140" s="70"/>
      <c r="I140" s="71"/>
      <c r="K140" s="71"/>
      <c r="L140" s="71"/>
      <c r="W140" s="5"/>
      <c r="AE140" s="69"/>
      <c r="AI140" s="71"/>
    </row>
    <row r="141" spans="2:35" x14ac:dyDescent="0.25">
      <c r="B141" s="316"/>
      <c r="G141" s="71"/>
      <c r="H141" s="70"/>
      <c r="I141" s="71"/>
      <c r="K141" s="71"/>
      <c r="L141" s="71"/>
      <c r="W141" s="5"/>
      <c r="AE141" s="69"/>
      <c r="AI141" s="71"/>
    </row>
    <row r="142" spans="2:35" x14ac:dyDescent="0.25">
      <c r="B142" s="316"/>
      <c r="G142" s="71"/>
      <c r="H142" s="70"/>
      <c r="I142" s="71"/>
      <c r="K142" s="71"/>
      <c r="L142" s="71"/>
      <c r="W142" s="5"/>
      <c r="AE142" s="69"/>
      <c r="AI142" s="71"/>
    </row>
    <row r="143" spans="2:35" x14ac:dyDescent="0.25">
      <c r="B143" s="316"/>
      <c r="G143" s="71"/>
      <c r="H143" s="70"/>
      <c r="I143" s="71"/>
      <c r="K143" s="71"/>
      <c r="L143" s="71"/>
      <c r="W143" s="5"/>
      <c r="AE143" s="69"/>
      <c r="AI143" s="71"/>
    </row>
    <row r="144" spans="2:35" x14ac:dyDescent="0.25">
      <c r="B144" s="316"/>
      <c r="G144" s="71"/>
      <c r="H144" s="70"/>
      <c r="I144" s="71"/>
      <c r="K144" s="71"/>
      <c r="L144" s="71"/>
      <c r="W144" s="5"/>
      <c r="AE144" s="69"/>
      <c r="AI144" s="71"/>
    </row>
    <row r="145" spans="2:35" x14ac:dyDescent="0.25">
      <c r="B145" s="316"/>
      <c r="G145" s="71"/>
      <c r="H145" s="70"/>
      <c r="I145" s="71"/>
      <c r="K145" s="71"/>
      <c r="L145" s="71"/>
      <c r="W145" s="5"/>
      <c r="AE145" s="69"/>
      <c r="AI145" s="71"/>
    </row>
    <row r="146" spans="2:35" x14ac:dyDescent="0.25">
      <c r="B146" s="316"/>
      <c r="G146" s="71"/>
      <c r="H146" s="70"/>
      <c r="I146" s="71"/>
      <c r="K146" s="71"/>
      <c r="L146" s="71"/>
      <c r="W146" s="5"/>
      <c r="AE146" s="69"/>
      <c r="AI146" s="71"/>
    </row>
    <row r="147" spans="2:35" x14ac:dyDescent="0.25">
      <c r="B147" s="316"/>
      <c r="G147" s="71"/>
      <c r="H147" s="70"/>
      <c r="I147" s="71"/>
      <c r="K147" s="71"/>
      <c r="L147" s="71"/>
      <c r="W147" s="5"/>
      <c r="AE147" s="69"/>
      <c r="AI147" s="71"/>
    </row>
    <row r="148" spans="2:35" x14ac:dyDescent="0.25">
      <c r="B148" s="316"/>
      <c r="G148" s="71"/>
      <c r="H148" s="70"/>
      <c r="I148" s="71"/>
      <c r="K148" s="71"/>
      <c r="L148" s="71"/>
      <c r="W148" s="5"/>
      <c r="AE148" s="69"/>
      <c r="AI148" s="71"/>
    </row>
    <row r="149" spans="2:35" x14ac:dyDescent="0.25">
      <c r="B149" s="316"/>
      <c r="G149" s="71"/>
      <c r="H149" s="70"/>
      <c r="I149" s="71"/>
      <c r="K149" s="71"/>
      <c r="L149" s="71"/>
      <c r="W149" s="5"/>
      <c r="AE149" s="69"/>
      <c r="AI149" s="71"/>
    </row>
    <row r="150" spans="2:35" x14ac:dyDescent="0.25">
      <c r="B150" s="316"/>
      <c r="G150" s="71"/>
      <c r="H150" s="70"/>
      <c r="I150" s="71"/>
      <c r="K150" s="71"/>
      <c r="L150" s="71"/>
      <c r="W150" s="5"/>
      <c r="AE150" s="69"/>
      <c r="AI150" s="71"/>
    </row>
    <row r="151" spans="2:35" x14ac:dyDescent="0.25">
      <c r="B151" s="316"/>
      <c r="G151" s="71"/>
      <c r="H151" s="70"/>
      <c r="I151" s="71"/>
      <c r="K151" s="71"/>
      <c r="L151" s="71"/>
      <c r="W151" s="5"/>
      <c r="AE151" s="69"/>
      <c r="AI151" s="71"/>
    </row>
    <row r="152" spans="2:35" x14ac:dyDescent="0.25">
      <c r="B152" s="316"/>
      <c r="G152" s="71"/>
      <c r="H152" s="70"/>
      <c r="I152" s="71"/>
      <c r="K152" s="71"/>
      <c r="L152" s="71"/>
      <c r="W152" s="5"/>
      <c r="AE152" s="69"/>
      <c r="AI152" s="71"/>
    </row>
    <row r="153" spans="2:35" x14ac:dyDescent="0.25">
      <c r="B153" s="316"/>
      <c r="G153" s="71"/>
      <c r="H153" s="70"/>
      <c r="I153" s="71"/>
      <c r="K153" s="71"/>
      <c r="L153" s="71"/>
      <c r="W153" s="5"/>
      <c r="AE153" s="69"/>
      <c r="AI153" s="71"/>
    </row>
    <row r="154" spans="2:35" x14ac:dyDescent="0.25">
      <c r="B154" s="316"/>
      <c r="G154" s="71"/>
      <c r="H154" s="70"/>
      <c r="I154" s="71"/>
      <c r="K154" s="71"/>
      <c r="L154" s="71"/>
      <c r="W154" s="5"/>
      <c r="AE154" s="69"/>
      <c r="AI154" s="71"/>
    </row>
    <row r="155" spans="2:35" x14ac:dyDescent="0.25">
      <c r="B155" s="316"/>
      <c r="G155" s="71"/>
      <c r="H155" s="70"/>
      <c r="I155" s="71"/>
      <c r="K155" s="71"/>
      <c r="L155" s="71"/>
      <c r="W155" s="5"/>
      <c r="AE155" s="69"/>
      <c r="AI155" s="71"/>
    </row>
    <row r="156" spans="2:35" x14ac:dyDescent="0.25">
      <c r="B156" s="316"/>
      <c r="G156" s="71"/>
      <c r="H156" s="70"/>
      <c r="I156" s="71"/>
      <c r="K156" s="71"/>
      <c r="L156" s="71"/>
      <c r="W156" s="5"/>
      <c r="AE156" s="69"/>
      <c r="AI156" s="71"/>
    </row>
    <row r="157" spans="2:35" x14ac:dyDescent="0.25">
      <c r="B157" s="316"/>
      <c r="G157" s="71"/>
      <c r="H157" s="70"/>
      <c r="I157" s="71"/>
      <c r="K157" s="71"/>
      <c r="L157" s="71"/>
      <c r="W157" s="5"/>
      <c r="AE157" s="69"/>
      <c r="AI157" s="71"/>
    </row>
    <row r="158" spans="2:35" x14ac:dyDescent="0.25">
      <c r="B158" s="316"/>
      <c r="G158" s="71"/>
      <c r="H158" s="70"/>
      <c r="I158" s="71"/>
      <c r="K158" s="71"/>
      <c r="L158" s="71"/>
      <c r="W158" s="5"/>
      <c r="AE158" s="69"/>
      <c r="AI158" s="71"/>
    </row>
    <row r="159" spans="2:35" x14ac:dyDescent="0.25">
      <c r="B159" s="316"/>
      <c r="G159" s="71"/>
      <c r="H159" s="70"/>
      <c r="I159" s="71"/>
      <c r="K159" s="71"/>
      <c r="L159" s="71"/>
      <c r="W159" s="5"/>
      <c r="AE159" s="69"/>
      <c r="AI159" s="71"/>
    </row>
    <row r="160" spans="2:35" x14ac:dyDescent="0.25">
      <c r="B160" s="316"/>
      <c r="G160" s="71"/>
      <c r="H160" s="70"/>
      <c r="I160" s="71"/>
      <c r="K160" s="71"/>
      <c r="L160" s="71"/>
      <c r="W160" s="5"/>
      <c r="AE160" s="69"/>
      <c r="AI160" s="71"/>
    </row>
    <row r="161" spans="2:35" x14ac:dyDescent="0.25">
      <c r="B161" s="316"/>
      <c r="G161" s="71"/>
      <c r="H161" s="70"/>
      <c r="I161" s="71"/>
      <c r="K161" s="71"/>
      <c r="L161" s="71"/>
      <c r="W161" s="5"/>
      <c r="AE161" s="69"/>
      <c r="AI161" s="71"/>
    </row>
    <row r="162" spans="2:35" x14ac:dyDescent="0.25">
      <c r="B162" s="316"/>
      <c r="G162" s="71"/>
      <c r="H162" s="70"/>
      <c r="I162" s="71"/>
      <c r="K162" s="71"/>
      <c r="L162" s="71"/>
      <c r="W162" s="5"/>
      <c r="AE162" s="69"/>
      <c r="AI162" s="71"/>
    </row>
    <row r="163" spans="2:35" x14ac:dyDescent="0.25">
      <c r="B163" s="316"/>
      <c r="G163" s="71"/>
      <c r="H163" s="70"/>
      <c r="I163" s="71"/>
      <c r="K163" s="71"/>
      <c r="L163" s="71"/>
      <c r="W163" s="5"/>
      <c r="AE163" s="69"/>
      <c r="AI163" s="71"/>
    </row>
    <row r="164" spans="2:35" x14ac:dyDescent="0.25">
      <c r="B164" s="316"/>
      <c r="G164" s="71"/>
      <c r="H164" s="70"/>
      <c r="I164" s="71"/>
      <c r="K164" s="71"/>
      <c r="L164" s="71"/>
      <c r="W164" s="5"/>
      <c r="AE164" s="69"/>
      <c r="AI164" s="71"/>
    </row>
    <row r="165" spans="2:35" x14ac:dyDescent="0.25">
      <c r="B165" s="316"/>
      <c r="G165" s="71"/>
      <c r="H165" s="70"/>
      <c r="I165" s="71"/>
      <c r="K165" s="71"/>
      <c r="L165" s="71"/>
      <c r="W165" s="5"/>
      <c r="AE165" s="69"/>
      <c r="AI165" s="71"/>
    </row>
    <row r="166" spans="2:35" x14ac:dyDescent="0.25">
      <c r="B166" s="316"/>
      <c r="G166" s="71"/>
      <c r="H166" s="70"/>
      <c r="I166" s="71"/>
      <c r="K166" s="71"/>
      <c r="L166" s="71"/>
      <c r="W166" s="5"/>
      <c r="AE166" s="69"/>
      <c r="AI166" s="71"/>
    </row>
    <row r="167" spans="2:35" x14ac:dyDescent="0.25">
      <c r="B167" s="316"/>
      <c r="G167" s="71"/>
      <c r="H167" s="70"/>
      <c r="I167" s="71"/>
      <c r="K167" s="71"/>
      <c r="L167" s="71"/>
      <c r="W167" s="5"/>
      <c r="AE167" s="69"/>
      <c r="AI167" s="71"/>
    </row>
    <row r="168" spans="2:35" x14ac:dyDescent="0.25">
      <c r="B168" s="316"/>
      <c r="G168" s="71"/>
      <c r="H168" s="70"/>
      <c r="I168" s="71"/>
      <c r="K168" s="71"/>
      <c r="L168" s="71"/>
      <c r="W168" s="5"/>
      <c r="AE168" s="69"/>
      <c r="AI168" s="71"/>
    </row>
    <row r="169" spans="2:35" x14ac:dyDescent="0.25">
      <c r="B169" s="316"/>
      <c r="G169" s="71"/>
      <c r="H169" s="70"/>
      <c r="I169" s="71"/>
      <c r="K169" s="71"/>
      <c r="L169" s="71"/>
      <c r="W169" s="5"/>
      <c r="AE169" s="69"/>
      <c r="AI169" s="71"/>
    </row>
    <row r="170" spans="2:35" x14ac:dyDescent="0.25">
      <c r="B170" s="316"/>
      <c r="G170" s="71"/>
      <c r="H170" s="70"/>
      <c r="I170" s="71"/>
      <c r="K170" s="71"/>
      <c r="L170" s="71"/>
      <c r="W170" s="5"/>
      <c r="AE170" s="69"/>
      <c r="AI170" s="71"/>
    </row>
    <row r="171" spans="2:35" x14ac:dyDescent="0.25">
      <c r="B171" s="316"/>
      <c r="G171" s="71"/>
      <c r="H171" s="70"/>
      <c r="I171" s="71"/>
      <c r="K171" s="71"/>
      <c r="L171" s="71"/>
      <c r="W171" s="5"/>
      <c r="AE171" s="69"/>
      <c r="AI171" s="71"/>
    </row>
    <row r="172" spans="2:35" x14ac:dyDescent="0.25">
      <c r="B172" s="316"/>
      <c r="G172" s="71"/>
      <c r="H172" s="70"/>
      <c r="I172" s="71"/>
      <c r="K172" s="71"/>
      <c r="L172" s="71"/>
      <c r="W172" s="5"/>
      <c r="AE172" s="69"/>
      <c r="AI172" s="71"/>
    </row>
    <row r="173" spans="2:35" x14ac:dyDescent="0.25">
      <c r="B173" s="316"/>
      <c r="G173" s="71"/>
      <c r="H173" s="70"/>
      <c r="I173" s="71"/>
      <c r="K173" s="71"/>
      <c r="L173" s="71"/>
      <c r="W173" s="5"/>
      <c r="AE173" s="69"/>
      <c r="AI173" s="71"/>
    </row>
    <row r="174" spans="2:35" x14ac:dyDescent="0.25">
      <c r="B174" s="316"/>
      <c r="G174" s="71"/>
      <c r="H174" s="70"/>
      <c r="I174" s="71"/>
      <c r="K174" s="71"/>
      <c r="L174" s="71"/>
      <c r="W174" s="5"/>
      <c r="AE174" s="69"/>
      <c r="AI174" s="71"/>
    </row>
    <row r="175" spans="2:35" x14ac:dyDescent="0.25">
      <c r="B175" s="316"/>
      <c r="G175" s="71"/>
      <c r="H175" s="70"/>
      <c r="I175" s="71"/>
      <c r="K175" s="71"/>
      <c r="L175" s="71"/>
      <c r="W175" s="5"/>
      <c r="AE175" s="69"/>
      <c r="AI175" s="71"/>
    </row>
    <row r="176" spans="2:35" x14ac:dyDescent="0.25">
      <c r="B176" s="316"/>
      <c r="G176" s="71"/>
      <c r="H176" s="70"/>
      <c r="I176" s="71"/>
      <c r="K176" s="71"/>
      <c r="L176" s="71"/>
      <c r="W176" s="5"/>
      <c r="AE176" s="69"/>
      <c r="AI176" s="71"/>
    </row>
    <row r="177" spans="2:35" x14ac:dyDescent="0.25">
      <c r="B177" s="316"/>
      <c r="G177" s="71"/>
      <c r="H177" s="70"/>
      <c r="I177" s="71"/>
      <c r="K177" s="71"/>
      <c r="L177" s="71"/>
      <c r="W177" s="5"/>
      <c r="AE177" s="69"/>
      <c r="AI177" s="71"/>
    </row>
    <row r="178" spans="2:35" x14ac:dyDescent="0.25">
      <c r="B178" s="316"/>
      <c r="G178" s="71"/>
      <c r="H178" s="70"/>
      <c r="I178" s="71"/>
      <c r="K178" s="71"/>
      <c r="L178" s="71"/>
      <c r="W178" s="5"/>
      <c r="AE178" s="69"/>
      <c r="AI178" s="71"/>
    </row>
    <row r="179" spans="2:35" x14ac:dyDescent="0.25">
      <c r="B179" s="316"/>
      <c r="G179" s="71"/>
      <c r="H179" s="70"/>
      <c r="I179" s="71"/>
      <c r="K179" s="71"/>
      <c r="L179" s="71"/>
      <c r="W179" s="5"/>
      <c r="AE179" s="69"/>
      <c r="AI179" s="71"/>
    </row>
    <row r="180" spans="2:35" x14ac:dyDescent="0.25">
      <c r="B180" s="316"/>
      <c r="G180" s="71"/>
      <c r="H180" s="70"/>
      <c r="I180" s="71"/>
      <c r="K180" s="71"/>
      <c r="L180" s="71"/>
      <c r="W180" s="5"/>
      <c r="AE180" s="69"/>
      <c r="AI180" s="71"/>
    </row>
    <row r="181" spans="2:35" x14ac:dyDescent="0.25">
      <c r="B181" s="316"/>
      <c r="G181" s="71"/>
      <c r="H181" s="70"/>
      <c r="I181" s="71"/>
      <c r="K181" s="71"/>
      <c r="L181" s="71"/>
      <c r="W181" s="5"/>
      <c r="AE181" s="69"/>
      <c r="AI181" s="71"/>
    </row>
    <row r="182" spans="2:35" x14ac:dyDescent="0.25">
      <c r="B182" s="316"/>
      <c r="G182" s="71"/>
      <c r="H182" s="70"/>
      <c r="I182" s="71"/>
      <c r="K182" s="71"/>
      <c r="L182" s="71"/>
      <c r="W182" s="5"/>
      <c r="AE182" s="69"/>
      <c r="AI182" s="71"/>
    </row>
    <row r="183" spans="2:35" x14ac:dyDescent="0.25">
      <c r="B183" s="316"/>
      <c r="G183" s="71"/>
      <c r="H183" s="70"/>
      <c r="I183" s="71"/>
      <c r="K183" s="71"/>
      <c r="L183" s="71"/>
      <c r="W183" s="5"/>
      <c r="AE183" s="69"/>
      <c r="AI183" s="71"/>
    </row>
    <row r="184" spans="2:35" x14ac:dyDescent="0.25">
      <c r="B184" s="316"/>
      <c r="G184" s="71"/>
      <c r="H184" s="70"/>
      <c r="I184" s="71"/>
      <c r="K184" s="71"/>
      <c r="L184" s="71"/>
      <c r="W184" s="5"/>
      <c r="AE184" s="69"/>
      <c r="AI184" s="71"/>
    </row>
    <row r="185" spans="2:35" x14ac:dyDescent="0.25">
      <c r="B185" s="316"/>
      <c r="G185" s="71"/>
      <c r="H185" s="70"/>
      <c r="I185" s="71"/>
      <c r="K185" s="71"/>
      <c r="L185" s="71"/>
      <c r="W185" s="5"/>
      <c r="AE185" s="69"/>
      <c r="AI185" s="71"/>
    </row>
    <row r="186" spans="2:35" x14ac:dyDescent="0.25">
      <c r="B186" s="316"/>
      <c r="G186" s="71"/>
      <c r="H186" s="70"/>
      <c r="I186" s="71"/>
      <c r="K186" s="71"/>
      <c r="L186" s="71"/>
      <c r="W186" s="5"/>
      <c r="AE186" s="69"/>
      <c r="AI186" s="71"/>
    </row>
    <row r="187" spans="2:35" x14ac:dyDescent="0.25">
      <c r="B187" s="316"/>
      <c r="G187" s="71"/>
      <c r="H187" s="70"/>
      <c r="I187" s="71"/>
      <c r="K187" s="71"/>
      <c r="L187" s="71"/>
      <c r="W187" s="5"/>
      <c r="AE187" s="69"/>
      <c r="AI187" s="71"/>
    </row>
    <row r="188" spans="2:35" x14ac:dyDescent="0.25">
      <c r="B188" s="316"/>
      <c r="G188" s="71"/>
      <c r="H188" s="70"/>
      <c r="I188" s="71"/>
      <c r="K188" s="71"/>
      <c r="L188" s="71"/>
      <c r="W188" s="5"/>
      <c r="AE188" s="69"/>
      <c r="AI188" s="71"/>
    </row>
    <row r="189" spans="2:35" x14ac:dyDescent="0.25">
      <c r="B189" s="316"/>
      <c r="G189" s="71"/>
      <c r="H189" s="70"/>
      <c r="I189" s="71"/>
      <c r="K189" s="71"/>
      <c r="L189" s="71"/>
      <c r="W189" s="5"/>
      <c r="AE189" s="69"/>
      <c r="AI189" s="71"/>
    </row>
    <row r="190" spans="2:35" x14ac:dyDescent="0.25">
      <c r="B190" s="316"/>
      <c r="G190" s="71"/>
      <c r="H190" s="70"/>
      <c r="I190" s="71"/>
      <c r="K190" s="71"/>
      <c r="L190" s="71"/>
      <c r="W190" s="5"/>
      <c r="AE190" s="69"/>
      <c r="AI190" s="71"/>
    </row>
    <row r="191" spans="2:35" x14ac:dyDescent="0.25">
      <c r="B191" s="316"/>
      <c r="G191" s="71"/>
      <c r="H191" s="70"/>
      <c r="I191" s="71"/>
      <c r="K191" s="71"/>
      <c r="L191" s="71"/>
      <c r="W191" s="5"/>
      <c r="AE191" s="69"/>
      <c r="AI191" s="71"/>
    </row>
    <row r="192" spans="2:35" x14ac:dyDescent="0.25">
      <c r="B192" s="316"/>
      <c r="G192" s="71"/>
      <c r="H192" s="70"/>
      <c r="I192" s="71"/>
      <c r="K192" s="71"/>
      <c r="L192" s="71"/>
      <c r="W192" s="5"/>
      <c r="AE192" s="69"/>
      <c r="AI192" s="71"/>
    </row>
    <row r="193" spans="2:35" x14ac:dyDescent="0.25">
      <c r="B193" s="316"/>
      <c r="G193" s="71"/>
      <c r="H193" s="70"/>
      <c r="I193" s="71"/>
      <c r="K193" s="71"/>
      <c r="L193" s="71"/>
      <c r="W193" s="5"/>
      <c r="AE193" s="69"/>
      <c r="AI193" s="71"/>
    </row>
    <row r="194" spans="2:35" x14ac:dyDescent="0.25">
      <c r="B194" s="316"/>
      <c r="G194" s="71"/>
      <c r="H194" s="70"/>
      <c r="I194" s="71"/>
      <c r="K194" s="71"/>
      <c r="L194" s="71"/>
      <c r="W194" s="5"/>
      <c r="AE194" s="69"/>
      <c r="AI194" s="71"/>
    </row>
    <row r="195" spans="2:35" x14ac:dyDescent="0.25">
      <c r="B195" s="316"/>
      <c r="G195" s="71"/>
      <c r="H195" s="70"/>
      <c r="I195" s="71"/>
      <c r="K195" s="71"/>
      <c r="L195" s="71"/>
      <c r="W195" s="5"/>
      <c r="AE195" s="69"/>
      <c r="AI195" s="71"/>
    </row>
    <row r="196" spans="2:35" x14ac:dyDescent="0.25">
      <c r="B196" s="316"/>
      <c r="G196" s="71"/>
      <c r="H196" s="70"/>
      <c r="I196" s="71"/>
      <c r="K196" s="71"/>
      <c r="L196" s="71"/>
      <c r="W196" s="5"/>
      <c r="AE196" s="69"/>
      <c r="AI196" s="71"/>
    </row>
    <row r="197" spans="2:35" x14ac:dyDescent="0.25">
      <c r="B197" s="316"/>
      <c r="G197" s="71"/>
      <c r="H197" s="70"/>
      <c r="I197" s="71"/>
      <c r="K197" s="71"/>
      <c r="L197" s="71"/>
      <c r="W197" s="5"/>
      <c r="AE197" s="69"/>
      <c r="AI197" s="71"/>
    </row>
    <row r="198" spans="2:35" x14ac:dyDescent="0.25">
      <c r="B198" s="316"/>
      <c r="G198" s="71"/>
      <c r="H198" s="70"/>
      <c r="I198" s="71"/>
      <c r="K198" s="71"/>
      <c r="L198" s="71"/>
      <c r="W198" s="5"/>
      <c r="AE198" s="69"/>
      <c r="AI198" s="71"/>
    </row>
    <row r="199" spans="2:35" x14ac:dyDescent="0.25">
      <c r="B199" s="316"/>
      <c r="G199" s="71"/>
      <c r="H199" s="70"/>
      <c r="I199" s="71"/>
      <c r="K199" s="71"/>
      <c r="L199" s="71"/>
      <c r="W199" s="5"/>
      <c r="AE199" s="69"/>
      <c r="AI199" s="71"/>
    </row>
    <row r="200" spans="2:35" x14ac:dyDescent="0.25">
      <c r="B200" s="316"/>
      <c r="G200" s="71"/>
      <c r="H200" s="70"/>
      <c r="I200" s="71"/>
      <c r="K200" s="71"/>
      <c r="L200" s="71"/>
      <c r="W200" s="5"/>
      <c r="AE200" s="69"/>
      <c r="AI200" s="71"/>
    </row>
    <row r="201" spans="2:35" x14ac:dyDescent="0.25">
      <c r="B201" s="316"/>
      <c r="G201" s="71"/>
      <c r="H201" s="70"/>
      <c r="I201" s="71"/>
      <c r="K201" s="71"/>
      <c r="L201" s="71"/>
      <c r="W201" s="5"/>
      <c r="AE201" s="69"/>
      <c r="AI201" s="71"/>
    </row>
    <row r="202" spans="2:35" x14ac:dyDescent="0.25">
      <c r="B202" s="316"/>
      <c r="G202" s="71"/>
      <c r="H202" s="70"/>
      <c r="I202" s="71"/>
      <c r="K202" s="71"/>
      <c r="L202" s="71"/>
      <c r="W202" s="5"/>
      <c r="AE202" s="69"/>
      <c r="AI202" s="71"/>
    </row>
    <row r="203" spans="2:35" x14ac:dyDescent="0.25">
      <c r="B203" s="316"/>
      <c r="G203" s="71"/>
      <c r="H203" s="70"/>
      <c r="I203" s="71"/>
      <c r="K203" s="71"/>
      <c r="L203" s="71"/>
      <c r="W203" s="5"/>
      <c r="AE203" s="69"/>
      <c r="AI203" s="71"/>
    </row>
    <row r="204" spans="2:35" x14ac:dyDescent="0.25">
      <c r="B204" s="316"/>
      <c r="G204" s="71"/>
      <c r="H204" s="70"/>
      <c r="I204" s="71"/>
      <c r="K204" s="71"/>
      <c r="L204" s="71"/>
      <c r="W204" s="5"/>
      <c r="AE204" s="69"/>
      <c r="AI204" s="71"/>
    </row>
    <row r="205" spans="2:35" x14ac:dyDescent="0.25">
      <c r="B205" s="316"/>
      <c r="G205" s="71"/>
      <c r="H205" s="70"/>
      <c r="I205" s="71"/>
      <c r="K205" s="71"/>
      <c r="L205" s="71"/>
      <c r="W205" s="5"/>
      <c r="AE205" s="69"/>
      <c r="AI205" s="71"/>
    </row>
    <row r="206" spans="2:35" x14ac:dyDescent="0.25">
      <c r="B206" s="316"/>
      <c r="G206" s="71"/>
      <c r="H206" s="70"/>
      <c r="I206" s="71"/>
      <c r="K206" s="71"/>
      <c r="L206" s="71"/>
      <c r="W206" s="5"/>
      <c r="AE206" s="69"/>
      <c r="AI206" s="71"/>
    </row>
    <row r="207" spans="2:35" x14ac:dyDescent="0.25">
      <c r="B207" s="316"/>
      <c r="G207" s="71"/>
      <c r="H207" s="70"/>
      <c r="I207" s="71"/>
      <c r="K207" s="71"/>
      <c r="L207" s="71"/>
      <c r="W207" s="5"/>
      <c r="AE207" s="69"/>
      <c r="AI207" s="71"/>
    </row>
    <row r="208" spans="2:35" x14ac:dyDescent="0.25">
      <c r="B208" s="316"/>
      <c r="G208" s="71"/>
      <c r="H208" s="70"/>
      <c r="I208" s="71"/>
      <c r="K208" s="71"/>
      <c r="L208" s="71"/>
      <c r="W208" s="5"/>
      <c r="AE208" s="69"/>
      <c r="AI208" s="71"/>
    </row>
    <row r="209" spans="2:35" x14ac:dyDescent="0.25">
      <c r="B209" s="316"/>
      <c r="G209" s="71"/>
      <c r="H209" s="70"/>
      <c r="I209" s="71"/>
      <c r="K209" s="71"/>
      <c r="L209" s="71"/>
      <c r="W209" s="5"/>
      <c r="AE209" s="69"/>
      <c r="AI209" s="71"/>
    </row>
    <row r="210" spans="2:35" x14ac:dyDescent="0.25">
      <c r="B210" s="316"/>
      <c r="G210" s="71"/>
      <c r="H210" s="70"/>
      <c r="I210" s="71"/>
      <c r="K210" s="71"/>
      <c r="L210" s="71"/>
      <c r="W210" s="5"/>
      <c r="AE210" s="69"/>
      <c r="AI210" s="71"/>
    </row>
    <row r="211" spans="2:35" x14ac:dyDescent="0.25">
      <c r="B211" s="316"/>
      <c r="G211" s="71"/>
      <c r="H211" s="70"/>
      <c r="I211" s="71"/>
      <c r="K211" s="71"/>
      <c r="L211" s="71"/>
      <c r="W211" s="5"/>
      <c r="AE211" s="69"/>
      <c r="AI211" s="71"/>
    </row>
    <row r="212" spans="2:35" x14ac:dyDescent="0.25">
      <c r="B212" s="316"/>
      <c r="G212" s="71"/>
      <c r="H212" s="70"/>
      <c r="I212" s="71"/>
      <c r="K212" s="71"/>
      <c r="L212" s="71"/>
      <c r="W212" s="5"/>
      <c r="AE212" s="69"/>
      <c r="AI212" s="71"/>
    </row>
    <row r="213" spans="2:35" x14ac:dyDescent="0.25">
      <c r="B213" s="316"/>
      <c r="G213" s="71"/>
      <c r="H213" s="70"/>
      <c r="I213" s="71"/>
      <c r="K213" s="71"/>
      <c r="L213" s="71"/>
      <c r="W213" s="5"/>
      <c r="AE213" s="69"/>
      <c r="AI213" s="71"/>
    </row>
    <row r="214" spans="2:35" x14ac:dyDescent="0.25">
      <c r="B214" s="316"/>
      <c r="G214" s="71"/>
      <c r="H214" s="70"/>
      <c r="I214" s="71"/>
      <c r="K214" s="71"/>
      <c r="L214" s="71"/>
      <c r="W214" s="5"/>
      <c r="AE214" s="69"/>
      <c r="AI214" s="71"/>
    </row>
    <row r="215" spans="2:35" x14ac:dyDescent="0.25">
      <c r="B215" s="316"/>
      <c r="G215" s="71"/>
      <c r="H215" s="70"/>
      <c r="I215" s="71"/>
      <c r="K215" s="71"/>
      <c r="L215" s="71"/>
      <c r="W215" s="5"/>
      <c r="AE215" s="69"/>
      <c r="AI215" s="71"/>
    </row>
    <row r="216" spans="2:35" x14ac:dyDescent="0.25">
      <c r="B216" s="316"/>
      <c r="G216" s="71"/>
      <c r="H216" s="70"/>
      <c r="I216" s="71"/>
      <c r="K216" s="71"/>
      <c r="L216" s="71"/>
      <c r="W216" s="5"/>
      <c r="AE216" s="69"/>
      <c r="AI216" s="71"/>
    </row>
    <row r="217" spans="2:35" x14ac:dyDescent="0.25">
      <c r="B217" s="316"/>
      <c r="G217" s="71"/>
      <c r="H217" s="70"/>
      <c r="I217" s="71"/>
      <c r="K217" s="71"/>
      <c r="L217" s="71"/>
      <c r="W217" s="5"/>
      <c r="AE217" s="69"/>
      <c r="AI217" s="71"/>
    </row>
    <row r="218" spans="2:35" x14ac:dyDescent="0.25">
      <c r="B218" s="316"/>
      <c r="G218" s="71"/>
      <c r="H218" s="70"/>
      <c r="I218" s="71"/>
      <c r="K218" s="71"/>
      <c r="L218" s="71"/>
      <c r="W218" s="5"/>
      <c r="AE218" s="69"/>
      <c r="AI218" s="71"/>
    </row>
    <row r="219" spans="2:35" x14ac:dyDescent="0.25">
      <c r="B219" s="316"/>
      <c r="G219" s="71"/>
      <c r="H219" s="70"/>
      <c r="I219" s="71"/>
      <c r="K219" s="71"/>
      <c r="L219" s="71"/>
      <c r="W219" s="5"/>
      <c r="AE219" s="69"/>
      <c r="AI219" s="71"/>
    </row>
    <row r="220" spans="2:35" x14ac:dyDescent="0.25">
      <c r="B220" s="316"/>
      <c r="G220" s="71"/>
      <c r="H220" s="70"/>
      <c r="I220" s="71"/>
      <c r="K220" s="71"/>
      <c r="L220" s="71"/>
      <c r="W220" s="5"/>
      <c r="AE220" s="69"/>
      <c r="AI220" s="71"/>
    </row>
    <row r="221" spans="2:35" x14ac:dyDescent="0.25">
      <c r="B221" s="316"/>
      <c r="G221" s="71"/>
      <c r="H221" s="70"/>
      <c r="I221" s="71"/>
      <c r="K221" s="71"/>
      <c r="L221" s="71"/>
      <c r="W221" s="5"/>
      <c r="AE221" s="69"/>
      <c r="AI221" s="71"/>
    </row>
    <row r="222" spans="2:35" x14ac:dyDescent="0.25">
      <c r="B222" s="316"/>
      <c r="G222" s="71"/>
      <c r="H222" s="70"/>
      <c r="I222" s="71"/>
      <c r="K222" s="71"/>
      <c r="L222" s="71"/>
      <c r="W222" s="5"/>
      <c r="AE222" s="69"/>
      <c r="AI222" s="71"/>
    </row>
    <row r="223" spans="2:35" x14ac:dyDescent="0.25">
      <c r="B223" s="316"/>
      <c r="G223" s="71"/>
      <c r="H223" s="70"/>
      <c r="I223" s="71"/>
      <c r="K223" s="71"/>
      <c r="L223" s="71"/>
      <c r="W223" s="5"/>
      <c r="AE223" s="69"/>
      <c r="AI223" s="71"/>
    </row>
    <row r="224" spans="2:35" x14ac:dyDescent="0.25">
      <c r="B224" s="316"/>
      <c r="G224" s="71"/>
      <c r="H224" s="70"/>
      <c r="I224" s="71"/>
      <c r="K224" s="71"/>
      <c r="L224" s="71"/>
      <c r="W224" s="5"/>
      <c r="AE224" s="69"/>
      <c r="AI224" s="71"/>
    </row>
    <row r="225" spans="2:35" x14ac:dyDescent="0.25">
      <c r="B225" s="316"/>
      <c r="G225" s="71"/>
      <c r="H225" s="70"/>
      <c r="I225" s="71"/>
      <c r="K225" s="71"/>
      <c r="L225" s="71"/>
      <c r="W225" s="5"/>
      <c r="AE225" s="69"/>
      <c r="AI225" s="71"/>
    </row>
    <row r="226" spans="2:35" x14ac:dyDescent="0.25">
      <c r="B226" s="316"/>
      <c r="G226" s="71"/>
      <c r="H226" s="70"/>
      <c r="I226" s="71"/>
      <c r="K226" s="71"/>
      <c r="L226" s="71"/>
      <c r="W226" s="5"/>
      <c r="AE226" s="69"/>
      <c r="AI226" s="71"/>
    </row>
    <row r="227" spans="2:35" x14ac:dyDescent="0.25">
      <c r="B227" s="316"/>
      <c r="G227" s="71"/>
      <c r="H227" s="70"/>
      <c r="I227" s="71"/>
      <c r="K227" s="71"/>
      <c r="L227" s="71"/>
      <c r="W227" s="5"/>
      <c r="AE227" s="69"/>
      <c r="AI227" s="71"/>
    </row>
    <row r="228" spans="2:35" x14ac:dyDescent="0.25">
      <c r="B228" s="316"/>
      <c r="G228" s="71"/>
      <c r="H228" s="70"/>
      <c r="I228" s="71"/>
      <c r="K228" s="71"/>
      <c r="L228" s="71"/>
      <c r="W228" s="5"/>
      <c r="AE228" s="69"/>
      <c r="AI228" s="71"/>
    </row>
    <row r="229" spans="2:35" x14ac:dyDescent="0.25">
      <c r="B229" s="316"/>
      <c r="G229" s="71"/>
      <c r="H229" s="70"/>
      <c r="I229" s="71"/>
      <c r="K229" s="71"/>
      <c r="L229" s="71"/>
      <c r="W229" s="5"/>
      <c r="AE229" s="69"/>
      <c r="AI229" s="71"/>
    </row>
    <row r="230" spans="2:35" x14ac:dyDescent="0.25">
      <c r="B230" s="316"/>
      <c r="G230" s="71"/>
      <c r="H230" s="70"/>
      <c r="I230" s="71"/>
      <c r="K230" s="71"/>
      <c r="L230" s="71"/>
      <c r="W230" s="5"/>
      <c r="AE230" s="69"/>
      <c r="AI230" s="71"/>
    </row>
    <row r="231" spans="2:35" x14ac:dyDescent="0.25">
      <c r="B231" s="316"/>
      <c r="G231" s="71"/>
      <c r="H231" s="70"/>
      <c r="I231" s="71"/>
      <c r="K231" s="71"/>
      <c r="L231" s="71"/>
      <c r="W231" s="5"/>
      <c r="AE231" s="69"/>
      <c r="AI231" s="71"/>
    </row>
    <row r="232" spans="2:35" x14ac:dyDescent="0.25">
      <c r="B232" s="316"/>
      <c r="G232" s="71"/>
      <c r="H232" s="70"/>
      <c r="I232" s="71"/>
      <c r="K232" s="71"/>
      <c r="L232" s="71"/>
      <c r="W232" s="5"/>
      <c r="AE232" s="69"/>
      <c r="AI232" s="71"/>
    </row>
    <row r="233" spans="2:35" x14ac:dyDescent="0.25">
      <c r="B233" s="316"/>
      <c r="G233" s="71"/>
      <c r="H233" s="70"/>
      <c r="I233" s="71"/>
      <c r="K233" s="71"/>
      <c r="L233" s="71"/>
      <c r="W233" s="5"/>
      <c r="AE233" s="69"/>
      <c r="AI233" s="71"/>
    </row>
    <row r="234" spans="2:35" x14ac:dyDescent="0.25">
      <c r="B234" s="316"/>
      <c r="G234" s="71"/>
      <c r="H234" s="70"/>
      <c r="I234" s="71"/>
      <c r="K234" s="71"/>
      <c r="L234" s="71"/>
      <c r="W234" s="5"/>
      <c r="AE234" s="69"/>
      <c r="AI234" s="71"/>
    </row>
    <row r="235" spans="2:35" x14ac:dyDescent="0.25">
      <c r="B235" s="316"/>
      <c r="G235" s="71"/>
      <c r="H235" s="70"/>
      <c r="I235" s="71"/>
      <c r="K235" s="71"/>
      <c r="L235" s="71"/>
      <c r="W235" s="5"/>
      <c r="AE235" s="69"/>
      <c r="AI235" s="71"/>
    </row>
    <row r="236" spans="2:35" x14ac:dyDescent="0.25">
      <c r="B236" s="316"/>
      <c r="G236" s="71"/>
      <c r="H236" s="70"/>
      <c r="I236" s="71"/>
      <c r="K236" s="71"/>
      <c r="L236" s="71"/>
      <c r="W236" s="5"/>
      <c r="AE236" s="69"/>
      <c r="AI236" s="71"/>
    </row>
    <row r="237" spans="2:35" x14ac:dyDescent="0.25">
      <c r="B237" s="316"/>
      <c r="G237" s="71"/>
      <c r="H237" s="70"/>
      <c r="I237" s="71"/>
      <c r="K237" s="71"/>
      <c r="L237" s="71"/>
      <c r="W237" s="5"/>
      <c r="AE237" s="69"/>
      <c r="AI237" s="71"/>
    </row>
    <row r="238" spans="2:35" x14ac:dyDescent="0.25">
      <c r="B238" s="316"/>
      <c r="G238" s="71"/>
      <c r="H238" s="70"/>
      <c r="I238" s="71"/>
      <c r="K238" s="71"/>
      <c r="L238" s="71"/>
      <c r="W238" s="5"/>
      <c r="AE238" s="69"/>
      <c r="AI238" s="71"/>
    </row>
    <row r="239" spans="2:35" x14ac:dyDescent="0.25">
      <c r="B239" s="316"/>
      <c r="G239" s="71"/>
      <c r="H239" s="70"/>
      <c r="I239" s="71"/>
      <c r="K239" s="71"/>
      <c r="L239" s="71"/>
      <c r="W239" s="5"/>
      <c r="AE239" s="69"/>
      <c r="AI239" s="71"/>
    </row>
    <row r="240" spans="2:35" x14ac:dyDescent="0.25">
      <c r="B240" s="316"/>
      <c r="G240" s="71"/>
      <c r="H240" s="70"/>
      <c r="I240" s="71"/>
      <c r="K240" s="71"/>
      <c r="L240" s="71"/>
      <c r="W240" s="5"/>
      <c r="AE240" s="69"/>
      <c r="AI240" s="71"/>
    </row>
    <row r="241" spans="2:35" x14ac:dyDescent="0.25">
      <c r="B241" s="316"/>
      <c r="G241" s="71"/>
      <c r="H241" s="70"/>
      <c r="I241" s="71"/>
      <c r="K241" s="71"/>
      <c r="L241" s="71"/>
      <c r="W241" s="5"/>
      <c r="AE241" s="69"/>
      <c r="AI241" s="71"/>
    </row>
    <row r="242" spans="2:35" x14ac:dyDescent="0.25">
      <c r="B242" s="316"/>
      <c r="G242" s="71"/>
      <c r="H242" s="70"/>
      <c r="I242" s="71"/>
      <c r="K242" s="71"/>
      <c r="L242" s="71"/>
      <c r="W242" s="5"/>
      <c r="AE242" s="69"/>
      <c r="AI242" s="71"/>
    </row>
    <row r="243" spans="2:35" x14ac:dyDescent="0.25">
      <c r="B243" s="316"/>
      <c r="G243" s="71"/>
      <c r="H243" s="70"/>
      <c r="I243" s="71"/>
      <c r="K243" s="71"/>
      <c r="L243" s="71"/>
      <c r="W243" s="5"/>
      <c r="AE243" s="69"/>
      <c r="AI243" s="71"/>
    </row>
    <row r="244" spans="2:35" x14ac:dyDescent="0.25">
      <c r="B244" s="316"/>
      <c r="G244" s="71"/>
      <c r="H244" s="70"/>
      <c r="I244" s="71"/>
      <c r="K244" s="71"/>
      <c r="L244" s="71"/>
      <c r="W244" s="5"/>
      <c r="AE244" s="69"/>
      <c r="AI244" s="71"/>
    </row>
    <row r="245" spans="2:35" x14ac:dyDescent="0.25">
      <c r="B245" s="316"/>
      <c r="G245" s="71"/>
      <c r="H245" s="70"/>
      <c r="I245" s="71"/>
      <c r="K245" s="71"/>
      <c r="L245" s="71"/>
      <c r="W245" s="5"/>
      <c r="AE245" s="69"/>
      <c r="AI245" s="71"/>
    </row>
    <row r="246" spans="2:35" x14ac:dyDescent="0.25">
      <c r="B246" s="316"/>
      <c r="G246" s="71"/>
      <c r="H246" s="70"/>
      <c r="I246" s="71"/>
      <c r="K246" s="71"/>
      <c r="L246" s="71"/>
      <c r="W246" s="5"/>
      <c r="AE246" s="69"/>
      <c r="AI246" s="71"/>
    </row>
    <row r="247" spans="2:35" x14ac:dyDescent="0.25">
      <c r="B247" s="316"/>
      <c r="G247" s="71"/>
      <c r="H247" s="70"/>
      <c r="I247" s="71"/>
      <c r="K247" s="71"/>
      <c r="L247" s="71"/>
      <c r="W247" s="5"/>
      <c r="AE247" s="69"/>
      <c r="AI247" s="71"/>
    </row>
    <row r="248" spans="2:35" x14ac:dyDescent="0.25">
      <c r="B248" s="316"/>
      <c r="G248" s="71"/>
      <c r="H248" s="70"/>
      <c r="I248" s="71"/>
      <c r="K248" s="71"/>
      <c r="L248" s="71"/>
      <c r="W248" s="5"/>
      <c r="AE248" s="69"/>
      <c r="AI248" s="71"/>
    </row>
    <row r="249" spans="2:35" x14ac:dyDescent="0.25">
      <c r="B249" s="316"/>
      <c r="G249" s="71"/>
      <c r="H249" s="70"/>
      <c r="I249" s="71"/>
      <c r="K249" s="71"/>
      <c r="L249" s="71"/>
      <c r="W249" s="5"/>
      <c r="AE249" s="69"/>
      <c r="AI249" s="71"/>
    </row>
    <row r="250" spans="2:35" x14ac:dyDescent="0.25">
      <c r="B250" s="316"/>
      <c r="G250" s="71"/>
      <c r="H250" s="70"/>
      <c r="I250" s="71"/>
      <c r="K250" s="71"/>
      <c r="L250" s="71"/>
      <c r="W250" s="5"/>
      <c r="AE250" s="69"/>
      <c r="AI250" s="71"/>
    </row>
    <row r="251" spans="2:35" x14ac:dyDescent="0.25">
      <c r="B251" s="316"/>
      <c r="G251" s="71"/>
      <c r="H251" s="70"/>
      <c r="I251" s="71"/>
      <c r="K251" s="71"/>
      <c r="L251" s="71"/>
      <c r="W251" s="5"/>
      <c r="AE251" s="69"/>
      <c r="AI251" s="71"/>
    </row>
    <row r="252" spans="2:35" x14ac:dyDescent="0.25">
      <c r="B252" s="316"/>
      <c r="G252" s="71"/>
      <c r="H252" s="70"/>
      <c r="I252" s="71"/>
      <c r="K252" s="71"/>
      <c r="L252" s="71"/>
      <c r="W252" s="5"/>
      <c r="AE252" s="69"/>
      <c r="AI252" s="71"/>
    </row>
    <row r="253" spans="2:35" x14ac:dyDescent="0.25">
      <c r="B253" s="316"/>
      <c r="G253" s="71"/>
      <c r="H253" s="70"/>
      <c r="I253" s="71"/>
      <c r="K253" s="71"/>
      <c r="L253" s="71"/>
      <c r="W253" s="5"/>
      <c r="AE253" s="69"/>
      <c r="AI253" s="71"/>
    </row>
    <row r="254" spans="2:35" x14ac:dyDescent="0.25">
      <c r="B254" s="316"/>
      <c r="G254" s="71"/>
      <c r="H254" s="70"/>
      <c r="I254" s="71"/>
      <c r="K254" s="71"/>
      <c r="L254" s="71"/>
      <c r="W254" s="5"/>
      <c r="AE254" s="69"/>
      <c r="AI254" s="71"/>
    </row>
    <row r="255" spans="2:35" x14ac:dyDescent="0.25">
      <c r="B255" s="316"/>
      <c r="G255" s="71"/>
      <c r="H255" s="70"/>
      <c r="I255" s="71"/>
      <c r="K255" s="71"/>
      <c r="L255" s="71"/>
      <c r="W255" s="5"/>
      <c r="AE255" s="69"/>
      <c r="AI255" s="71"/>
    </row>
    <row r="256" spans="2:35" x14ac:dyDescent="0.25">
      <c r="B256" s="316"/>
      <c r="G256" s="71"/>
      <c r="H256" s="70"/>
      <c r="I256" s="71"/>
      <c r="K256" s="71"/>
      <c r="L256" s="71"/>
      <c r="W256" s="5"/>
      <c r="AE256" s="69"/>
      <c r="AI256" s="71"/>
    </row>
    <row r="257" spans="2:35" x14ac:dyDescent="0.25">
      <c r="B257" s="316"/>
      <c r="G257" s="71"/>
      <c r="H257" s="70"/>
      <c r="I257" s="71"/>
      <c r="K257" s="71"/>
      <c r="L257" s="71"/>
      <c r="W257" s="5"/>
      <c r="AE257" s="69"/>
      <c r="AI257" s="71"/>
    </row>
    <row r="258" spans="2:35" x14ac:dyDescent="0.25">
      <c r="B258" s="316"/>
      <c r="G258" s="71"/>
      <c r="H258" s="70"/>
      <c r="I258" s="71"/>
      <c r="K258" s="71"/>
      <c r="L258" s="71"/>
      <c r="W258" s="5"/>
      <c r="AE258" s="69"/>
      <c r="AI258" s="71"/>
    </row>
    <row r="259" spans="2:35" x14ac:dyDescent="0.25">
      <c r="B259" s="316"/>
      <c r="G259" s="71"/>
      <c r="H259" s="70"/>
      <c r="I259" s="71"/>
      <c r="K259" s="71"/>
      <c r="L259" s="71"/>
      <c r="W259" s="5"/>
      <c r="AE259" s="69"/>
      <c r="AI259" s="71"/>
    </row>
    <row r="260" spans="2:35" x14ac:dyDescent="0.25">
      <c r="B260" s="316"/>
      <c r="G260" s="71"/>
      <c r="H260" s="70"/>
      <c r="I260" s="71"/>
      <c r="K260" s="71"/>
      <c r="L260" s="71"/>
      <c r="W260" s="5"/>
      <c r="AE260" s="69"/>
      <c r="AI260" s="71"/>
    </row>
    <row r="261" spans="2:35" x14ac:dyDescent="0.25">
      <c r="B261" s="316"/>
      <c r="G261" s="71"/>
      <c r="H261" s="70"/>
      <c r="I261" s="71"/>
      <c r="K261" s="71"/>
      <c r="L261" s="71"/>
      <c r="W261" s="5"/>
      <c r="AE261" s="69"/>
      <c r="AI261" s="71"/>
    </row>
    <row r="262" spans="2:35" x14ac:dyDescent="0.25">
      <c r="B262" s="316"/>
      <c r="G262" s="71"/>
      <c r="H262" s="70"/>
      <c r="I262" s="71"/>
      <c r="K262" s="71"/>
      <c r="L262" s="71"/>
      <c r="W262" s="5"/>
      <c r="AE262" s="69"/>
      <c r="AI262" s="71"/>
    </row>
    <row r="263" spans="2:35" x14ac:dyDescent="0.25">
      <c r="B263" s="316"/>
      <c r="G263" s="71"/>
      <c r="H263" s="70"/>
      <c r="I263" s="71"/>
      <c r="K263" s="71"/>
      <c r="L263" s="71"/>
      <c r="W263" s="5"/>
      <c r="AE263" s="69"/>
      <c r="AI263" s="71"/>
    </row>
    <row r="264" spans="2:35" x14ac:dyDescent="0.25">
      <c r="B264" s="316"/>
      <c r="G264" s="71"/>
      <c r="H264" s="70"/>
      <c r="I264" s="71"/>
      <c r="K264" s="71"/>
      <c r="L264" s="71"/>
      <c r="W264" s="5"/>
      <c r="AE264" s="69"/>
      <c r="AI264" s="71"/>
    </row>
    <row r="265" spans="2:35" x14ac:dyDescent="0.25">
      <c r="B265" s="316"/>
      <c r="G265" s="71"/>
      <c r="H265" s="70"/>
      <c r="I265" s="71"/>
      <c r="K265" s="71"/>
      <c r="L265" s="71"/>
      <c r="W265" s="5"/>
      <c r="AE265" s="69"/>
      <c r="AI265" s="71"/>
    </row>
    <row r="266" spans="2:35" x14ac:dyDescent="0.25">
      <c r="B266" s="316"/>
      <c r="G266" s="71"/>
      <c r="H266" s="70"/>
      <c r="I266" s="71"/>
      <c r="K266" s="71"/>
      <c r="L266" s="71"/>
      <c r="W266" s="5"/>
      <c r="AE266" s="69"/>
      <c r="AI266" s="71"/>
    </row>
    <row r="267" spans="2:35" x14ac:dyDescent="0.25">
      <c r="B267" s="316"/>
      <c r="G267" s="71"/>
      <c r="H267" s="70"/>
      <c r="I267" s="71"/>
      <c r="K267" s="71"/>
      <c r="L267" s="71"/>
      <c r="W267" s="5"/>
      <c r="AE267" s="69"/>
      <c r="AI267" s="71"/>
    </row>
    <row r="268" spans="2:35" x14ac:dyDescent="0.25">
      <c r="B268" s="316"/>
      <c r="G268" s="71"/>
      <c r="H268" s="70"/>
      <c r="I268" s="71"/>
      <c r="K268" s="71"/>
      <c r="L268" s="71"/>
      <c r="W268" s="5"/>
      <c r="AE268" s="69"/>
      <c r="AI268" s="71"/>
    </row>
    <row r="269" spans="2:35" x14ac:dyDescent="0.25">
      <c r="B269" s="316"/>
      <c r="G269" s="71"/>
      <c r="H269" s="70"/>
      <c r="I269" s="71"/>
      <c r="K269" s="71"/>
      <c r="L269" s="71"/>
      <c r="W269" s="5"/>
      <c r="AE269" s="69"/>
      <c r="AI269" s="71"/>
    </row>
    <row r="270" spans="2:35" x14ac:dyDescent="0.25">
      <c r="B270" s="316"/>
      <c r="G270" s="71"/>
      <c r="H270" s="70"/>
      <c r="I270" s="71"/>
      <c r="K270" s="71"/>
      <c r="L270" s="71"/>
      <c r="W270" s="5"/>
      <c r="AE270" s="69"/>
      <c r="AI270" s="71"/>
    </row>
    <row r="271" spans="2:35" x14ac:dyDescent="0.25">
      <c r="B271" s="316"/>
      <c r="G271" s="71"/>
      <c r="H271" s="70"/>
      <c r="I271" s="71"/>
      <c r="K271" s="71"/>
      <c r="L271" s="71"/>
      <c r="W271" s="5"/>
      <c r="AE271" s="69"/>
      <c r="AI271" s="71"/>
    </row>
    <row r="272" spans="2:35" x14ac:dyDescent="0.25">
      <c r="B272" s="316"/>
      <c r="G272" s="71"/>
      <c r="H272" s="70"/>
      <c r="I272" s="71"/>
      <c r="K272" s="71"/>
      <c r="L272" s="71"/>
      <c r="W272" s="5"/>
      <c r="AE272" s="69"/>
      <c r="AI272" s="71"/>
    </row>
    <row r="273" spans="2:35" x14ac:dyDescent="0.25">
      <c r="B273" s="316"/>
      <c r="G273" s="71"/>
      <c r="H273" s="70"/>
      <c r="I273" s="71"/>
      <c r="K273" s="71"/>
      <c r="L273" s="71"/>
      <c r="W273" s="5"/>
      <c r="AE273" s="69"/>
      <c r="AI273" s="71"/>
    </row>
    <row r="274" spans="2:35" x14ac:dyDescent="0.25">
      <c r="B274" s="316"/>
      <c r="G274" s="71"/>
      <c r="H274" s="70"/>
      <c r="I274" s="71"/>
      <c r="K274" s="71"/>
      <c r="L274" s="71"/>
      <c r="W274" s="5"/>
      <c r="AE274" s="69"/>
      <c r="AI274" s="71"/>
    </row>
    <row r="275" spans="2:35" x14ac:dyDescent="0.25">
      <c r="B275" s="316"/>
      <c r="G275" s="71"/>
      <c r="H275" s="70"/>
      <c r="I275" s="71"/>
      <c r="K275" s="71"/>
      <c r="L275" s="71"/>
      <c r="W275" s="5"/>
      <c r="AE275" s="69"/>
      <c r="AI275" s="71"/>
    </row>
    <row r="276" spans="2:35" x14ac:dyDescent="0.25">
      <c r="B276" s="316"/>
      <c r="G276" s="71"/>
      <c r="H276" s="70"/>
      <c r="I276" s="71"/>
      <c r="K276" s="71"/>
      <c r="L276" s="71"/>
      <c r="W276" s="5"/>
      <c r="AE276" s="69"/>
      <c r="AI276" s="71"/>
    </row>
    <row r="277" spans="2:35" x14ac:dyDescent="0.25">
      <c r="B277" s="316"/>
      <c r="G277" s="71"/>
      <c r="H277" s="70"/>
      <c r="I277" s="71"/>
      <c r="K277" s="71"/>
      <c r="L277" s="71"/>
      <c r="W277" s="5"/>
      <c r="AE277" s="69"/>
      <c r="AI277" s="71"/>
    </row>
    <row r="278" spans="2:35" x14ac:dyDescent="0.25">
      <c r="B278" s="316"/>
      <c r="G278" s="71"/>
      <c r="H278" s="70"/>
      <c r="I278" s="71"/>
      <c r="K278" s="71"/>
      <c r="L278" s="71"/>
      <c r="W278" s="5"/>
      <c r="AE278" s="69"/>
      <c r="AI278" s="71"/>
    </row>
    <row r="279" spans="2:35" x14ac:dyDescent="0.25">
      <c r="B279" s="316"/>
      <c r="G279" s="71"/>
      <c r="H279" s="70"/>
      <c r="I279" s="71"/>
      <c r="K279" s="71"/>
      <c r="L279" s="71"/>
      <c r="W279" s="5"/>
      <c r="AE279" s="69"/>
      <c r="AI279" s="71"/>
    </row>
    <row r="280" spans="2:35" x14ac:dyDescent="0.25">
      <c r="B280" s="316"/>
      <c r="G280" s="71"/>
      <c r="H280" s="70"/>
      <c r="I280" s="71"/>
      <c r="K280" s="71"/>
      <c r="L280" s="71"/>
      <c r="W280" s="5"/>
      <c r="AE280" s="69"/>
      <c r="AI280" s="71"/>
    </row>
    <row r="281" spans="2:35" x14ac:dyDescent="0.25">
      <c r="B281" s="316"/>
      <c r="G281" s="71"/>
      <c r="H281" s="70"/>
      <c r="I281" s="71"/>
      <c r="K281" s="71"/>
      <c r="L281" s="71"/>
      <c r="W281" s="5"/>
      <c r="AE281" s="69"/>
      <c r="AI281" s="71"/>
    </row>
    <row r="282" spans="2:35" x14ac:dyDescent="0.25">
      <c r="B282" s="316"/>
      <c r="G282" s="71"/>
      <c r="H282" s="70"/>
      <c r="I282" s="71"/>
      <c r="K282" s="71"/>
      <c r="L282" s="71"/>
      <c r="W282" s="5"/>
      <c r="AE282" s="69"/>
      <c r="AI282" s="71"/>
    </row>
    <row r="283" spans="2:35" x14ac:dyDescent="0.25">
      <c r="B283" s="316"/>
      <c r="G283" s="71"/>
      <c r="H283" s="70"/>
      <c r="I283" s="71"/>
      <c r="K283" s="71"/>
      <c r="L283" s="71"/>
      <c r="W283" s="5"/>
      <c r="AE283" s="69"/>
      <c r="AI283" s="71"/>
    </row>
    <row r="284" spans="2:35" x14ac:dyDescent="0.25">
      <c r="B284" s="316"/>
      <c r="G284" s="71"/>
      <c r="H284" s="70"/>
      <c r="I284" s="71"/>
      <c r="K284" s="71"/>
      <c r="L284" s="71"/>
      <c r="W284" s="5"/>
      <c r="AE284" s="69"/>
      <c r="AI284" s="71"/>
    </row>
    <row r="285" spans="2:35" x14ac:dyDescent="0.25">
      <c r="B285" s="316"/>
      <c r="G285" s="71"/>
      <c r="H285" s="70"/>
      <c r="I285" s="71"/>
      <c r="K285" s="71"/>
      <c r="L285" s="71"/>
      <c r="W285" s="5"/>
      <c r="AE285" s="69"/>
      <c r="AI285" s="71"/>
    </row>
    <row r="286" spans="2:35" x14ac:dyDescent="0.25">
      <c r="B286" s="316"/>
      <c r="G286" s="71"/>
      <c r="H286" s="70"/>
      <c r="I286" s="71"/>
      <c r="K286" s="71"/>
      <c r="L286" s="71"/>
      <c r="W286" s="5"/>
      <c r="AE286" s="69"/>
      <c r="AI286" s="71"/>
    </row>
    <row r="287" spans="2:35" x14ac:dyDescent="0.25">
      <c r="B287" s="316"/>
      <c r="G287" s="71"/>
      <c r="H287" s="70"/>
      <c r="I287" s="71"/>
      <c r="K287" s="71"/>
      <c r="L287" s="71"/>
      <c r="W287" s="5"/>
      <c r="AE287" s="69"/>
      <c r="AI287" s="71"/>
    </row>
    <row r="288" spans="2:35" x14ac:dyDescent="0.25">
      <c r="B288" s="316"/>
      <c r="G288" s="71"/>
      <c r="H288" s="70"/>
      <c r="I288" s="71"/>
      <c r="K288" s="71"/>
      <c r="L288" s="71"/>
      <c r="W288" s="5"/>
      <c r="AE288" s="69"/>
      <c r="AI288" s="71"/>
    </row>
    <row r="289" spans="2:35" x14ac:dyDescent="0.25">
      <c r="B289" s="316"/>
      <c r="G289" s="71"/>
      <c r="H289" s="70"/>
      <c r="I289" s="71"/>
      <c r="K289" s="71"/>
      <c r="L289" s="71"/>
      <c r="W289" s="5"/>
      <c r="AE289" s="69"/>
      <c r="AI289" s="71"/>
    </row>
    <row r="290" spans="2:35" x14ac:dyDescent="0.25">
      <c r="B290" s="316"/>
      <c r="G290" s="71"/>
      <c r="H290" s="70"/>
      <c r="I290" s="71"/>
      <c r="K290" s="71"/>
      <c r="L290" s="71"/>
      <c r="W290" s="5"/>
      <c r="AE290" s="69"/>
      <c r="AI290" s="71"/>
    </row>
    <row r="291" spans="2:35" x14ac:dyDescent="0.25">
      <c r="B291" s="316"/>
      <c r="G291" s="71"/>
      <c r="H291" s="70"/>
      <c r="I291" s="71"/>
      <c r="K291" s="71"/>
      <c r="L291" s="71"/>
      <c r="W291" s="5"/>
      <c r="AE291" s="69"/>
      <c r="AI291" s="71"/>
    </row>
    <row r="292" spans="2:35" x14ac:dyDescent="0.25">
      <c r="B292" s="316"/>
      <c r="G292" s="71"/>
      <c r="H292" s="70"/>
      <c r="I292" s="71"/>
      <c r="K292" s="71"/>
      <c r="L292" s="71"/>
      <c r="W292" s="5"/>
      <c r="AE292" s="69"/>
      <c r="AI292" s="71"/>
    </row>
    <row r="293" spans="2:35" x14ac:dyDescent="0.25">
      <c r="B293" s="316"/>
      <c r="G293" s="71"/>
      <c r="H293" s="70"/>
      <c r="I293" s="71"/>
      <c r="K293" s="71"/>
      <c r="L293" s="71"/>
      <c r="W293" s="5"/>
      <c r="AE293" s="69"/>
      <c r="AI293" s="71"/>
    </row>
    <row r="294" spans="2:35" x14ac:dyDescent="0.25">
      <c r="B294" s="316"/>
      <c r="G294" s="71"/>
      <c r="H294" s="70"/>
      <c r="I294" s="71"/>
      <c r="K294" s="71"/>
      <c r="L294" s="71"/>
      <c r="W294" s="5"/>
      <c r="AE294" s="69"/>
      <c r="AI294" s="71"/>
    </row>
    <row r="295" spans="2:35" x14ac:dyDescent="0.25">
      <c r="B295" s="316"/>
      <c r="G295" s="71"/>
      <c r="H295" s="70"/>
      <c r="I295" s="71"/>
      <c r="K295" s="71"/>
      <c r="L295" s="71"/>
      <c r="W295" s="5"/>
      <c r="AE295" s="69"/>
      <c r="AI295" s="71"/>
    </row>
    <row r="296" spans="2:35" x14ac:dyDescent="0.25">
      <c r="B296" s="316"/>
      <c r="G296" s="71"/>
      <c r="H296" s="70"/>
      <c r="I296" s="71"/>
      <c r="K296" s="71"/>
      <c r="L296" s="71"/>
      <c r="W296" s="5"/>
      <c r="AE296" s="69"/>
      <c r="AI296" s="71"/>
    </row>
    <row r="297" spans="2:35" x14ac:dyDescent="0.25">
      <c r="B297" s="316"/>
      <c r="G297" s="71"/>
      <c r="H297" s="70"/>
      <c r="I297" s="71"/>
      <c r="K297" s="71"/>
      <c r="L297" s="71"/>
      <c r="W297" s="5"/>
      <c r="AE297" s="69"/>
      <c r="AI297" s="71"/>
    </row>
    <row r="298" spans="2:35" x14ac:dyDescent="0.25">
      <c r="B298" s="316"/>
      <c r="G298" s="71"/>
      <c r="H298" s="70"/>
      <c r="I298" s="71"/>
      <c r="K298" s="71"/>
      <c r="L298" s="71"/>
      <c r="W298" s="5"/>
      <c r="AE298" s="69"/>
      <c r="AI298" s="71"/>
    </row>
    <row r="299" spans="2:35" x14ac:dyDescent="0.25">
      <c r="B299" s="316"/>
      <c r="G299" s="71"/>
      <c r="H299" s="70"/>
      <c r="I299" s="71"/>
      <c r="K299" s="71"/>
      <c r="L299" s="71"/>
      <c r="W299" s="5"/>
      <c r="AE299" s="69"/>
      <c r="AI299" s="71"/>
    </row>
    <row r="300" spans="2:35" x14ac:dyDescent="0.25">
      <c r="B300" s="316"/>
      <c r="G300" s="71"/>
      <c r="H300" s="70"/>
      <c r="I300" s="71"/>
      <c r="K300" s="71"/>
      <c r="L300" s="71"/>
      <c r="W300" s="5"/>
      <c r="AE300" s="69"/>
      <c r="AI300" s="71"/>
    </row>
    <row r="301" spans="2:35" x14ac:dyDescent="0.25">
      <c r="B301" s="316"/>
      <c r="G301" s="71"/>
      <c r="H301" s="70"/>
      <c r="I301" s="71"/>
      <c r="K301" s="71"/>
      <c r="L301" s="71"/>
      <c r="W301" s="5"/>
      <c r="AE301" s="69"/>
      <c r="AI301" s="71"/>
    </row>
    <row r="302" spans="2:35" x14ac:dyDescent="0.25">
      <c r="B302" s="316"/>
      <c r="G302" s="71"/>
      <c r="H302" s="70"/>
      <c r="I302" s="71"/>
      <c r="K302" s="71"/>
      <c r="L302" s="71"/>
      <c r="W302" s="5"/>
      <c r="AE302" s="69"/>
      <c r="AI302" s="71"/>
    </row>
    <row r="303" spans="2:35" x14ac:dyDescent="0.25">
      <c r="B303" s="316"/>
      <c r="G303" s="71"/>
      <c r="H303" s="70"/>
      <c r="I303" s="71"/>
      <c r="K303" s="71"/>
      <c r="L303" s="71"/>
      <c r="W303" s="5"/>
      <c r="AE303" s="69"/>
      <c r="AI303" s="71"/>
    </row>
    <row r="304" spans="2:35" x14ac:dyDescent="0.25">
      <c r="B304" s="316"/>
      <c r="G304" s="71"/>
      <c r="H304" s="70"/>
      <c r="I304" s="71"/>
      <c r="K304" s="71"/>
      <c r="L304" s="71"/>
      <c r="W304" s="5"/>
      <c r="AE304" s="69"/>
      <c r="AI304" s="71"/>
    </row>
    <row r="305" spans="2:35" x14ac:dyDescent="0.25">
      <c r="B305" s="316"/>
      <c r="G305" s="71"/>
      <c r="H305" s="70"/>
      <c r="I305" s="71"/>
      <c r="K305" s="71"/>
      <c r="L305" s="71"/>
      <c r="W305" s="5"/>
      <c r="AE305" s="69"/>
      <c r="AI305" s="71"/>
    </row>
    <row r="306" spans="2:35" x14ac:dyDescent="0.25">
      <c r="B306" s="316"/>
      <c r="G306" s="71"/>
      <c r="H306" s="70"/>
      <c r="I306" s="71"/>
      <c r="K306" s="71"/>
      <c r="L306" s="71"/>
      <c r="W306" s="5"/>
      <c r="AE306" s="69"/>
      <c r="AI306" s="71"/>
    </row>
    <row r="307" spans="2:35" x14ac:dyDescent="0.25">
      <c r="B307" s="316"/>
      <c r="G307" s="71"/>
      <c r="H307" s="70"/>
      <c r="I307" s="71"/>
      <c r="K307" s="71"/>
      <c r="L307" s="71"/>
      <c r="W307" s="5"/>
      <c r="AE307" s="69"/>
      <c r="AI307" s="71"/>
    </row>
    <row r="308" spans="2:35" x14ac:dyDescent="0.25">
      <c r="B308" s="316"/>
      <c r="G308" s="71"/>
      <c r="H308" s="70"/>
      <c r="I308" s="71"/>
      <c r="K308" s="71"/>
      <c r="L308" s="71"/>
      <c r="W308" s="5"/>
      <c r="AE308" s="69"/>
      <c r="AI308" s="71"/>
    </row>
    <row r="309" spans="2:35" x14ac:dyDescent="0.25">
      <c r="B309" s="316"/>
      <c r="G309" s="71"/>
      <c r="H309" s="70"/>
      <c r="I309" s="71"/>
      <c r="K309" s="71"/>
      <c r="L309" s="71"/>
      <c r="W309" s="5"/>
      <c r="AE309" s="69"/>
      <c r="AI309" s="71"/>
    </row>
    <row r="310" spans="2:35" x14ac:dyDescent="0.25">
      <c r="B310" s="316"/>
      <c r="G310" s="71"/>
      <c r="H310" s="70"/>
      <c r="I310" s="71"/>
      <c r="K310" s="71"/>
      <c r="L310" s="71"/>
      <c r="W310" s="5"/>
      <c r="AE310" s="69"/>
      <c r="AI310" s="71"/>
    </row>
    <row r="311" spans="2:35" x14ac:dyDescent="0.25">
      <c r="B311" s="316"/>
      <c r="G311" s="71"/>
      <c r="H311" s="70"/>
      <c r="I311" s="71"/>
      <c r="K311" s="71"/>
      <c r="L311" s="71"/>
      <c r="W311" s="5"/>
      <c r="AE311" s="69"/>
      <c r="AI311" s="71"/>
    </row>
    <row r="312" spans="2:35" x14ac:dyDescent="0.25">
      <c r="B312" s="316"/>
      <c r="G312" s="71"/>
      <c r="H312" s="70"/>
      <c r="I312" s="71"/>
      <c r="K312" s="71"/>
      <c r="L312" s="71"/>
      <c r="W312" s="5"/>
      <c r="AE312" s="69"/>
      <c r="AI312" s="71"/>
    </row>
    <row r="313" spans="2:35" x14ac:dyDescent="0.25">
      <c r="B313" s="316"/>
      <c r="G313" s="71"/>
      <c r="H313" s="70"/>
      <c r="I313" s="71"/>
      <c r="K313" s="71"/>
      <c r="L313" s="71"/>
      <c r="W313" s="5"/>
      <c r="AE313" s="69"/>
      <c r="AI313" s="71"/>
    </row>
    <row r="314" spans="2:35" x14ac:dyDescent="0.25">
      <c r="B314" s="316"/>
      <c r="G314" s="71"/>
      <c r="H314" s="70"/>
      <c r="I314" s="71"/>
      <c r="K314" s="71"/>
      <c r="L314" s="71"/>
      <c r="W314" s="5"/>
      <c r="AE314" s="69"/>
      <c r="AI314" s="71"/>
    </row>
    <row r="315" spans="2:35" x14ac:dyDescent="0.25">
      <c r="B315" s="316"/>
      <c r="G315" s="71"/>
      <c r="H315" s="70"/>
      <c r="I315" s="71"/>
      <c r="K315" s="71"/>
      <c r="L315" s="71"/>
      <c r="W315" s="5"/>
      <c r="AE315" s="69"/>
      <c r="AI315" s="71"/>
    </row>
    <row r="316" spans="2:35" x14ac:dyDescent="0.25">
      <c r="B316" s="316"/>
      <c r="G316" s="71"/>
      <c r="H316" s="70"/>
      <c r="I316" s="71"/>
      <c r="K316" s="71"/>
      <c r="L316" s="71"/>
      <c r="W316" s="5"/>
      <c r="AE316" s="69"/>
      <c r="AI316" s="71"/>
    </row>
    <row r="317" spans="2:35" x14ac:dyDescent="0.25">
      <c r="B317" s="316"/>
      <c r="G317" s="71"/>
      <c r="H317" s="70"/>
      <c r="I317" s="71"/>
      <c r="K317" s="71"/>
      <c r="L317" s="71"/>
      <c r="W317" s="5"/>
      <c r="AE317" s="69"/>
      <c r="AI317" s="71"/>
    </row>
    <row r="318" spans="2:35" x14ac:dyDescent="0.25">
      <c r="B318" s="316"/>
      <c r="G318" s="71"/>
      <c r="H318" s="70"/>
      <c r="I318" s="71"/>
      <c r="K318" s="71"/>
      <c r="L318" s="71"/>
      <c r="W318" s="5"/>
      <c r="AE318" s="69"/>
      <c r="AI318" s="71"/>
    </row>
    <row r="319" spans="2:35" x14ac:dyDescent="0.25">
      <c r="B319" s="316"/>
      <c r="G319" s="71"/>
      <c r="H319" s="70"/>
      <c r="I319" s="71"/>
      <c r="K319" s="71"/>
      <c r="L319" s="71"/>
      <c r="W319" s="5"/>
      <c r="AE319" s="69"/>
      <c r="AI319" s="71"/>
    </row>
    <row r="320" spans="2:35" x14ac:dyDescent="0.25">
      <c r="B320" s="316"/>
      <c r="G320" s="71"/>
      <c r="H320" s="70"/>
      <c r="I320" s="71"/>
      <c r="K320" s="71"/>
      <c r="L320" s="71"/>
      <c r="W320" s="5"/>
      <c r="AE320" s="69"/>
      <c r="AI320" s="71"/>
    </row>
    <row r="321" spans="2:35" x14ac:dyDescent="0.25">
      <c r="B321" s="316"/>
      <c r="G321" s="71"/>
      <c r="H321" s="70"/>
      <c r="I321" s="71"/>
      <c r="K321" s="71"/>
      <c r="L321" s="71"/>
      <c r="W321" s="5"/>
      <c r="AE321" s="69"/>
      <c r="AI321" s="71"/>
    </row>
    <row r="322" spans="2:35" x14ac:dyDescent="0.25">
      <c r="B322" s="316"/>
      <c r="G322" s="71"/>
      <c r="H322" s="70"/>
      <c r="I322" s="71"/>
      <c r="K322" s="71"/>
      <c r="L322" s="71"/>
      <c r="W322" s="5"/>
      <c r="AE322" s="69"/>
      <c r="AI322" s="71"/>
    </row>
    <row r="323" spans="2:35" x14ac:dyDescent="0.25">
      <c r="B323" s="316"/>
      <c r="G323" s="71"/>
      <c r="H323" s="70"/>
      <c r="I323" s="71"/>
      <c r="K323" s="71"/>
      <c r="L323" s="71"/>
      <c r="W323" s="5"/>
      <c r="AE323" s="69"/>
      <c r="AI323" s="71"/>
    </row>
    <row r="324" spans="2:35" x14ac:dyDescent="0.25">
      <c r="B324" s="316"/>
      <c r="G324" s="71"/>
      <c r="H324" s="70"/>
      <c r="I324" s="71"/>
      <c r="K324" s="71"/>
      <c r="L324" s="71"/>
      <c r="W324" s="5"/>
      <c r="AE324" s="69"/>
      <c r="AI324" s="71"/>
    </row>
    <row r="325" spans="2:35" x14ac:dyDescent="0.25">
      <c r="B325" s="316"/>
      <c r="G325" s="71"/>
      <c r="H325" s="70"/>
      <c r="I325" s="71"/>
      <c r="K325" s="71"/>
      <c r="L325" s="71"/>
      <c r="W325" s="5"/>
      <c r="AE325" s="69"/>
      <c r="AI325" s="71"/>
    </row>
    <row r="326" spans="2:35" x14ac:dyDescent="0.25">
      <c r="B326" s="316"/>
      <c r="G326" s="71"/>
      <c r="H326" s="70"/>
      <c r="I326" s="71"/>
      <c r="K326" s="71"/>
      <c r="L326" s="71"/>
      <c r="W326" s="5"/>
      <c r="AE326" s="69"/>
      <c r="AI326" s="71"/>
    </row>
    <row r="327" spans="2:35" x14ac:dyDescent="0.25">
      <c r="B327" s="316"/>
      <c r="G327" s="71"/>
      <c r="H327" s="70"/>
      <c r="I327" s="71"/>
      <c r="K327" s="71"/>
      <c r="L327" s="71"/>
      <c r="W327" s="5"/>
      <c r="AE327" s="69"/>
      <c r="AI327" s="71"/>
    </row>
    <row r="328" spans="2:35" x14ac:dyDescent="0.25">
      <c r="B328" s="316"/>
      <c r="G328" s="71"/>
      <c r="H328" s="70"/>
      <c r="I328" s="71"/>
      <c r="K328" s="71"/>
      <c r="L328" s="71"/>
      <c r="W328" s="5"/>
      <c r="AE328" s="69"/>
      <c r="AI328" s="71"/>
    </row>
    <row r="329" spans="2:35" x14ac:dyDescent="0.25">
      <c r="B329" s="316"/>
      <c r="G329" s="71"/>
      <c r="H329" s="70"/>
      <c r="I329" s="71"/>
      <c r="K329" s="71"/>
      <c r="L329" s="71"/>
      <c r="W329" s="5"/>
      <c r="AE329" s="69"/>
      <c r="AI329" s="71"/>
    </row>
    <row r="330" spans="2:35" x14ac:dyDescent="0.25">
      <c r="B330" s="316"/>
      <c r="G330" s="71"/>
      <c r="H330" s="70"/>
      <c r="I330" s="71"/>
      <c r="K330" s="71"/>
      <c r="L330" s="71"/>
      <c r="W330" s="5"/>
      <c r="AE330" s="69"/>
      <c r="AI330" s="71"/>
    </row>
    <row r="331" spans="2:35" x14ac:dyDescent="0.25">
      <c r="B331" s="316"/>
      <c r="G331" s="71"/>
      <c r="H331" s="70"/>
      <c r="I331" s="71"/>
      <c r="K331" s="71"/>
      <c r="L331" s="71"/>
      <c r="W331" s="5"/>
      <c r="AE331" s="69"/>
      <c r="AI331" s="71"/>
    </row>
    <row r="332" spans="2:35" x14ac:dyDescent="0.25">
      <c r="B332" s="316"/>
      <c r="G332" s="71"/>
      <c r="H332" s="70"/>
      <c r="I332" s="71"/>
      <c r="K332" s="71"/>
      <c r="L332" s="71"/>
      <c r="W332" s="5"/>
      <c r="AE332" s="69"/>
      <c r="AI332" s="71"/>
    </row>
    <row r="333" spans="2:35" x14ac:dyDescent="0.25">
      <c r="B333" s="316"/>
      <c r="G333" s="71"/>
      <c r="H333" s="70"/>
      <c r="I333" s="71"/>
      <c r="K333" s="71"/>
      <c r="L333" s="71"/>
      <c r="W333" s="5"/>
      <c r="AE333" s="69"/>
      <c r="AI333" s="71"/>
    </row>
    <row r="334" spans="2:35" x14ac:dyDescent="0.25">
      <c r="B334" s="316"/>
      <c r="G334" s="71"/>
      <c r="H334" s="70"/>
      <c r="I334" s="71"/>
      <c r="K334" s="71"/>
      <c r="L334" s="71"/>
      <c r="W334" s="5"/>
      <c r="AE334" s="69"/>
      <c r="AI334" s="71"/>
    </row>
    <row r="335" spans="2:35" x14ac:dyDescent="0.25">
      <c r="B335" s="316"/>
      <c r="G335" s="71"/>
      <c r="H335" s="70"/>
      <c r="I335" s="71"/>
      <c r="K335" s="71"/>
      <c r="L335" s="71"/>
      <c r="W335" s="5"/>
      <c r="AE335" s="69"/>
      <c r="AI335" s="71"/>
    </row>
    <row r="336" spans="2:35" x14ac:dyDescent="0.25">
      <c r="B336" s="316"/>
      <c r="G336" s="71"/>
      <c r="H336" s="70"/>
      <c r="I336" s="71"/>
      <c r="K336" s="71"/>
      <c r="L336" s="71"/>
      <c r="W336" s="5"/>
      <c r="AE336" s="69"/>
      <c r="AI336" s="71"/>
    </row>
    <row r="337" spans="2:35" x14ac:dyDescent="0.25">
      <c r="B337" s="316"/>
      <c r="G337" s="71"/>
      <c r="H337" s="70"/>
      <c r="I337" s="71"/>
      <c r="K337" s="71"/>
      <c r="L337" s="71"/>
      <c r="W337" s="5"/>
      <c r="AE337" s="69"/>
      <c r="AI337" s="71"/>
    </row>
    <row r="338" spans="2:35" x14ac:dyDescent="0.25">
      <c r="B338" s="316"/>
      <c r="G338" s="71"/>
      <c r="H338" s="70"/>
      <c r="I338" s="71"/>
      <c r="K338" s="71"/>
      <c r="L338" s="71"/>
      <c r="W338" s="5"/>
      <c r="AE338" s="69"/>
      <c r="AI338" s="71"/>
    </row>
    <row r="339" spans="2:35" x14ac:dyDescent="0.25">
      <c r="B339" s="316"/>
      <c r="G339" s="71"/>
      <c r="H339" s="70"/>
      <c r="I339" s="71"/>
      <c r="K339" s="71"/>
      <c r="L339" s="71"/>
      <c r="W339" s="5"/>
      <c r="AE339" s="69"/>
      <c r="AI339" s="71"/>
    </row>
    <row r="340" spans="2:35" x14ac:dyDescent="0.25">
      <c r="B340" s="316"/>
      <c r="G340" s="71"/>
      <c r="H340" s="70"/>
      <c r="I340" s="71"/>
      <c r="K340" s="71"/>
      <c r="L340" s="71"/>
      <c r="W340" s="5"/>
      <c r="AE340" s="69"/>
      <c r="AI340" s="71"/>
    </row>
    <row r="341" spans="2:35" x14ac:dyDescent="0.25">
      <c r="B341" s="316"/>
      <c r="G341" s="71"/>
      <c r="H341" s="70"/>
      <c r="I341" s="71"/>
      <c r="K341" s="71"/>
      <c r="L341" s="71"/>
      <c r="W341" s="5"/>
      <c r="AE341" s="69"/>
      <c r="AI341" s="71"/>
    </row>
    <row r="342" spans="2:35" x14ac:dyDescent="0.25">
      <c r="B342" s="316"/>
      <c r="G342" s="71"/>
      <c r="H342" s="70"/>
      <c r="I342" s="71"/>
      <c r="K342" s="71"/>
      <c r="L342" s="71"/>
      <c r="W342" s="5"/>
      <c r="AE342" s="69"/>
      <c r="AI342" s="71"/>
    </row>
    <row r="343" spans="2:35" x14ac:dyDescent="0.25">
      <c r="B343" s="316"/>
      <c r="G343" s="71"/>
      <c r="H343" s="70"/>
      <c r="I343" s="71"/>
      <c r="K343" s="71"/>
      <c r="L343" s="71"/>
      <c r="W343" s="5"/>
      <c r="AE343" s="69"/>
      <c r="AI343" s="71"/>
    </row>
    <row r="344" spans="2:35" x14ac:dyDescent="0.25">
      <c r="B344" s="316"/>
      <c r="G344" s="71"/>
      <c r="H344" s="70"/>
      <c r="I344" s="71"/>
      <c r="K344" s="71"/>
      <c r="L344" s="71"/>
      <c r="W344" s="5"/>
      <c r="AE344" s="69"/>
      <c r="AI344" s="71"/>
    </row>
    <row r="345" spans="2:35" x14ac:dyDescent="0.25">
      <c r="B345" s="316"/>
      <c r="G345" s="71"/>
      <c r="H345" s="70"/>
      <c r="I345" s="71"/>
      <c r="K345" s="71"/>
      <c r="L345" s="71"/>
      <c r="W345" s="5"/>
      <c r="AE345" s="69"/>
      <c r="AI345" s="71"/>
    </row>
    <row r="346" spans="2:35" x14ac:dyDescent="0.25">
      <c r="B346" s="316"/>
      <c r="G346" s="71"/>
      <c r="H346" s="70"/>
      <c r="I346" s="71"/>
      <c r="K346" s="71"/>
      <c r="L346" s="71"/>
      <c r="W346" s="5"/>
      <c r="AE346" s="69"/>
      <c r="AI346" s="71"/>
    </row>
    <row r="347" spans="2:35" x14ac:dyDescent="0.25">
      <c r="B347" s="316"/>
      <c r="G347" s="71"/>
      <c r="H347" s="70"/>
      <c r="I347" s="71"/>
      <c r="K347" s="71"/>
      <c r="L347" s="71"/>
      <c r="W347" s="5"/>
      <c r="AE347" s="69"/>
      <c r="AI347" s="71"/>
    </row>
    <row r="348" spans="2:35" x14ac:dyDescent="0.25">
      <c r="B348" s="316"/>
      <c r="G348" s="71"/>
      <c r="H348" s="70"/>
      <c r="I348" s="71"/>
      <c r="K348" s="71"/>
      <c r="L348" s="71"/>
      <c r="W348" s="5"/>
      <c r="AE348" s="69"/>
      <c r="AI348" s="71"/>
    </row>
    <row r="349" spans="2:35" x14ac:dyDescent="0.25">
      <c r="B349" s="316"/>
      <c r="G349" s="71"/>
      <c r="H349" s="70"/>
      <c r="I349" s="71"/>
      <c r="K349" s="71"/>
      <c r="L349" s="71"/>
      <c r="W349" s="5"/>
      <c r="AE349" s="69"/>
      <c r="AI349" s="71"/>
    </row>
    <row r="350" spans="2:35" x14ac:dyDescent="0.25">
      <c r="B350" s="316"/>
      <c r="G350" s="71"/>
      <c r="H350" s="70"/>
      <c r="I350" s="71"/>
      <c r="K350" s="71"/>
      <c r="L350" s="71"/>
      <c r="W350" s="5"/>
      <c r="AE350" s="69"/>
      <c r="AI350" s="71"/>
    </row>
    <row r="351" spans="2:35" x14ac:dyDescent="0.25">
      <c r="B351" s="316"/>
      <c r="G351" s="71"/>
      <c r="H351" s="70"/>
      <c r="I351" s="71"/>
      <c r="K351" s="71"/>
      <c r="L351" s="71"/>
      <c r="W351" s="5"/>
      <c r="AE351" s="69"/>
      <c r="AI351" s="71"/>
    </row>
    <row r="352" spans="2:35" x14ac:dyDescent="0.25">
      <c r="B352" s="316"/>
      <c r="G352" s="71"/>
      <c r="H352" s="70"/>
      <c r="I352" s="71"/>
      <c r="K352" s="71"/>
      <c r="L352" s="71"/>
      <c r="W352" s="5"/>
      <c r="AE352" s="69"/>
      <c r="AI352" s="71"/>
    </row>
    <row r="353" spans="2:35" x14ac:dyDescent="0.25">
      <c r="B353" s="316"/>
      <c r="G353" s="71"/>
      <c r="H353" s="70"/>
      <c r="I353" s="71"/>
      <c r="K353" s="71"/>
      <c r="L353" s="71"/>
      <c r="W353" s="5"/>
      <c r="AE353" s="69"/>
      <c r="AI353" s="71"/>
    </row>
    <row r="354" spans="2:35" x14ac:dyDescent="0.25">
      <c r="B354" s="316"/>
      <c r="G354" s="71"/>
      <c r="H354" s="70"/>
      <c r="I354" s="71"/>
      <c r="K354" s="71"/>
      <c r="L354" s="71"/>
      <c r="W354" s="5"/>
      <c r="AE354" s="69"/>
      <c r="AI354" s="71"/>
    </row>
    <row r="355" spans="2:35" x14ac:dyDescent="0.25">
      <c r="B355" s="316"/>
      <c r="G355" s="71"/>
      <c r="H355" s="70"/>
      <c r="I355" s="71"/>
      <c r="K355" s="71"/>
      <c r="L355" s="71"/>
      <c r="W355" s="5"/>
      <c r="AE355" s="69"/>
      <c r="AI355" s="71"/>
    </row>
    <row r="356" spans="2:35" x14ac:dyDescent="0.25">
      <c r="B356" s="316"/>
      <c r="G356" s="71"/>
      <c r="H356" s="70"/>
      <c r="I356" s="71"/>
      <c r="K356" s="71"/>
      <c r="L356" s="71"/>
      <c r="W356" s="5"/>
      <c r="AE356" s="69"/>
      <c r="AI356" s="71"/>
    </row>
    <row r="357" spans="2:35" x14ac:dyDescent="0.25">
      <c r="B357" s="316"/>
      <c r="G357" s="71"/>
      <c r="H357" s="70"/>
      <c r="I357" s="71"/>
      <c r="K357" s="71"/>
      <c r="L357" s="71"/>
      <c r="W357" s="5"/>
      <c r="AE357" s="69"/>
      <c r="AI357" s="71"/>
    </row>
    <row r="358" spans="2:35" x14ac:dyDescent="0.25">
      <c r="B358" s="316"/>
      <c r="G358" s="71"/>
      <c r="H358" s="70"/>
      <c r="I358" s="71"/>
      <c r="K358" s="71"/>
      <c r="L358" s="71"/>
      <c r="W358" s="5"/>
      <c r="AE358" s="69"/>
      <c r="AI358" s="71"/>
    </row>
    <row r="359" spans="2:35" x14ac:dyDescent="0.25">
      <c r="B359" s="316"/>
      <c r="G359" s="71"/>
      <c r="H359" s="70"/>
      <c r="I359" s="71"/>
      <c r="K359" s="71"/>
      <c r="L359" s="71"/>
      <c r="W359" s="5"/>
      <c r="AE359" s="69"/>
      <c r="AI359" s="71"/>
    </row>
    <row r="360" spans="2:35" x14ac:dyDescent="0.25">
      <c r="B360" s="316"/>
      <c r="G360" s="71"/>
      <c r="H360" s="70"/>
      <c r="I360" s="71"/>
      <c r="K360" s="71"/>
      <c r="L360" s="71"/>
      <c r="W360" s="5"/>
      <c r="AE360" s="69"/>
      <c r="AI360" s="71"/>
    </row>
    <row r="361" spans="2:35" x14ac:dyDescent="0.25">
      <c r="B361" s="316"/>
      <c r="G361" s="71"/>
      <c r="H361" s="70"/>
      <c r="I361" s="71"/>
      <c r="K361" s="71"/>
      <c r="L361" s="71"/>
      <c r="W361" s="5"/>
      <c r="AE361" s="69"/>
      <c r="AI361" s="71"/>
    </row>
    <row r="362" spans="2:35" x14ac:dyDescent="0.25">
      <c r="B362" s="316"/>
      <c r="G362" s="71"/>
      <c r="H362" s="70"/>
      <c r="I362" s="71"/>
      <c r="K362" s="71"/>
      <c r="L362" s="71"/>
      <c r="W362" s="5"/>
      <c r="AE362" s="69"/>
      <c r="AI362" s="71"/>
    </row>
    <row r="363" spans="2:35" x14ac:dyDescent="0.25">
      <c r="B363" s="316"/>
      <c r="G363" s="71"/>
      <c r="H363" s="70"/>
      <c r="I363" s="71"/>
      <c r="K363" s="71"/>
      <c r="L363" s="71"/>
      <c r="W363" s="5"/>
      <c r="AE363" s="69"/>
      <c r="AI363" s="71"/>
    </row>
    <row r="364" spans="2:35" x14ac:dyDescent="0.25">
      <c r="B364" s="316"/>
      <c r="G364" s="71"/>
      <c r="H364" s="70"/>
      <c r="I364" s="71"/>
      <c r="K364" s="71"/>
      <c r="L364" s="71"/>
      <c r="W364" s="5"/>
      <c r="AE364" s="69"/>
      <c r="AI364" s="71"/>
    </row>
    <row r="365" spans="2:35" x14ac:dyDescent="0.25">
      <c r="B365" s="316"/>
      <c r="G365" s="71"/>
      <c r="H365" s="70"/>
      <c r="I365" s="71"/>
      <c r="K365" s="71"/>
      <c r="L365" s="71"/>
      <c r="W365" s="5"/>
      <c r="AE365" s="69"/>
      <c r="AI365" s="71"/>
    </row>
    <row r="366" spans="2:35" x14ac:dyDescent="0.25">
      <c r="B366" s="316"/>
      <c r="G366" s="71"/>
      <c r="H366" s="70"/>
      <c r="I366" s="71"/>
      <c r="K366" s="71"/>
      <c r="L366" s="71"/>
      <c r="W366" s="5"/>
      <c r="AE366" s="69"/>
      <c r="AI366" s="71"/>
    </row>
    <row r="367" spans="2:35" x14ac:dyDescent="0.25">
      <c r="B367" s="316"/>
      <c r="G367" s="71"/>
      <c r="H367" s="70"/>
      <c r="I367" s="71"/>
      <c r="K367" s="71"/>
      <c r="L367" s="71"/>
      <c r="W367" s="5"/>
      <c r="AE367" s="69"/>
      <c r="AI367" s="71"/>
    </row>
    <row r="368" spans="2:35" x14ac:dyDescent="0.25">
      <c r="B368" s="316"/>
      <c r="G368" s="71"/>
      <c r="H368" s="70"/>
      <c r="I368" s="71"/>
      <c r="K368" s="71"/>
      <c r="L368" s="71"/>
      <c r="W368" s="5"/>
      <c r="AE368" s="69"/>
      <c r="AI368" s="71"/>
    </row>
    <row r="369" spans="2:35" x14ac:dyDescent="0.25">
      <c r="B369" s="316"/>
      <c r="G369" s="71"/>
      <c r="H369" s="70"/>
      <c r="I369" s="71"/>
      <c r="K369" s="71"/>
      <c r="L369" s="71"/>
      <c r="W369" s="5"/>
      <c r="AE369" s="69"/>
      <c r="AI369" s="71"/>
    </row>
    <row r="370" spans="2:35" x14ac:dyDescent="0.25">
      <c r="B370" s="316"/>
      <c r="G370" s="71"/>
      <c r="H370" s="70"/>
      <c r="I370" s="71"/>
      <c r="K370" s="71"/>
      <c r="L370" s="71"/>
      <c r="W370" s="5"/>
      <c r="AE370" s="69"/>
      <c r="AI370" s="71"/>
    </row>
    <row r="371" spans="2:35" x14ac:dyDescent="0.25">
      <c r="B371" s="316"/>
      <c r="G371" s="71"/>
      <c r="H371" s="70"/>
      <c r="I371" s="71"/>
      <c r="K371" s="71"/>
      <c r="L371" s="71"/>
      <c r="W371" s="5"/>
      <c r="AE371" s="69"/>
      <c r="AI371" s="71"/>
    </row>
    <row r="372" spans="2:35" x14ac:dyDescent="0.25">
      <c r="B372" s="316"/>
      <c r="G372" s="71"/>
      <c r="H372" s="70"/>
      <c r="I372" s="71"/>
      <c r="K372" s="71"/>
      <c r="L372" s="71"/>
      <c r="W372" s="5"/>
      <c r="AE372" s="69"/>
      <c r="AI372" s="71"/>
    </row>
    <row r="373" spans="2:35" x14ac:dyDescent="0.25">
      <c r="B373" s="316"/>
      <c r="G373" s="71"/>
      <c r="H373" s="70"/>
      <c r="I373" s="71"/>
      <c r="K373" s="71"/>
      <c r="L373" s="71"/>
      <c r="W373" s="5"/>
      <c r="AE373" s="69"/>
      <c r="AI373" s="71"/>
    </row>
    <row r="374" spans="2:35" x14ac:dyDescent="0.25">
      <c r="B374" s="316"/>
      <c r="G374" s="71"/>
      <c r="H374" s="70"/>
      <c r="I374" s="71"/>
      <c r="K374" s="71"/>
      <c r="L374" s="71"/>
      <c r="W374" s="5"/>
      <c r="AE374" s="69"/>
      <c r="AI374" s="71"/>
    </row>
    <row r="375" spans="2:35" x14ac:dyDescent="0.25">
      <c r="B375" s="316"/>
      <c r="G375" s="71"/>
      <c r="H375" s="70"/>
      <c r="I375" s="71"/>
      <c r="K375" s="71"/>
      <c r="L375" s="71"/>
      <c r="W375" s="5"/>
      <c r="AE375" s="69"/>
      <c r="AI375" s="71"/>
    </row>
    <row r="376" spans="2:35" x14ac:dyDescent="0.25">
      <c r="B376" s="316"/>
      <c r="G376" s="71"/>
      <c r="H376" s="70"/>
      <c r="I376" s="71"/>
      <c r="K376" s="71"/>
      <c r="L376" s="71"/>
      <c r="W376" s="5"/>
      <c r="AE376" s="69"/>
      <c r="AI376" s="71"/>
    </row>
    <row r="377" spans="2:35" x14ac:dyDescent="0.25">
      <c r="B377" s="316"/>
      <c r="G377" s="71"/>
      <c r="H377" s="70"/>
      <c r="I377" s="71"/>
      <c r="K377" s="71"/>
      <c r="L377" s="71"/>
      <c r="W377" s="5"/>
      <c r="AE377" s="69"/>
      <c r="AI377" s="71"/>
    </row>
    <row r="378" spans="2:35" x14ac:dyDescent="0.25">
      <c r="B378" s="316"/>
      <c r="G378" s="71"/>
      <c r="H378" s="70"/>
      <c r="I378" s="71"/>
      <c r="K378" s="71"/>
      <c r="L378" s="71"/>
      <c r="W378" s="5"/>
      <c r="AE378" s="69"/>
      <c r="AI378" s="71"/>
    </row>
    <row r="379" spans="2:35" x14ac:dyDescent="0.25">
      <c r="B379" s="316"/>
      <c r="G379" s="71"/>
      <c r="H379" s="70"/>
      <c r="I379" s="71"/>
      <c r="K379" s="71"/>
      <c r="L379" s="71"/>
      <c r="W379" s="5"/>
      <c r="AE379" s="69"/>
      <c r="AI379" s="71"/>
    </row>
    <row r="380" spans="2:35" x14ac:dyDescent="0.25">
      <c r="B380" s="316"/>
      <c r="G380" s="71"/>
      <c r="H380" s="70"/>
      <c r="I380" s="71"/>
      <c r="K380" s="71"/>
      <c r="L380" s="71"/>
      <c r="W380" s="5"/>
      <c r="AE380" s="69"/>
      <c r="AI380" s="71"/>
    </row>
    <row r="381" spans="2:35" x14ac:dyDescent="0.25">
      <c r="B381" s="316"/>
      <c r="G381" s="71"/>
      <c r="H381" s="70"/>
      <c r="I381" s="71"/>
      <c r="K381" s="71"/>
      <c r="L381" s="71"/>
      <c r="W381" s="5"/>
      <c r="AE381" s="69"/>
      <c r="AI381" s="71"/>
    </row>
    <row r="382" spans="2:35" x14ac:dyDescent="0.25">
      <c r="B382" s="316"/>
      <c r="G382" s="71"/>
      <c r="H382" s="70"/>
      <c r="I382" s="71"/>
      <c r="K382" s="71"/>
      <c r="L382" s="71"/>
      <c r="W382" s="5"/>
      <c r="AE382" s="69"/>
      <c r="AI382" s="71"/>
    </row>
    <row r="383" spans="2:35" x14ac:dyDescent="0.25">
      <c r="B383" s="316"/>
      <c r="G383" s="71"/>
      <c r="H383" s="70"/>
      <c r="I383" s="71"/>
      <c r="K383" s="71"/>
      <c r="L383" s="71"/>
      <c r="W383" s="5"/>
      <c r="AE383" s="69"/>
      <c r="AI383" s="71"/>
    </row>
    <row r="384" spans="2:35" x14ac:dyDescent="0.25">
      <c r="B384" s="316"/>
      <c r="G384" s="71"/>
      <c r="H384" s="70"/>
      <c r="I384" s="71"/>
      <c r="K384" s="71"/>
      <c r="L384" s="71"/>
      <c r="W384" s="5"/>
      <c r="AE384" s="69"/>
      <c r="AI384" s="71"/>
    </row>
    <row r="385" spans="2:35" x14ac:dyDescent="0.25">
      <c r="B385" s="316"/>
      <c r="G385" s="71"/>
      <c r="H385" s="70"/>
      <c r="I385" s="71"/>
      <c r="K385" s="71"/>
      <c r="L385" s="71"/>
      <c r="W385" s="5"/>
      <c r="AE385" s="69"/>
      <c r="AI385" s="71"/>
    </row>
    <row r="386" spans="2:35" x14ac:dyDescent="0.25">
      <c r="B386" s="316"/>
      <c r="G386" s="71"/>
      <c r="H386" s="70"/>
      <c r="I386" s="71"/>
      <c r="K386" s="71"/>
      <c r="L386" s="71"/>
      <c r="W386" s="5"/>
      <c r="AE386" s="69"/>
      <c r="AI386" s="71"/>
    </row>
    <row r="387" spans="2:35" x14ac:dyDescent="0.25">
      <c r="B387" s="316"/>
      <c r="G387" s="71"/>
      <c r="H387" s="70"/>
      <c r="I387" s="71"/>
      <c r="K387" s="71"/>
      <c r="L387" s="71"/>
      <c r="W387" s="5"/>
      <c r="AE387" s="69"/>
      <c r="AI387" s="71"/>
    </row>
    <row r="388" spans="2:35" x14ac:dyDescent="0.25">
      <c r="B388" s="316"/>
      <c r="G388" s="71"/>
      <c r="H388" s="70"/>
      <c r="I388" s="71"/>
      <c r="K388" s="71"/>
      <c r="L388" s="71"/>
      <c r="W388" s="5"/>
      <c r="AE388" s="69"/>
      <c r="AI388" s="71"/>
    </row>
    <row r="389" spans="2:35" x14ac:dyDescent="0.25">
      <c r="B389" s="316"/>
      <c r="G389" s="71"/>
      <c r="H389" s="70"/>
      <c r="I389" s="71"/>
      <c r="K389" s="71"/>
      <c r="L389" s="71"/>
      <c r="W389" s="5"/>
      <c r="AE389" s="69"/>
      <c r="AI389" s="71"/>
    </row>
    <row r="390" spans="2:35" x14ac:dyDescent="0.25">
      <c r="B390" s="316"/>
      <c r="G390" s="71"/>
      <c r="H390" s="70"/>
      <c r="I390" s="71"/>
      <c r="K390" s="71"/>
      <c r="L390" s="71"/>
      <c r="W390" s="5"/>
      <c r="AE390" s="69"/>
      <c r="AI390" s="71"/>
    </row>
    <row r="391" spans="2:35" x14ac:dyDescent="0.25">
      <c r="B391" s="316"/>
      <c r="G391" s="71"/>
      <c r="H391" s="70"/>
      <c r="I391" s="71"/>
      <c r="K391" s="71"/>
      <c r="L391" s="71"/>
      <c r="W391" s="5"/>
      <c r="AE391" s="69"/>
      <c r="AI391" s="71"/>
    </row>
    <row r="392" spans="2:35" x14ac:dyDescent="0.25">
      <c r="B392" s="316"/>
      <c r="G392" s="71"/>
      <c r="H392" s="70"/>
      <c r="I392" s="71"/>
      <c r="K392" s="71"/>
      <c r="L392" s="71"/>
      <c r="W392" s="5"/>
      <c r="AE392" s="69"/>
      <c r="AI392" s="71"/>
    </row>
    <row r="393" spans="2:35" x14ac:dyDescent="0.25">
      <c r="B393" s="316"/>
      <c r="G393" s="71"/>
      <c r="H393" s="70"/>
      <c r="I393" s="71"/>
      <c r="K393" s="71"/>
      <c r="L393" s="71"/>
      <c r="W393" s="5"/>
      <c r="AE393" s="69"/>
      <c r="AI393" s="71"/>
    </row>
    <row r="394" spans="2:35" x14ac:dyDescent="0.25">
      <c r="B394" s="316"/>
      <c r="G394" s="71"/>
      <c r="H394" s="70"/>
      <c r="I394" s="71"/>
      <c r="K394" s="71"/>
      <c r="L394" s="71"/>
      <c r="W394" s="5"/>
      <c r="AE394" s="69"/>
      <c r="AI394" s="71"/>
    </row>
    <row r="395" spans="2:35" x14ac:dyDescent="0.25">
      <c r="B395" s="316"/>
      <c r="G395" s="71"/>
      <c r="H395" s="70"/>
      <c r="I395" s="71"/>
      <c r="K395" s="71"/>
      <c r="L395" s="71"/>
      <c r="W395" s="5"/>
      <c r="AE395" s="69"/>
      <c r="AI395" s="71"/>
    </row>
    <row r="396" spans="2:35" x14ac:dyDescent="0.25">
      <c r="B396" s="316"/>
      <c r="G396" s="71"/>
      <c r="H396" s="70"/>
      <c r="I396" s="71"/>
      <c r="K396" s="71"/>
      <c r="L396" s="71"/>
      <c r="W396" s="5"/>
      <c r="AE396" s="69"/>
      <c r="AI396" s="71"/>
    </row>
    <row r="397" spans="2:35" x14ac:dyDescent="0.25">
      <c r="B397" s="316"/>
      <c r="G397" s="71"/>
      <c r="H397" s="70"/>
      <c r="I397" s="71"/>
      <c r="K397" s="71"/>
      <c r="L397" s="71"/>
      <c r="W397" s="5"/>
      <c r="AE397" s="69"/>
      <c r="AI397" s="71"/>
    </row>
    <row r="398" spans="2:35" x14ac:dyDescent="0.25">
      <c r="B398" s="316"/>
      <c r="G398" s="71"/>
      <c r="H398" s="70"/>
      <c r="I398" s="71"/>
      <c r="K398" s="71"/>
      <c r="L398" s="71"/>
      <c r="W398" s="5"/>
      <c r="AE398" s="69"/>
      <c r="AI398" s="71"/>
    </row>
    <row r="399" spans="2:35" x14ac:dyDescent="0.25">
      <c r="B399" s="316"/>
      <c r="G399" s="71"/>
      <c r="H399" s="70"/>
      <c r="I399" s="71"/>
      <c r="K399" s="71"/>
      <c r="L399" s="71"/>
      <c r="W399" s="5"/>
      <c r="AE399" s="69"/>
      <c r="AI399" s="71"/>
    </row>
    <row r="400" spans="2:35" x14ac:dyDescent="0.25">
      <c r="B400" s="316"/>
      <c r="G400" s="71"/>
      <c r="H400" s="70"/>
      <c r="I400" s="71"/>
      <c r="K400" s="71"/>
      <c r="L400" s="71"/>
      <c r="W400" s="5"/>
      <c r="AE400" s="69"/>
      <c r="AI400" s="71"/>
    </row>
    <row r="401" spans="2:35" x14ac:dyDescent="0.25">
      <c r="B401" s="316"/>
      <c r="G401" s="71"/>
      <c r="H401" s="70"/>
      <c r="I401" s="71"/>
      <c r="K401" s="71"/>
      <c r="L401" s="71"/>
      <c r="W401" s="5"/>
      <c r="AE401" s="69"/>
      <c r="AI401" s="71"/>
    </row>
    <row r="402" spans="2:35" x14ac:dyDescent="0.25">
      <c r="B402" s="316"/>
      <c r="G402" s="71"/>
      <c r="H402" s="70"/>
      <c r="I402" s="71"/>
      <c r="K402" s="71"/>
      <c r="L402" s="71"/>
      <c r="W402" s="5"/>
      <c r="AE402" s="69"/>
      <c r="AI402" s="71"/>
    </row>
    <row r="403" spans="2:35" x14ac:dyDescent="0.25">
      <c r="B403" s="316"/>
      <c r="G403" s="71"/>
      <c r="H403" s="70"/>
      <c r="I403" s="71"/>
      <c r="K403" s="71"/>
      <c r="L403" s="71"/>
      <c r="W403" s="5"/>
      <c r="AE403" s="69"/>
      <c r="AI403" s="71"/>
    </row>
    <row r="404" spans="2:35" x14ac:dyDescent="0.25">
      <c r="B404" s="316"/>
      <c r="G404" s="71"/>
      <c r="H404" s="70"/>
      <c r="I404" s="71"/>
      <c r="K404" s="71"/>
      <c r="L404" s="71"/>
      <c r="W404" s="5"/>
      <c r="AE404" s="69"/>
      <c r="AI404" s="71"/>
    </row>
    <row r="405" spans="2:35" x14ac:dyDescent="0.25">
      <c r="B405" s="316"/>
      <c r="G405" s="71"/>
      <c r="H405" s="70"/>
      <c r="I405" s="71"/>
      <c r="K405" s="71"/>
      <c r="L405" s="71"/>
      <c r="W405" s="5"/>
      <c r="AE405" s="69"/>
      <c r="AI405" s="71"/>
    </row>
    <row r="406" spans="2:35" x14ac:dyDescent="0.25">
      <c r="B406" s="316"/>
      <c r="G406" s="71"/>
      <c r="H406" s="70"/>
      <c r="I406" s="71"/>
      <c r="K406" s="71"/>
      <c r="L406" s="71"/>
      <c r="W406" s="5"/>
      <c r="AE406" s="69"/>
      <c r="AI406" s="71"/>
    </row>
    <row r="407" spans="2:35" x14ac:dyDescent="0.25">
      <c r="B407" s="316"/>
      <c r="G407" s="71"/>
      <c r="H407" s="70"/>
      <c r="I407" s="71"/>
      <c r="K407" s="71"/>
      <c r="L407" s="71"/>
      <c r="W407" s="5"/>
      <c r="AE407" s="69"/>
      <c r="AI407" s="71"/>
    </row>
    <row r="408" spans="2:35" x14ac:dyDescent="0.25">
      <c r="B408" s="316"/>
      <c r="G408" s="71"/>
      <c r="H408" s="70"/>
      <c r="I408" s="71"/>
      <c r="K408" s="71"/>
      <c r="L408" s="71"/>
      <c r="W408" s="5"/>
      <c r="AE408" s="69"/>
      <c r="AI408" s="71"/>
    </row>
    <row r="409" spans="2:35" x14ac:dyDescent="0.25">
      <c r="B409" s="316"/>
      <c r="G409" s="71"/>
      <c r="H409" s="70"/>
      <c r="I409" s="71"/>
      <c r="K409" s="71"/>
      <c r="L409" s="71"/>
      <c r="W409" s="5"/>
      <c r="AE409" s="69"/>
      <c r="AI409" s="71"/>
    </row>
    <row r="410" spans="2:35" x14ac:dyDescent="0.25">
      <c r="B410" s="316"/>
      <c r="G410" s="71"/>
      <c r="H410" s="70"/>
      <c r="I410" s="71"/>
      <c r="K410" s="71"/>
      <c r="L410" s="71"/>
      <c r="W410" s="5"/>
      <c r="AE410" s="69"/>
      <c r="AI410" s="71"/>
    </row>
    <row r="411" spans="2:35" x14ac:dyDescent="0.25">
      <c r="B411" s="316"/>
      <c r="G411" s="71"/>
      <c r="H411" s="70"/>
      <c r="I411" s="71"/>
      <c r="K411" s="71"/>
      <c r="L411" s="71"/>
      <c r="W411" s="5"/>
      <c r="AE411" s="69"/>
      <c r="AI411" s="71"/>
    </row>
    <row r="412" spans="2:35" x14ac:dyDescent="0.25">
      <c r="B412" s="316"/>
      <c r="G412" s="71"/>
      <c r="H412" s="70"/>
      <c r="I412" s="71"/>
      <c r="K412" s="71"/>
      <c r="L412" s="71"/>
      <c r="W412" s="5"/>
      <c r="AE412" s="69"/>
      <c r="AI412" s="71"/>
    </row>
    <row r="413" spans="2:35" x14ac:dyDescent="0.25">
      <c r="B413" s="316"/>
      <c r="G413" s="71"/>
      <c r="H413" s="70"/>
      <c r="I413" s="71"/>
      <c r="J413" s="71"/>
      <c r="K413" s="71"/>
      <c r="L413" s="71"/>
      <c r="W413" s="5"/>
      <c r="AE413" s="69"/>
      <c r="AG413" s="69"/>
      <c r="AI413" s="71"/>
    </row>
    <row r="414" spans="2:35" x14ac:dyDescent="0.25">
      <c r="B414" s="316"/>
      <c r="G414" s="71"/>
      <c r="H414" s="70"/>
      <c r="I414" s="71"/>
      <c r="J414" s="71"/>
      <c r="K414" s="71"/>
      <c r="L414" s="71"/>
      <c r="W414" s="5"/>
      <c r="AE414" s="69"/>
      <c r="AG414" s="69"/>
      <c r="AI414" s="71"/>
    </row>
    <row r="415" spans="2:35" x14ac:dyDescent="0.25">
      <c r="B415" s="316"/>
      <c r="G415" s="71"/>
      <c r="H415" s="70"/>
      <c r="I415" s="71"/>
      <c r="J415" s="71"/>
      <c r="K415" s="71"/>
      <c r="L415" s="71"/>
      <c r="W415" s="5"/>
      <c r="AE415" s="69"/>
      <c r="AG415" s="69"/>
      <c r="AI415" s="71"/>
    </row>
    <row r="416" spans="2:35" x14ac:dyDescent="0.25">
      <c r="B416" s="316"/>
      <c r="G416" s="71"/>
      <c r="H416" s="70"/>
      <c r="I416" s="71"/>
      <c r="J416" s="71"/>
      <c r="K416" s="71"/>
      <c r="L416" s="71"/>
      <c r="W416" s="5"/>
      <c r="AE416" s="69"/>
      <c r="AG416" s="69"/>
      <c r="AI416" s="71"/>
    </row>
    <row r="417" spans="2:10" x14ac:dyDescent="0.25">
      <c r="B417" s="316"/>
      <c r="G417" s="71"/>
      <c r="H417" s="70"/>
      <c r="I417" s="71"/>
      <c r="J417" s="71"/>
    </row>
    <row r="418" spans="2:10" x14ac:dyDescent="0.25">
      <c r="B418" s="316"/>
      <c r="G418" s="71"/>
      <c r="H418" s="70"/>
      <c r="I418" s="71"/>
      <c r="J418" s="71"/>
    </row>
    <row r="419" spans="2:10" x14ac:dyDescent="0.25">
      <c r="B419" s="316"/>
      <c r="G419" s="71"/>
      <c r="H419" s="70"/>
      <c r="I419" s="71"/>
      <c r="J419" s="71"/>
    </row>
    <row r="420" spans="2:10" x14ac:dyDescent="0.25">
      <c r="B420" s="316"/>
      <c r="G420" s="71"/>
      <c r="H420" s="70"/>
      <c r="I420" s="71"/>
      <c r="J420" s="71"/>
    </row>
    <row r="421" spans="2:10" x14ac:dyDescent="0.25">
      <c r="B421" s="316"/>
      <c r="G421" s="71"/>
      <c r="H421" s="70"/>
      <c r="I421" s="71"/>
      <c r="J421" s="71"/>
    </row>
    <row r="422" spans="2:10" x14ac:dyDescent="0.25">
      <c r="B422" s="69"/>
      <c r="G422" s="71"/>
      <c r="H422" s="70"/>
      <c r="I422" s="71"/>
      <c r="J422" s="71"/>
    </row>
    <row r="423" spans="2:10" x14ac:dyDescent="0.25">
      <c r="B423" s="69"/>
      <c r="G423" s="71"/>
      <c r="H423" s="70"/>
      <c r="I423" s="71"/>
      <c r="J423" s="71"/>
    </row>
    <row r="424" spans="2:10" x14ac:dyDescent="0.25">
      <c r="B424" s="69"/>
      <c r="G424" s="71"/>
      <c r="H424" s="70"/>
      <c r="I424" s="71"/>
      <c r="J424" s="71"/>
    </row>
    <row r="425" spans="2:10" x14ac:dyDescent="0.25">
      <c r="B425" s="69"/>
      <c r="G425" s="71"/>
      <c r="H425" s="70"/>
      <c r="I425" s="71"/>
      <c r="J425" s="71"/>
    </row>
    <row r="426" spans="2:10" x14ac:dyDescent="0.25">
      <c r="B426" s="69"/>
      <c r="G426" s="71"/>
      <c r="H426" s="70"/>
      <c r="I426" s="71"/>
      <c r="J426" s="71"/>
    </row>
    <row r="427" spans="2:10" x14ac:dyDescent="0.25">
      <c r="B427" s="69"/>
      <c r="G427" s="71"/>
      <c r="H427" s="70"/>
      <c r="I427" s="71"/>
      <c r="J427" s="71"/>
    </row>
    <row r="428" spans="2:10" x14ac:dyDescent="0.25">
      <c r="B428" s="69"/>
      <c r="G428" s="71"/>
      <c r="H428" s="70"/>
      <c r="I428" s="71"/>
      <c r="J428" s="71"/>
    </row>
    <row r="429" spans="2:10" x14ac:dyDescent="0.25">
      <c r="B429" s="69"/>
      <c r="G429" s="71"/>
      <c r="H429" s="70"/>
      <c r="I429" s="71"/>
      <c r="J429" s="71"/>
    </row>
    <row r="430" spans="2:10" x14ac:dyDescent="0.25">
      <c r="B430" s="69"/>
      <c r="G430" s="71"/>
      <c r="H430" s="70"/>
      <c r="I430" s="71"/>
      <c r="J430" s="71"/>
    </row>
    <row r="431" spans="2:10" x14ac:dyDescent="0.25">
      <c r="B431" s="69"/>
      <c r="G431" s="71"/>
      <c r="H431" s="70"/>
      <c r="I431" s="71"/>
      <c r="J431" s="71"/>
    </row>
    <row r="432" spans="2:10" x14ac:dyDescent="0.25">
      <c r="B432" s="69"/>
      <c r="G432" s="71"/>
      <c r="H432" s="70"/>
      <c r="I432" s="71"/>
      <c r="J432" s="71"/>
    </row>
    <row r="433" spans="2:10" x14ac:dyDescent="0.25">
      <c r="B433" s="69"/>
      <c r="G433" s="71"/>
      <c r="H433" s="70"/>
      <c r="I433" s="71"/>
      <c r="J433" s="71"/>
    </row>
    <row r="434" spans="2:10" x14ac:dyDescent="0.25">
      <c r="B434" s="69"/>
      <c r="G434" s="71"/>
      <c r="H434" s="70"/>
      <c r="I434" s="71"/>
      <c r="J434" s="71"/>
    </row>
    <row r="435" spans="2:10" x14ac:dyDescent="0.25">
      <c r="B435" s="69"/>
      <c r="G435" s="71"/>
      <c r="H435" s="70"/>
      <c r="I435" s="71"/>
      <c r="J435" s="71"/>
    </row>
    <row r="436" spans="2:10" x14ac:dyDescent="0.25">
      <c r="B436" s="69"/>
      <c r="G436" s="71"/>
      <c r="H436" s="70"/>
      <c r="I436" s="71"/>
      <c r="J436" s="71"/>
    </row>
    <row r="437" spans="2:10" x14ac:dyDescent="0.25">
      <c r="B437" s="69"/>
      <c r="G437" s="71"/>
      <c r="H437" s="70"/>
      <c r="I437" s="71"/>
      <c r="J437" s="71"/>
    </row>
    <row r="438" spans="2:10" x14ac:dyDescent="0.25">
      <c r="B438" s="69"/>
      <c r="G438" s="71"/>
      <c r="H438" s="70"/>
      <c r="I438" s="71"/>
      <c r="J438" s="71"/>
    </row>
    <row r="439" spans="2:10" x14ac:dyDescent="0.25">
      <c r="B439" s="69"/>
      <c r="G439" s="71"/>
      <c r="H439" s="70"/>
      <c r="I439" s="71"/>
      <c r="J439" s="71"/>
    </row>
    <row r="440" spans="2:10" x14ac:dyDescent="0.25">
      <c r="B440" s="69"/>
      <c r="G440" s="71"/>
      <c r="H440" s="70"/>
      <c r="I440" s="71"/>
      <c r="J440" s="71"/>
    </row>
    <row r="441" spans="2:10" x14ac:dyDescent="0.25">
      <c r="B441" s="69"/>
      <c r="G441" s="71"/>
      <c r="H441" s="70"/>
      <c r="I441" s="71"/>
      <c r="J441" s="71"/>
    </row>
    <row r="442" spans="2:10" x14ac:dyDescent="0.25">
      <c r="B442" s="69"/>
      <c r="G442" s="71"/>
      <c r="H442" s="70"/>
      <c r="I442" s="71"/>
      <c r="J442" s="71"/>
    </row>
    <row r="443" spans="2:10" x14ac:dyDescent="0.25">
      <c r="B443" s="69"/>
      <c r="G443" s="71"/>
      <c r="H443" s="70"/>
      <c r="I443" s="71"/>
      <c r="J443" s="71"/>
    </row>
    <row r="444" spans="2:10" x14ac:dyDescent="0.25">
      <c r="B444" s="69"/>
      <c r="G444" s="71"/>
      <c r="H444" s="70"/>
      <c r="I444" s="71"/>
      <c r="J444" s="71"/>
    </row>
    <row r="445" spans="2:10" x14ac:dyDescent="0.25">
      <c r="B445" s="69"/>
      <c r="G445" s="71"/>
      <c r="H445" s="70"/>
      <c r="I445" s="71"/>
      <c r="J445" s="71"/>
    </row>
    <row r="446" spans="2:10" x14ac:dyDescent="0.25">
      <c r="B446" s="69"/>
      <c r="G446" s="71"/>
      <c r="H446" s="70"/>
      <c r="I446" s="71"/>
      <c r="J446" s="71"/>
    </row>
    <row r="447" spans="2:10" x14ac:dyDescent="0.25">
      <c r="B447" s="69"/>
      <c r="G447" s="71"/>
      <c r="H447" s="70"/>
      <c r="I447" s="71"/>
      <c r="J447" s="71"/>
    </row>
    <row r="448" spans="2:10" x14ac:dyDescent="0.25">
      <c r="B448" s="69"/>
      <c r="G448" s="71"/>
      <c r="H448" s="70"/>
      <c r="I448" s="71"/>
      <c r="J448" s="71"/>
    </row>
    <row r="449" spans="2:10" x14ac:dyDescent="0.25">
      <c r="B449" s="69"/>
      <c r="G449" s="71"/>
      <c r="H449" s="70"/>
      <c r="I449" s="71"/>
      <c r="J449" s="71"/>
    </row>
    <row r="450" spans="2:10" x14ac:dyDescent="0.25">
      <c r="B450" s="69"/>
      <c r="G450" s="71"/>
      <c r="H450" s="70"/>
      <c r="I450" s="71"/>
      <c r="J450" s="71"/>
    </row>
    <row r="451" spans="2:10" x14ac:dyDescent="0.25">
      <c r="B451" s="69"/>
      <c r="G451" s="71"/>
      <c r="H451" s="70"/>
      <c r="I451" s="71"/>
      <c r="J451" s="71"/>
    </row>
    <row r="452" spans="2:10" x14ac:dyDescent="0.25">
      <c r="B452" s="69"/>
      <c r="G452" s="71"/>
      <c r="H452" s="70"/>
      <c r="I452" s="71"/>
      <c r="J452" s="71"/>
    </row>
    <row r="453" spans="2:10" x14ac:dyDescent="0.25">
      <c r="B453" s="69"/>
      <c r="G453" s="71"/>
      <c r="H453" s="70"/>
      <c r="I453" s="71"/>
      <c r="J453" s="71"/>
    </row>
    <row r="454" spans="2:10" x14ac:dyDescent="0.25">
      <c r="B454" s="69"/>
      <c r="G454" s="71"/>
      <c r="H454" s="70"/>
      <c r="I454" s="71"/>
      <c r="J454" s="71"/>
    </row>
    <row r="455" spans="2:10" x14ac:dyDescent="0.25">
      <c r="B455" s="69"/>
      <c r="G455" s="71"/>
      <c r="H455" s="70"/>
      <c r="I455" s="71"/>
      <c r="J455" s="71"/>
    </row>
    <row r="456" spans="2:10" x14ac:dyDescent="0.25">
      <c r="B456" s="69"/>
      <c r="G456" s="71"/>
      <c r="H456" s="70"/>
      <c r="I456" s="71"/>
      <c r="J456" s="71"/>
    </row>
    <row r="457" spans="2:10" x14ac:dyDescent="0.25">
      <c r="B457" s="69"/>
      <c r="G457" s="71"/>
      <c r="H457" s="70"/>
      <c r="I457" s="71"/>
      <c r="J457" s="71"/>
    </row>
    <row r="458" spans="2:10" x14ac:dyDescent="0.25">
      <c r="B458" s="69"/>
      <c r="G458" s="71"/>
      <c r="H458" s="70"/>
      <c r="I458" s="71"/>
      <c r="J458" s="71"/>
    </row>
    <row r="459" spans="2:10" x14ac:dyDescent="0.25">
      <c r="B459" s="69"/>
      <c r="G459" s="71"/>
      <c r="H459" s="70"/>
      <c r="I459" s="71"/>
      <c r="J459" s="71"/>
    </row>
    <row r="460" spans="2:10" x14ac:dyDescent="0.25">
      <c r="B460" s="69"/>
      <c r="G460" s="71"/>
      <c r="H460" s="70"/>
      <c r="I460" s="71"/>
      <c r="J460" s="71"/>
    </row>
    <row r="461" spans="2:10" x14ac:dyDescent="0.25">
      <c r="B461" s="69"/>
      <c r="G461" s="71"/>
      <c r="H461" s="70"/>
      <c r="I461" s="71"/>
      <c r="J461" s="71"/>
    </row>
    <row r="462" spans="2:10" x14ac:dyDescent="0.25">
      <c r="B462" s="69"/>
      <c r="G462" s="71"/>
      <c r="H462" s="70"/>
      <c r="I462" s="71"/>
      <c r="J462" s="71"/>
    </row>
    <row r="463" spans="2:10" x14ac:dyDescent="0.25">
      <c r="B463" s="69"/>
      <c r="G463" s="71"/>
      <c r="H463" s="70"/>
      <c r="I463" s="71"/>
      <c r="J463" s="71"/>
    </row>
    <row r="464" spans="2:10" x14ac:dyDescent="0.25">
      <c r="B464" s="69"/>
      <c r="G464" s="71"/>
      <c r="H464" s="70"/>
      <c r="I464" s="71"/>
      <c r="J464" s="71"/>
    </row>
    <row r="465" spans="2:23" x14ac:dyDescent="0.25">
      <c r="B465" s="69"/>
      <c r="G465" s="71"/>
      <c r="H465" s="70"/>
      <c r="I465" s="71"/>
      <c r="J465" s="71"/>
      <c r="K465" s="71"/>
      <c r="L465" s="71"/>
      <c r="W465" s="5"/>
    </row>
    <row r="466" spans="2:23" x14ac:dyDescent="0.25">
      <c r="B466" s="69"/>
      <c r="G466" s="71"/>
      <c r="H466" s="70"/>
      <c r="I466" s="71"/>
      <c r="J466" s="71"/>
      <c r="K466" s="71"/>
      <c r="L466" s="71"/>
      <c r="W466" s="5"/>
    </row>
    <row r="467" spans="2:23" x14ac:dyDescent="0.25">
      <c r="B467" s="69"/>
      <c r="G467" s="71"/>
      <c r="H467" s="70"/>
      <c r="I467" s="71"/>
      <c r="J467" s="71"/>
      <c r="K467" s="71"/>
      <c r="L467" s="71"/>
      <c r="W467" s="5"/>
    </row>
    <row r="468" spans="2:23" x14ac:dyDescent="0.25">
      <c r="B468" s="69"/>
      <c r="G468" s="71"/>
      <c r="H468" s="70"/>
      <c r="I468" s="71"/>
      <c r="J468" s="71"/>
      <c r="K468" s="71"/>
      <c r="L468" s="71"/>
      <c r="W468" s="5"/>
    </row>
    <row r="469" spans="2:23" x14ac:dyDescent="0.25">
      <c r="B469" s="69"/>
      <c r="G469" s="71"/>
      <c r="H469" s="70"/>
      <c r="I469" s="71"/>
      <c r="J469" s="71"/>
      <c r="K469" s="71"/>
      <c r="L469" s="71"/>
      <c r="W469" s="5"/>
    </row>
    <row r="470" spans="2:23" x14ac:dyDescent="0.25">
      <c r="B470" s="69"/>
      <c r="G470" s="71"/>
      <c r="H470" s="70"/>
      <c r="I470" s="71"/>
      <c r="J470" s="71"/>
      <c r="K470" s="71"/>
      <c r="L470" s="71"/>
      <c r="W470" s="5"/>
    </row>
    <row r="471" spans="2:23" x14ac:dyDescent="0.25">
      <c r="B471" s="69"/>
      <c r="G471" s="71"/>
      <c r="H471" s="70"/>
      <c r="I471" s="71"/>
      <c r="J471" s="71"/>
      <c r="K471" s="71"/>
      <c r="L471" s="71"/>
      <c r="W471" s="5"/>
    </row>
    <row r="472" spans="2:23" x14ac:dyDescent="0.25">
      <c r="B472" s="69"/>
      <c r="G472" s="71"/>
      <c r="H472" s="70"/>
      <c r="I472" s="71"/>
      <c r="J472" s="71"/>
      <c r="K472" s="71"/>
      <c r="L472" s="71"/>
      <c r="W472" s="5"/>
    </row>
    <row r="473" spans="2:23" x14ac:dyDescent="0.25">
      <c r="B473" s="69"/>
      <c r="G473" s="71"/>
      <c r="H473" s="70"/>
      <c r="I473" s="71"/>
      <c r="J473" s="71"/>
      <c r="K473" s="71"/>
      <c r="L473" s="71"/>
      <c r="W473" s="5"/>
    </row>
    <row r="474" spans="2:23" x14ac:dyDescent="0.25">
      <c r="B474" s="69"/>
      <c r="G474" s="71"/>
      <c r="H474" s="70"/>
      <c r="I474" s="71"/>
      <c r="J474" s="71"/>
      <c r="K474" s="71"/>
      <c r="L474" s="71"/>
      <c r="W474" s="5"/>
    </row>
    <row r="475" spans="2:23" x14ac:dyDescent="0.25">
      <c r="B475" s="69"/>
      <c r="G475" s="71"/>
      <c r="H475" s="70"/>
      <c r="I475" s="71"/>
      <c r="J475" s="71"/>
      <c r="K475" s="71"/>
      <c r="L475" s="71"/>
      <c r="W475" s="5"/>
    </row>
    <row r="476" spans="2:23" x14ac:dyDescent="0.25">
      <c r="B476" s="69"/>
      <c r="G476" s="71"/>
      <c r="H476" s="70"/>
      <c r="I476" s="71"/>
      <c r="J476" s="71"/>
      <c r="K476" s="71"/>
      <c r="L476" s="71"/>
      <c r="W476" s="5"/>
    </row>
    <row r="477" spans="2:23" x14ac:dyDescent="0.25">
      <c r="B477" s="69"/>
      <c r="G477" s="71"/>
      <c r="H477" s="70"/>
      <c r="I477" s="71"/>
      <c r="J477" s="71"/>
      <c r="K477" s="71"/>
      <c r="L477" s="71"/>
      <c r="W477" s="5"/>
    </row>
    <row r="478" spans="2:23" x14ac:dyDescent="0.25">
      <c r="B478" s="69"/>
      <c r="G478" s="71"/>
      <c r="H478" s="70"/>
      <c r="I478" s="71"/>
      <c r="J478" s="71"/>
      <c r="K478" s="71"/>
      <c r="L478" s="71"/>
      <c r="W478" s="5"/>
    </row>
    <row r="479" spans="2:23" x14ac:dyDescent="0.25">
      <c r="B479" s="69"/>
      <c r="G479" s="71"/>
      <c r="H479" s="70"/>
      <c r="I479" s="71"/>
      <c r="J479" s="71"/>
      <c r="K479" s="71"/>
      <c r="L479" s="71"/>
      <c r="W479" s="5"/>
    </row>
    <row r="480" spans="2:23" x14ac:dyDescent="0.25">
      <c r="B480" s="69"/>
      <c r="G480" s="71"/>
      <c r="H480" s="70"/>
      <c r="I480" s="71"/>
      <c r="J480" s="71"/>
      <c r="K480" s="71"/>
      <c r="L480" s="71"/>
      <c r="W480" s="5"/>
    </row>
    <row r="481" spans="2:23" x14ac:dyDescent="0.25">
      <c r="B481" s="69"/>
      <c r="G481" s="71"/>
      <c r="H481" s="70"/>
      <c r="I481" s="71"/>
      <c r="J481" s="71"/>
      <c r="K481" s="71"/>
      <c r="L481" s="71"/>
      <c r="W481" s="5"/>
    </row>
    <row r="482" spans="2:23" x14ac:dyDescent="0.25">
      <c r="B482" s="69"/>
      <c r="G482" s="71"/>
      <c r="H482" s="70"/>
      <c r="I482" s="71"/>
      <c r="J482" s="71"/>
      <c r="K482" s="71"/>
      <c r="L482" s="71"/>
      <c r="W482" s="5"/>
    </row>
    <row r="483" spans="2:23" x14ac:dyDescent="0.25">
      <c r="B483" s="69"/>
      <c r="G483" s="71"/>
      <c r="H483" s="70"/>
      <c r="I483" s="71"/>
      <c r="J483" s="71"/>
      <c r="K483" s="71"/>
      <c r="L483" s="71"/>
      <c r="W483" s="5"/>
    </row>
    <row r="484" spans="2:23" x14ac:dyDescent="0.25">
      <c r="B484" s="69"/>
      <c r="G484" s="71"/>
      <c r="H484" s="70"/>
      <c r="I484" s="71"/>
      <c r="J484" s="71"/>
      <c r="K484" s="71"/>
      <c r="L484" s="71"/>
      <c r="W484" s="5"/>
    </row>
    <row r="485" spans="2:23" x14ac:dyDescent="0.25">
      <c r="B485" s="69"/>
      <c r="G485" s="71"/>
      <c r="H485" s="70"/>
      <c r="I485" s="71"/>
      <c r="J485" s="71"/>
      <c r="K485" s="71"/>
      <c r="L485" s="71"/>
      <c r="W485" s="5"/>
    </row>
    <row r="486" spans="2:23" x14ac:dyDescent="0.25">
      <c r="B486" s="69"/>
      <c r="G486" s="71"/>
      <c r="H486" s="70"/>
      <c r="I486" s="71"/>
      <c r="J486" s="71"/>
      <c r="K486" s="71"/>
      <c r="L486" s="71"/>
      <c r="W486" s="5"/>
    </row>
    <row r="487" spans="2:23" x14ac:dyDescent="0.25">
      <c r="B487" s="69"/>
      <c r="G487" s="71"/>
      <c r="H487" s="70"/>
      <c r="I487" s="71"/>
      <c r="J487" s="71"/>
      <c r="K487" s="71"/>
      <c r="L487" s="71"/>
      <c r="W487" s="5"/>
    </row>
    <row r="488" spans="2:23" x14ac:dyDescent="0.25">
      <c r="B488" s="69"/>
      <c r="G488" s="71"/>
      <c r="H488" s="70"/>
      <c r="I488" s="71"/>
      <c r="J488" s="71"/>
      <c r="K488" s="71"/>
      <c r="L488" s="71"/>
      <c r="W488" s="5"/>
    </row>
    <row r="489" spans="2:23" x14ac:dyDescent="0.25">
      <c r="B489" s="69"/>
      <c r="G489" s="71"/>
      <c r="H489" s="70"/>
      <c r="I489" s="71"/>
      <c r="J489" s="71"/>
      <c r="K489" s="71"/>
      <c r="L489" s="71"/>
      <c r="W489" s="5"/>
    </row>
    <row r="490" spans="2:23" x14ac:dyDescent="0.25">
      <c r="B490" s="69"/>
      <c r="G490" s="71"/>
      <c r="H490" s="70"/>
      <c r="I490" s="71"/>
      <c r="J490" s="71"/>
      <c r="K490" s="71"/>
      <c r="L490" s="71"/>
      <c r="W490" s="5"/>
    </row>
    <row r="491" spans="2:23" x14ac:dyDescent="0.25">
      <c r="B491" s="69"/>
      <c r="G491" s="71"/>
      <c r="H491" s="70"/>
      <c r="I491" s="71"/>
      <c r="J491" s="71"/>
      <c r="K491" s="71"/>
      <c r="L491" s="71"/>
      <c r="W491" s="5"/>
    </row>
    <row r="492" spans="2:23" x14ac:dyDescent="0.25">
      <c r="B492" s="69"/>
      <c r="G492" s="71"/>
      <c r="H492" s="70"/>
      <c r="I492" s="71"/>
      <c r="J492" s="71"/>
      <c r="K492" s="71"/>
      <c r="L492" s="71"/>
      <c r="W492" s="5"/>
    </row>
    <row r="493" spans="2:23" x14ac:dyDescent="0.25">
      <c r="B493" s="69"/>
      <c r="G493" s="71"/>
      <c r="H493" s="70"/>
      <c r="I493" s="71"/>
      <c r="J493" s="71"/>
      <c r="K493" s="71"/>
      <c r="L493" s="71"/>
      <c r="W493" s="5"/>
    </row>
    <row r="494" spans="2:23" x14ac:dyDescent="0.25">
      <c r="B494" s="69"/>
      <c r="G494" s="71"/>
      <c r="H494" s="70"/>
      <c r="I494" s="71"/>
      <c r="J494" s="71"/>
      <c r="K494" s="71"/>
      <c r="L494" s="71"/>
      <c r="W494" s="5"/>
    </row>
    <row r="495" spans="2:23" x14ac:dyDescent="0.25">
      <c r="B495" s="69"/>
      <c r="G495" s="71"/>
      <c r="H495" s="70"/>
      <c r="I495" s="71"/>
      <c r="J495" s="71"/>
      <c r="K495" s="71"/>
      <c r="L495" s="71"/>
      <c r="W495" s="5"/>
    </row>
    <row r="496" spans="2:23" x14ac:dyDescent="0.25">
      <c r="B496" s="69"/>
      <c r="G496" s="71"/>
      <c r="H496" s="70"/>
      <c r="I496" s="71"/>
      <c r="J496" s="71"/>
      <c r="K496" s="71"/>
      <c r="L496" s="71"/>
      <c r="W496" s="5"/>
    </row>
    <row r="497" spans="2:23" x14ac:dyDescent="0.25">
      <c r="B497" s="69"/>
      <c r="G497" s="71"/>
      <c r="H497" s="70"/>
      <c r="I497" s="71"/>
      <c r="J497" s="71"/>
      <c r="K497" s="71"/>
      <c r="L497" s="71"/>
      <c r="W497" s="5"/>
    </row>
    <row r="498" spans="2:23" x14ac:dyDescent="0.25">
      <c r="B498" s="69"/>
      <c r="G498" s="71"/>
      <c r="H498" s="70"/>
      <c r="I498" s="71"/>
      <c r="J498" s="71"/>
      <c r="K498" s="71"/>
      <c r="L498" s="71"/>
      <c r="W498" s="5"/>
    </row>
    <row r="499" spans="2:23" x14ac:dyDescent="0.25">
      <c r="B499" s="69"/>
      <c r="G499" s="71"/>
      <c r="H499" s="70"/>
      <c r="I499" s="71"/>
      <c r="J499" s="71"/>
      <c r="K499" s="71"/>
      <c r="L499" s="71"/>
      <c r="W499" s="5"/>
    </row>
    <row r="500" spans="2:23" x14ac:dyDescent="0.25">
      <c r="B500" s="69"/>
      <c r="G500" s="71"/>
      <c r="H500" s="70"/>
      <c r="I500" s="71"/>
      <c r="J500" s="71"/>
      <c r="K500" s="71"/>
      <c r="L500" s="71"/>
      <c r="W500" s="5"/>
    </row>
    <row r="501" spans="2:23" x14ac:dyDescent="0.25">
      <c r="B501" s="69"/>
      <c r="G501" s="71"/>
      <c r="H501" s="70"/>
      <c r="I501" s="71"/>
      <c r="J501" s="71"/>
      <c r="K501" s="71"/>
      <c r="L501" s="71"/>
      <c r="W501" s="5"/>
    </row>
    <row r="502" spans="2:23" x14ac:dyDescent="0.25">
      <c r="B502" s="69"/>
      <c r="G502" s="71"/>
      <c r="H502" s="70"/>
      <c r="I502" s="71"/>
      <c r="J502" s="71"/>
      <c r="K502" s="71"/>
      <c r="L502" s="71"/>
      <c r="W502" s="5"/>
    </row>
    <row r="503" spans="2:23" x14ac:dyDescent="0.25">
      <c r="B503" s="69"/>
      <c r="G503" s="71"/>
      <c r="H503" s="70"/>
      <c r="I503" s="71"/>
      <c r="J503" s="71"/>
      <c r="K503" s="71"/>
      <c r="L503" s="71"/>
      <c r="W503" s="5"/>
    </row>
    <row r="504" spans="2:23" x14ac:dyDescent="0.25">
      <c r="B504" s="69"/>
      <c r="G504" s="71"/>
      <c r="H504" s="70"/>
      <c r="I504" s="71"/>
      <c r="J504" s="71"/>
      <c r="K504" s="71"/>
      <c r="L504" s="71"/>
      <c r="W504" s="5"/>
    </row>
    <row r="505" spans="2:23" x14ac:dyDescent="0.25">
      <c r="B505" s="69"/>
      <c r="G505" s="71"/>
      <c r="H505" s="70"/>
      <c r="I505" s="71"/>
      <c r="J505" s="71"/>
      <c r="K505" s="71"/>
      <c r="L505" s="71"/>
      <c r="W505" s="5"/>
    </row>
    <row r="506" spans="2:23" x14ac:dyDescent="0.25">
      <c r="B506" s="69"/>
      <c r="G506" s="71"/>
      <c r="H506" s="70"/>
      <c r="I506" s="71"/>
      <c r="J506" s="71"/>
      <c r="K506" s="71"/>
      <c r="L506" s="71"/>
      <c r="W506" s="5"/>
    </row>
    <row r="507" spans="2:23" x14ac:dyDescent="0.25">
      <c r="B507" s="69"/>
      <c r="G507" s="71"/>
      <c r="H507" s="70"/>
      <c r="I507" s="71"/>
      <c r="J507" s="71"/>
      <c r="K507" s="71"/>
      <c r="L507" s="71"/>
      <c r="W507" s="5"/>
    </row>
    <row r="508" spans="2:23" x14ac:dyDescent="0.25">
      <c r="B508" s="69"/>
      <c r="G508" s="71"/>
      <c r="H508" s="70"/>
      <c r="I508" s="71"/>
      <c r="J508" s="71"/>
      <c r="K508" s="71"/>
      <c r="L508" s="71"/>
      <c r="W508" s="5"/>
    </row>
    <row r="509" spans="2:23" x14ac:dyDescent="0.25">
      <c r="B509" s="69"/>
      <c r="G509" s="71"/>
      <c r="H509" s="70"/>
      <c r="I509" s="71"/>
      <c r="J509" s="71"/>
      <c r="K509" s="71"/>
      <c r="L509" s="71"/>
      <c r="W509" s="5"/>
    </row>
    <row r="510" spans="2:23" x14ac:dyDescent="0.25">
      <c r="B510" s="69"/>
      <c r="G510" s="71"/>
      <c r="H510" s="70"/>
      <c r="I510" s="71"/>
      <c r="J510" s="71"/>
      <c r="K510" s="71"/>
      <c r="L510" s="71"/>
      <c r="W510" s="5"/>
    </row>
    <row r="511" spans="2:23" x14ac:dyDescent="0.25">
      <c r="B511" s="69"/>
      <c r="G511" s="71"/>
      <c r="H511" s="70"/>
      <c r="I511" s="71"/>
      <c r="J511" s="71"/>
      <c r="K511" s="71"/>
      <c r="L511" s="71"/>
      <c r="W511" s="5"/>
    </row>
    <row r="512" spans="2:23" x14ac:dyDescent="0.25">
      <c r="B512" s="69"/>
      <c r="G512" s="71"/>
      <c r="H512" s="70"/>
      <c r="I512" s="71"/>
      <c r="J512" s="71"/>
      <c r="K512" s="71"/>
      <c r="L512" s="71"/>
      <c r="W512" s="5"/>
    </row>
    <row r="513" spans="2:23" x14ac:dyDescent="0.25">
      <c r="B513" s="69"/>
      <c r="G513" s="71"/>
      <c r="H513" s="70"/>
      <c r="I513" s="71"/>
      <c r="J513" s="71"/>
      <c r="K513" s="71"/>
      <c r="L513" s="71"/>
      <c r="W513" s="5"/>
    </row>
    <row r="514" spans="2:23" x14ac:dyDescent="0.25">
      <c r="B514" s="69"/>
      <c r="G514" s="71"/>
      <c r="H514" s="70"/>
      <c r="I514" s="71"/>
      <c r="J514" s="71"/>
      <c r="K514" s="71"/>
      <c r="L514" s="71"/>
      <c r="W514" s="5"/>
    </row>
    <row r="515" spans="2:23" x14ac:dyDescent="0.25">
      <c r="B515" s="69"/>
      <c r="G515" s="71"/>
      <c r="H515" s="70"/>
      <c r="I515" s="71"/>
      <c r="J515" s="71"/>
      <c r="K515" s="71"/>
      <c r="L515" s="71"/>
      <c r="W515" s="5"/>
    </row>
    <row r="516" spans="2:23" x14ac:dyDescent="0.25">
      <c r="B516" s="69"/>
      <c r="G516" s="71"/>
      <c r="H516" s="70"/>
      <c r="I516" s="71"/>
      <c r="J516" s="71"/>
      <c r="K516" s="71"/>
      <c r="L516" s="71"/>
      <c r="W516" s="5"/>
    </row>
    <row r="517" spans="2:23" x14ac:dyDescent="0.25">
      <c r="B517" s="69"/>
      <c r="G517" s="71"/>
      <c r="H517" s="70"/>
      <c r="I517" s="71"/>
      <c r="J517" s="71"/>
      <c r="K517" s="71"/>
      <c r="L517" s="71"/>
      <c r="W517" s="5"/>
    </row>
    <row r="518" spans="2:23" x14ac:dyDescent="0.25">
      <c r="B518" s="69"/>
      <c r="G518" s="71"/>
      <c r="H518" s="70"/>
      <c r="I518" s="71"/>
      <c r="J518" s="71"/>
      <c r="K518" s="71"/>
      <c r="L518" s="71"/>
      <c r="W518" s="5"/>
    </row>
    <row r="519" spans="2:23" x14ac:dyDescent="0.25">
      <c r="B519" s="69"/>
      <c r="G519" s="71"/>
      <c r="H519" s="70"/>
      <c r="I519" s="71"/>
      <c r="J519" s="71"/>
      <c r="K519" s="71"/>
      <c r="L519" s="71"/>
      <c r="W519" s="5"/>
    </row>
    <row r="520" spans="2:23" x14ac:dyDescent="0.25">
      <c r="B520" s="69"/>
      <c r="G520" s="71"/>
      <c r="H520" s="70"/>
      <c r="I520" s="71"/>
      <c r="J520" s="71"/>
      <c r="K520" s="71"/>
      <c r="L520" s="71"/>
      <c r="W520" s="5"/>
    </row>
    <row r="521" spans="2:23" x14ac:dyDescent="0.25">
      <c r="B521" s="69"/>
      <c r="G521" s="71"/>
      <c r="H521" s="70"/>
      <c r="I521" s="71"/>
      <c r="J521" s="71"/>
      <c r="K521" s="71"/>
      <c r="L521" s="71"/>
      <c r="W521" s="5"/>
    </row>
    <row r="522" spans="2:23" x14ac:dyDescent="0.25">
      <c r="B522" s="69"/>
      <c r="G522" s="71"/>
      <c r="H522" s="70"/>
      <c r="I522" s="71"/>
      <c r="J522" s="71"/>
      <c r="K522" s="71"/>
      <c r="L522" s="71"/>
      <c r="W522" s="5"/>
    </row>
    <row r="523" spans="2:23" x14ac:dyDescent="0.25">
      <c r="B523" s="69"/>
      <c r="G523" s="71"/>
      <c r="H523" s="70"/>
      <c r="I523" s="71"/>
      <c r="J523" s="71"/>
      <c r="K523" s="71"/>
      <c r="L523" s="71"/>
      <c r="W523" s="5"/>
    </row>
    <row r="524" spans="2:23" x14ac:dyDescent="0.25">
      <c r="B524" s="69"/>
      <c r="G524" s="71"/>
      <c r="H524" s="70"/>
      <c r="I524" s="71"/>
      <c r="J524" s="71"/>
      <c r="K524" s="71"/>
      <c r="L524" s="71"/>
      <c r="W524" s="5"/>
    </row>
    <row r="525" spans="2:23" x14ac:dyDescent="0.25">
      <c r="B525" s="69"/>
      <c r="G525" s="71"/>
      <c r="H525" s="70"/>
      <c r="I525" s="71"/>
      <c r="J525" s="71"/>
      <c r="K525" s="71"/>
      <c r="L525" s="71"/>
      <c r="W525" s="5"/>
    </row>
    <row r="526" spans="2:23" x14ac:dyDescent="0.25">
      <c r="B526" s="69"/>
      <c r="G526" s="71"/>
      <c r="H526" s="70"/>
      <c r="I526" s="71"/>
      <c r="J526" s="71"/>
      <c r="K526" s="71"/>
      <c r="L526" s="71"/>
      <c r="W526" s="5"/>
    </row>
    <row r="527" spans="2:23" x14ac:dyDescent="0.25">
      <c r="B527" s="69"/>
      <c r="G527" s="71"/>
      <c r="H527" s="70"/>
      <c r="I527" s="71"/>
      <c r="J527" s="71"/>
      <c r="K527" s="71"/>
      <c r="L527" s="71"/>
      <c r="W527" s="5"/>
    </row>
    <row r="528" spans="2:23" x14ac:dyDescent="0.25">
      <c r="B528" s="69"/>
      <c r="G528" s="71"/>
      <c r="H528" s="70"/>
      <c r="I528" s="71"/>
      <c r="J528" s="71"/>
      <c r="K528" s="71"/>
      <c r="L528" s="71"/>
      <c r="W528" s="5"/>
    </row>
    <row r="529" spans="2:23" x14ac:dyDescent="0.25">
      <c r="B529" s="69"/>
      <c r="G529" s="71"/>
      <c r="H529" s="70"/>
      <c r="I529" s="71"/>
      <c r="J529" s="71"/>
      <c r="K529" s="71"/>
      <c r="L529" s="71"/>
      <c r="W529" s="5"/>
    </row>
    <row r="530" spans="2:23" x14ac:dyDescent="0.25">
      <c r="B530" s="69"/>
      <c r="G530" s="71"/>
      <c r="H530" s="70"/>
      <c r="I530" s="71"/>
      <c r="J530" s="71"/>
      <c r="K530" s="71"/>
      <c r="L530" s="71"/>
      <c r="W530" s="5"/>
    </row>
    <row r="531" spans="2:23" x14ac:dyDescent="0.25">
      <c r="B531" s="69"/>
      <c r="G531" s="71"/>
      <c r="H531" s="70"/>
      <c r="I531" s="71"/>
      <c r="J531" s="71"/>
      <c r="K531" s="71"/>
      <c r="L531" s="71"/>
      <c r="W531" s="5"/>
    </row>
    <row r="532" spans="2:23" x14ac:dyDescent="0.25">
      <c r="B532" s="69"/>
      <c r="G532" s="71"/>
      <c r="H532" s="70"/>
      <c r="I532" s="71"/>
      <c r="J532" s="71"/>
      <c r="K532" s="71"/>
      <c r="L532" s="71"/>
      <c r="W532" s="5"/>
    </row>
    <row r="533" spans="2:23" x14ac:dyDescent="0.25">
      <c r="B533" s="69"/>
      <c r="G533" s="71"/>
      <c r="H533" s="70"/>
      <c r="I533" s="71"/>
      <c r="J533" s="71"/>
      <c r="K533" s="71"/>
      <c r="L533" s="71"/>
      <c r="W533" s="5"/>
    </row>
    <row r="534" spans="2:23" x14ac:dyDescent="0.25">
      <c r="B534" s="69"/>
      <c r="G534" s="71"/>
      <c r="H534" s="70"/>
      <c r="I534" s="71"/>
      <c r="J534" s="71"/>
      <c r="K534" s="71"/>
      <c r="L534" s="71"/>
      <c r="W534" s="5"/>
    </row>
    <row r="535" spans="2:23" x14ac:dyDescent="0.25">
      <c r="B535" s="69"/>
      <c r="G535" s="71"/>
      <c r="H535" s="70"/>
      <c r="I535" s="71"/>
      <c r="J535" s="71"/>
      <c r="K535" s="71"/>
      <c r="L535" s="71"/>
      <c r="W535" s="5"/>
    </row>
    <row r="536" spans="2:23" x14ac:dyDescent="0.25">
      <c r="B536" s="69"/>
      <c r="G536" s="71"/>
      <c r="H536" s="70"/>
      <c r="I536" s="71"/>
      <c r="J536" s="71"/>
      <c r="K536" s="71"/>
      <c r="L536" s="71"/>
      <c r="W536" s="5"/>
    </row>
    <row r="537" spans="2:23" x14ac:dyDescent="0.25">
      <c r="B537" s="69"/>
      <c r="G537" s="71"/>
      <c r="H537" s="70"/>
      <c r="I537" s="71"/>
      <c r="J537" s="71"/>
      <c r="K537" s="71"/>
      <c r="L537" s="71"/>
      <c r="W537" s="5"/>
    </row>
    <row r="538" spans="2:23" x14ac:dyDescent="0.25">
      <c r="B538" s="69"/>
      <c r="G538" s="71"/>
      <c r="H538" s="70"/>
      <c r="I538" s="71"/>
      <c r="J538" s="71"/>
      <c r="K538" s="71"/>
      <c r="L538" s="71"/>
      <c r="W538" s="5"/>
    </row>
    <row r="539" spans="2:23" x14ac:dyDescent="0.25">
      <c r="B539" s="69"/>
      <c r="G539" s="71"/>
      <c r="H539" s="70"/>
      <c r="I539" s="71"/>
      <c r="J539" s="71"/>
      <c r="K539" s="71"/>
      <c r="L539" s="71"/>
      <c r="W539" s="5"/>
    </row>
    <row r="540" spans="2:23" x14ac:dyDescent="0.25">
      <c r="B540" s="69"/>
      <c r="G540" s="71"/>
      <c r="H540" s="70"/>
      <c r="I540" s="71"/>
      <c r="J540" s="71"/>
      <c r="K540" s="71"/>
      <c r="L540" s="71"/>
      <c r="W540" s="5"/>
    </row>
    <row r="541" spans="2:23" x14ac:dyDescent="0.25">
      <c r="B541" s="69"/>
      <c r="G541" s="71"/>
      <c r="H541" s="70"/>
      <c r="I541" s="71"/>
      <c r="J541" s="71"/>
      <c r="K541" s="71"/>
      <c r="L541" s="71"/>
      <c r="W541" s="5"/>
    </row>
    <row r="542" spans="2:23" x14ac:dyDescent="0.25">
      <c r="B542" s="69"/>
      <c r="G542" s="71"/>
      <c r="H542" s="70"/>
      <c r="I542" s="71"/>
      <c r="J542" s="71"/>
      <c r="K542" s="71"/>
      <c r="L542" s="71"/>
      <c r="W542" s="5"/>
    </row>
    <row r="543" spans="2:23" x14ac:dyDescent="0.25">
      <c r="B543" s="69"/>
      <c r="G543" s="71"/>
      <c r="H543" s="70"/>
      <c r="I543" s="71"/>
      <c r="J543" s="71"/>
      <c r="K543" s="71"/>
      <c r="L543" s="71"/>
      <c r="W543" s="5"/>
    </row>
    <row r="544" spans="2:23" x14ac:dyDescent="0.25">
      <c r="B544" s="69"/>
      <c r="G544" s="71"/>
      <c r="H544" s="70"/>
      <c r="I544" s="71"/>
      <c r="J544" s="71"/>
      <c r="K544" s="71"/>
      <c r="L544" s="71"/>
      <c r="W544" s="5"/>
    </row>
    <row r="545" spans="2:23" x14ac:dyDescent="0.25">
      <c r="B545" s="69"/>
      <c r="G545" s="71"/>
      <c r="H545" s="70"/>
      <c r="I545" s="71"/>
      <c r="J545" s="71"/>
      <c r="K545" s="71"/>
      <c r="L545" s="71"/>
      <c r="W545" s="5"/>
    </row>
    <row r="546" spans="2:23" x14ac:dyDescent="0.25">
      <c r="B546" s="69"/>
      <c r="G546" s="71"/>
      <c r="H546" s="70"/>
      <c r="I546" s="71"/>
      <c r="J546" s="71"/>
      <c r="K546" s="71"/>
      <c r="L546" s="71"/>
      <c r="W546" s="5"/>
    </row>
    <row r="547" spans="2:23" x14ac:dyDescent="0.25">
      <c r="B547" s="69"/>
      <c r="G547" s="71"/>
      <c r="H547" s="70"/>
      <c r="I547" s="71"/>
      <c r="J547" s="71"/>
      <c r="K547" s="71"/>
      <c r="L547" s="71"/>
      <c r="W547" s="5"/>
    </row>
    <row r="548" spans="2:23" x14ac:dyDescent="0.25">
      <c r="B548" s="69"/>
      <c r="G548" s="71"/>
      <c r="H548" s="70"/>
      <c r="I548" s="71"/>
      <c r="J548" s="71"/>
      <c r="K548" s="71"/>
      <c r="L548" s="71"/>
      <c r="W548" s="5"/>
    </row>
    <row r="549" spans="2:23" x14ac:dyDescent="0.25">
      <c r="B549" s="69"/>
      <c r="G549" s="71"/>
      <c r="H549" s="70"/>
      <c r="I549" s="71"/>
      <c r="J549" s="71"/>
      <c r="K549" s="71"/>
      <c r="L549" s="71"/>
      <c r="W549" s="5"/>
    </row>
    <row r="550" spans="2:23" x14ac:dyDescent="0.25">
      <c r="B550" s="69"/>
      <c r="G550" s="71"/>
      <c r="H550" s="70"/>
      <c r="I550" s="71"/>
      <c r="J550" s="71"/>
      <c r="K550" s="71"/>
      <c r="L550" s="71"/>
      <c r="W550" s="5"/>
    </row>
    <row r="551" spans="2:23" x14ac:dyDescent="0.25">
      <c r="B551" s="69"/>
      <c r="G551" s="71"/>
      <c r="H551" s="70"/>
      <c r="I551" s="71"/>
      <c r="J551" s="71"/>
      <c r="K551" s="71"/>
      <c r="L551" s="71"/>
      <c r="W551" s="5"/>
    </row>
    <row r="552" spans="2:23" x14ac:dyDescent="0.25">
      <c r="B552" s="69"/>
      <c r="G552" s="71"/>
      <c r="H552" s="70"/>
      <c r="I552" s="71"/>
      <c r="J552" s="71"/>
      <c r="K552" s="71"/>
      <c r="L552" s="71"/>
      <c r="W552" s="5"/>
    </row>
    <row r="553" spans="2:23" x14ac:dyDescent="0.25">
      <c r="B553" s="69"/>
      <c r="G553" s="71"/>
      <c r="H553" s="70"/>
      <c r="I553" s="71"/>
      <c r="J553" s="71"/>
      <c r="K553" s="71"/>
      <c r="L553" s="71"/>
      <c r="W553" s="5"/>
    </row>
    <row r="554" spans="2:23" x14ac:dyDescent="0.25">
      <c r="B554" s="69"/>
      <c r="G554" s="71"/>
      <c r="H554" s="70"/>
      <c r="I554" s="71"/>
      <c r="J554" s="71"/>
      <c r="K554" s="71"/>
      <c r="L554" s="71"/>
      <c r="W554" s="5"/>
    </row>
    <row r="555" spans="2:23" x14ac:dyDescent="0.25">
      <c r="B555" s="69"/>
      <c r="G555" s="71"/>
      <c r="H555" s="70"/>
      <c r="I555" s="71"/>
      <c r="J555" s="71"/>
      <c r="K555" s="71"/>
      <c r="L555" s="71"/>
      <c r="W555" s="5"/>
    </row>
    <row r="556" spans="2:23" x14ac:dyDescent="0.25">
      <c r="B556" s="69"/>
      <c r="G556" s="71"/>
      <c r="H556" s="70"/>
      <c r="I556" s="71"/>
      <c r="J556" s="71"/>
      <c r="K556" s="71"/>
      <c r="L556" s="71"/>
      <c r="W556" s="5"/>
    </row>
    <row r="557" spans="2:23" x14ac:dyDescent="0.25">
      <c r="B557" s="69"/>
      <c r="G557" s="71"/>
      <c r="H557" s="70"/>
      <c r="I557" s="71"/>
      <c r="J557" s="71"/>
      <c r="K557" s="71"/>
      <c r="L557" s="71"/>
      <c r="W557" s="5"/>
    </row>
    <row r="558" spans="2:23" x14ac:dyDescent="0.25">
      <c r="B558" s="69"/>
      <c r="G558" s="71"/>
      <c r="H558" s="70"/>
      <c r="I558" s="71"/>
      <c r="J558" s="71"/>
      <c r="K558" s="71"/>
      <c r="L558" s="71"/>
      <c r="W558" s="5"/>
    </row>
    <row r="559" spans="2:23" x14ac:dyDescent="0.25">
      <c r="B559" s="69"/>
      <c r="G559" s="71"/>
      <c r="H559" s="70"/>
      <c r="I559" s="71"/>
      <c r="J559" s="71"/>
      <c r="K559" s="71"/>
      <c r="L559" s="71"/>
      <c r="W559" s="5"/>
    </row>
    <row r="560" spans="2:23" x14ac:dyDescent="0.25">
      <c r="B560" s="69"/>
      <c r="G560" s="71"/>
      <c r="H560" s="70"/>
      <c r="I560" s="71"/>
      <c r="J560" s="71"/>
      <c r="K560" s="71"/>
      <c r="L560" s="71"/>
      <c r="W560" s="5"/>
    </row>
    <row r="561" spans="2:23" x14ac:dyDescent="0.25">
      <c r="B561" s="69"/>
      <c r="G561" s="71"/>
      <c r="H561" s="70"/>
      <c r="I561" s="71"/>
      <c r="J561" s="71"/>
      <c r="W561" s="5"/>
    </row>
    <row r="562" spans="2:23" x14ac:dyDescent="0.25">
      <c r="B562" s="69"/>
      <c r="G562" s="71"/>
      <c r="H562" s="70"/>
      <c r="I562" s="71"/>
      <c r="J562" s="71"/>
      <c r="W562" s="5"/>
    </row>
    <row r="563" spans="2:23" x14ac:dyDescent="0.25">
      <c r="B563" s="69"/>
      <c r="G563" s="71"/>
      <c r="H563" s="70"/>
      <c r="I563" s="71"/>
      <c r="J563" s="71"/>
      <c r="W563" s="5"/>
    </row>
    <row r="564" spans="2:23" x14ac:dyDescent="0.25">
      <c r="B564" s="69"/>
      <c r="G564" s="71"/>
      <c r="H564" s="70"/>
      <c r="I564" s="71"/>
      <c r="J564" s="71"/>
      <c r="W564" s="5"/>
    </row>
    <row r="565" spans="2:23" x14ac:dyDescent="0.25">
      <c r="B565" s="69"/>
      <c r="G565" s="71"/>
      <c r="H565" s="70"/>
      <c r="I565" s="71"/>
      <c r="J565" s="71"/>
      <c r="W565" s="5"/>
    </row>
    <row r="566" spans="2:23" x14ac:dyDescent="0.25">
      <c r="B566" s="69"/>
      <c r="G566" s="71"/>
      <c r="H566" s="70"/>
      <c r="I566" s="71"/>
      <c r="J566" s="71"/>
      <c r="W566" s="5"/>
    </row>
    <row r="567" spans="2:23" x14ac:dyDescent="0.25">
      <c r="B567" s="69"/>
      <c r="G567" s="71"/>
      <c r="H567" s="70"/>
      <c r="I567" s="71"/>
      <c r="J567" s="71"/>
      <c r="W567" s="5"/>
    </row>
    <row r="568" spans="2:23" x14ac:dyDescent="0.25">
      <c r="B568" s="69"/>
      <c r="G568" s="71"/>
      <c r="H568" s="70"/>
      <c r="I568" s="71"/>
      <c r="J568" s="71"/>
      <c r="W568" s="5"/>
    </row>
    <row r="569" spans="2:23" x14ac:dyDescent="0.25">
      <c r="B569" s="69"/>
      <c r="G569" s="71"/>
      <c r="H569" s="70"/>
      <c r="I569" s="71"/>
      <c r="J569" s="71"/>
      <c r="W569" s="5"/>
    </row>
    <row r="570" spans="2:23" x14ac:dyDescent="0.25">
      <c r="B570" s="69"/>
      <c r="G570" s="71"/>
      <c r="H570" s="70"/>
      <c r="I570" s="71"/>
      <c r="J570" s="71"/>
      <c r="W570" s="5"/>
    </row>
    <row r="571" spans="2:23" x14ac:dyDescent="0.25">
      <c r="B571" s="69"/>
      <c r="G571" s="71"/>
      <c r="H571" s="70"/>
      <c r="I571" s="71"/>
      <c r="J571" s="71"/>
      <c r="W571" s="5"/>
    </row>
    <row r="572" spans="2:23" x14ac:dyDescent="0.25">
      <c r="B572" s="69"/>
      <c r="G572" s="71"/>
      <c r="H572" s="70"/>
      <c r="I572" s="71"/>
      <c r="J572" s="71"/>
    </row>
    <row r="573" spans="2:23" x14ac:dyDescent="0.25">
      <c r="B573" s="69"/>
      <c r="G573" s="71"/>
      <c r="H573" s="70"/>
      <c r="I573" s="71"/>
      <c r="J573" s="71"/>
    </row>
    <row r="574" spans="2:23" x14ac:dyDescent="0.25">
      <c r="B574" s="69"/>
      <c r="G574" s="71"/>
      <c r="H574" s="70"/>
      <c r="I574" s="71"/>
      <c r="J574" s="71"/>
    </row>
    <row r="575" spans="2:23" x14ac:dyDescent="0.25">
      <c r="B575" s="69"/>
      <c r="G575" s="71"/>
      <c r="H575" s="70"/>
      <c r="I575" s="71"/>
      <c r="J575" s="71"/>
    </row>
    <row r="576" spans="2:23" x14ac:dyDescent="0.25">
      <c r="B576" s="69"/>
      <c r="G576" s="71"/>
      <c r="H576" s="70"/>
      <c r="I576" s="71"/>
      <c r="J576" s="71"/>
    </row>
    <row r="577" spans="2:10" x14ac:dyDescent="0.25">
      <c r="B577" s="69"/>
      <c r="G577" s="71"/>
      <c r="H577" s="70"/>
      <c r="I577" s="71"/>
      <c r="J577" s="71"/>
    </row>
    <row r="578" spans="2:10" x14ac:dyDescent="0.25">
      <c r="B578" s="69"/>
      <c r="G578" s="71"/>
      <c r="H578" s="70"/>
      <c r="I578" s="71"/>
      <c r="J578" s="71"/>
    </row>
    <row r="579" spans="2:10" x14ac:dyDescent="0.25">
      <c r="B579" s="69"/>
      <c r="G579" s="71"/>
      <c r="H579" s="70"/>
      <c r="I579" s="71"/>
      <c r="J579" s="71"/>
    </row>
    <row r="580" spans="2:10" x14ac:dyDescent="0.25">
      <c r="B580" s="69"/>
      <c r="G580" s="71"/>
      <c r="H580" s="70"/>
      <c r="I580" s="71"/>
      <c r="J580" s="71"/>
    </row>
    <row r="581" spans="2:10" x14ac:dyDescent="0.25">
      <c r="B581" s="69"/>
      <c r="G581" s="71"/>
      <c r="H581" s="70"/>
      <c r="I581" s="71"/>
      <c r="J581" s="71"/>
    </row>
    <row r="582" spans="2:10" x14ac:dyDescent="0.25">
      <c r="B582" s="69"/>
      <c r="G582" s="71"/>
      <c r="H582" s="70"/>
      <c r="I582" s="71"/>
      <c r="J582" s="71"/>
    </row>
    <row r="583" spans="2:10" x14ac:dyDescent="0.25">
      <c r="B583" s="69"/>
      <c r="G583" s="71"/>
      <c r="H583" s="70"/>
      <c r="I583" s="71"/>
      <c r="J583" s="71"/>
    </row>
    <row r="584" spans="2:10" x14ac:dyDescent="0.25">
      <c r="B584" s="69"/>
      <c r="G584" s="71"/>
      <c r="H584" s="70"/>
      <c r="I584" s="71"/>
      <c r="J584" s="71"/>
    </row>
    <row r="585" spans="2:10" x14ac:dyDescent="0.25">
      <c r="B585" s="69"/>
      <c r="G585" s="71"/>
      <c r="H585" s="70"/>
      <c r="I585" s="71"/>
      <c r="J585" s="71"/>
    </row>
    <row r="586" spans="2:10" x14ac:dyDescent="0.25">
      <c r="B586" s="69"/>
      <c r="G586" s="71"/>
      <c r="H586" s="70"/>
      <c r="I586" s="71"/>
      <c r="J586" s="71"/>
    </row>
    <row r="587" spans="2:10" x14ac:dyDescent="0.25">
      <c r="B587" s="69"/>
      <c r="G587" s="71"/>
      <c r="H587" s="70"/>
      <c r="I587" s="71"/>
      <c r="J587" s="71"/>
    </row>
    <row r="588" spans="2:10" x14ac:dyDescent="0.25">
      <c r="B588" s="69"/>
      <c r="G588" s="71"/>
      <c r="H588" s="70"/>
      <c r="I588" s="71"/>
      <c r="J588" s="71"/>
    </row>
    <row r="589" spans="2:10" x14ac:dyDescent="0.25">
      <c r="B589" s="69"/>
      <c r="G589" s="71"/>
      <c r="H589" s="70"/>
      <c r="I589" s="71"/>
      <c r="J589" s="71"/>
    </row>
    <row r="590" spans="2:10" x14ac:dyDescent="0.25">
      <c r="B590" s="69"/>
      <c r="G590" s="71"/>
      <c r="H590" s="70"/>
      <c r="I590" s="71"/>
      <c r="J590" s="71"/>
    </row>
    <row r="591" spans="2:10" x14ac:dyDescent="0.25">
      <c r="B591" s="69"/>
      <c r="G591" s="71"/>
      <c r="H591" s="70"/>
      <c r="I591" s="71"/>
      <c r="J591" s="71"/>
    </row>
    <row r="592" spans="2:10" x14ac:dyDescent="0.25">
      <c r="B592" s="69"/>
      <c r="G592" s="71"/>
      <c r="H592" s="70"/>
      <c r="I592" s="71"/>
      <c r="J592" s="71"/>
    </row>
    <row r="593" spans="2:22" x14ac:dyDescent="0.25">
      <c r="B593" s="69"/>
      <c r="G593" s="71"/>
      <c r="H593" s="70"/>
      <c r="I593" s="71"/>
      <c r="J593" s="71"/>
    </row>
    <row r="594" spans="2:22" x14ac:dyDescent="0.25">
      <c r="B594" s="69"/>
      <c r="G594" s="71"/>
      <c r="H594" s="70"/>
      <c r="I594" s="71"/>
      <c r="J594" s="71"/>
    </row>
    <row r="595" spans="2:22" x14ac:dyDescent="0.25">
      <c r="B595" s="69"/>
      <c r="G595" s="71"/>
      <c r="H595" s="70"/>
      <c r="I595" s="71"/>
      <c r="J595" s="71"/>
    </row>
    <row r="596" spans="2:22" x14ac:dyDescent="0.25">
      <c r="B596" s="69"/>
      <c r="G596" s="71"/>
      <c r="H596" s="70"/>
      <c r="I596" s="71"/>
      <c r="J596" s="71"/>
    </row>
    <row r="597" spans="2:22" x14ac:dyDescent="0.25">
      <c r="B597" s="69"/>
      <c r="G597" s="71"/>
      <c r="H597" s="70"/>
      <c r="I597" s="71"/>
      <c r="J597" s="71"/>
    </row>
    <row r="598" spans="2:22" x14ac:dyDescent="0.25">
      <c r="B598" s="69"/>
      <c r="G598" s="71"/>
      <c r="H598" s="70"/>
      <c r="I598" s="71"/>
      <c r="J598" s="71"/>
    </row>
    <row r="599" spans="2:22" x14ac:dyDescent="0.25">
      <c r="B599" s="69"/>
      <c r="G599" s="71"/>
      <c r="H599" s="70"/>
      <c r="I599" s="71"/>
      <c r="J599" s="71"/>
    </row>
    <row r="600" spans="2:22" x14ac:dyDescent="0.25">
      <c r="B600" s="69"/>
      <c r="G600" s="71"/>
      <c r="H600" s="70"/>
      <c r="I600" s="71"/>
      <c r="J600" s="71"/>
    </row>
    <row r="601" spans="2:22" x14ac:dyDescent="0.25">
      <c r="B601" s="69"/>
      <c r="G601" s="71"/>
      <c r="H601" s="70"/>
      <c r="I601" s="71"/>
      <c r="J601" s="71"/>
    </row>
    <row r="602" spans="2:22" x14ac:dyDescent="0.25">
      <c r="B602" s="69"/>
      <c r="G602" s="71"/>
      <c r="H602" s="70"/>
      <c r="I602" s="71"/>
      <c r="J602" s="71"/>
    </row>
    <row r="603" spans="2:22" x14ac:dyDescent="0.25">
      <c r="B603" s="69"/>
      <c r="G603" s="71"/>
      <c r="H603" s="70"/>
      <c r="I603" s="71"/>
      <c r="J603" s="71"/>
    </row>
    <row r="604" spans="2:22" x14ac:dyDescent="0.25">
      <c r="B604" s="69"/>
      <c r="G604" s="71"/>
      <c r="H604" s="70"/>
      <c r="I604" s="71"/>
      <c r="J604" s="71"/>
    </row>
    <row r="605" spans="2:22" x14ac:dyDescent="0.25">
      <c r="B605" s="69"/>
      <c r="G605" s="71"/>
      <c r="H605" s="70"/>
      <c r="I605" s="71"/>
      <c r="J605" s="71"/>
      <c r="U605" s="5"/>
      <c r="V605" s="5"/>
    </row>
    <row r="606" spans="2:22" x14ac:dyDescent="0.25">
      <c r="B606" s="69"/>
      <c r="G606" s="71"/>
      <c r="H606" s="70"/>
      <c r="I606" s="71"/>
      <c r="J606" s="71"/>
      <c r="U606" s="5"/>
      <c r="V606" s="5"/>
    </row>
    <row r="607" spans="2:22" x14ac:dyDescent="0.25">
      <c r="B607" s="69"/>
      <c r="G607" s="71"/>
      <c r="H607" s="70"/>
      <c r="I607" s="71"/>
      <c r="J607" s="71"/>
      <c r="U607" s="5"/>
      <c r="V607" s="5"/>
    </row>
    <row r="608" spans="2:22" x14ac:dyDescent="0.25">
      <c r="B608" s="69"/>
      <c r="G608" s="71"/>
      <c r="H608" s="70"/>
      <c r="I608" s="71"/>
      <c r="J608" s="71"/>
      <c r="U608" s="5"/>
      <c r="V608" s="5"/>
    </row>
    <row r="609" spans="2:22" x14ac:dyDescent="0.25">
      <c r="B609" s="69"/>
      <c r="G609" s="71"/>
      <c r="H609" s="70"/>
      <c r="I609" s="71"/>
      <c r="J609" s="71"/>
      <c r="U609" s="5"/>
      <c r="V609" s="5"/>
    </row>
    <row r="610" spans="2:22" x14ac:dyDescent="0.25">
      <c r="B610" s="69"/>
      <c r="G610" s="71"/>
      <c r="H610" s="70"/>
      <c r="I610" s="71"/>
      <c r="J610" s="71"/>
      <c r="U610" s="5"/>
      <c r="V610" s="5"/>
    </row>
    <row r="611" spans="2:22" x14ac:dyDescent="0.25">
      <c r="B611" s="69"/>
      <c r="G611" s="71"/>
      <c r="H611" s="70"/>
      <c r="I611" s="71"/>
      <c r="J611" s="71"/>
      <c r="U611" s="5"/>
      <c r="V611" s="5"/>
    </row>
    <row r="612" spans="2:22" x14ac:dyDescent="0.25">
      <c r="B612" s="69"/>
      <c r="G612" s="71"/>
      <c r="H612" s="70"/>
      <c r="I612" s="71"/>
      <c r="J612" s="71"/>
      <c r="U612" s="5"/>
      <c r="V612" s="5"/>
    </row>
    <row r="613" spans="2:22" x14ac:dyDescent="0.25">
      <c r="B613" s="69"/>
      <c r="G613" s="71"/>
      <c r="H613" s="70"/>
      <c r="I613" s="71"/>
      <c r="J613" s="71"/>
      <c r="U613" s="5"/>
      <c r="V613" s="5"/>
    </row>
    <row r="614" spans="2:22" x14ac:dyDescent="0.25">
      <c r="B614" s="69"/>
      <c r="G614" s="71"/>
      <c r="H614" s="70"/>
      <c r="I614" s="71"/>
      <c r="J614" s="71"/>
      <c r="U614" s="5"/>
      <c r="V614" s="5"/>
    </row>
    <row r="615" spans="2:22" x14ac:dyDescent="0.25">
      <c r="B615" s="69"/>
      <c r="G615" s="71"/>
      <c r="H615" s="70"/>
      <c r="I615" s="71"/>
      <c r="J615" s="71"/>
      <c r="U615" s="5"/>
      <c r="V615" s="5"/>
    </row>
    <row r="616" spans="2:22" x14ac:dyDescent="0.25">
      <c r="B616" s="69"/>
      <c r="G616" s="71"/>
      <c r="H616" s="70"/>
      <c r="I616" s="71"/>
      <c r="J616" s="71"/>
      <c r="U616" s="5"/>
      <c r="V616" s="5"/>
    </row>
    <row r="617" spans="2:22" x14ac:dyDescent="0.25">
      <c r="B617" s="69"/>
      <c r="G617" s="71"/>
      <c r="H617" s="70"/>
      <c r="I617" s="71"/>
      <c r="J617" s="71"/>
      <c r="U617" s="5"/>
      <c r="V617" s="5"/>
    </row>
    <row r="618" spans="2:22" x14ac:dyDescent="0.25">
      <c r="B618" s="69"/>
      <c r="G618" s="71"/>
      <c r="H618" s="70"/>
      <c r="I618" s="71"/>
      <c r="J618" s="71"/>
      <c r="U618" s="5"/>
      <c r="V618" s="5"/>
    </row>
    <row r="619" spans="2:22" x14ac:dyDescent="0.25">
      <c r="B619" s="69"/>
      <c r="G619" s="71"/>
      <c r="H619" s="70"/>
      <c r="I619" s="71"/>
      <c r="J619" s="71"/>
      <c r="U619" s="5"/>
      <c r="V619" s="5"/>
    </row>
    <row r="620" spans="2:22" x14ac:dyDescent="0.25">
      <c r="B620" s="69"/>
      <c r="G620" s="71"/>
      <c r="H620" s="70"/>
      <c r="I620" s="71"/>
      <c r="J620" s="71"/>
      <c r="U620" s="5"/>
      <c r="V620" s="5"/>
    </row>
    <row r="621" spans="2:22" x14ac:dyDescent="0.25">
      <c r="B621" s="69"/>
      <c r="G621" s="71"/>
      <c r="H621" s="70"/>
      <c r="I621" s="71"/>
      <c r="J621" s="71"/>
      <c r="U621" s="5"/>
      <c r="V621" s="5"/>
    </row>
    <row r="622" spans="2:22" x14ac:dyDescent="0.25">
      <c r="B622" s="69"/>
      <c r="G622" s="71"/>
      <c r="H622" s="70"/>
      <c r="I622" s="71"/>
      <c r="J622" s="71"/>
      <c r="U622" s="5"/>
      <c r="V622" s="5"/>
    </row>
    <row r="623" spans="2:22" x14ac:dyDescent="0.25">
      <c r="B623" s="69"/>
      <c r="G623" s="71"/>
      <c r="H623" s="70"/>
      <c r="I623" s="71"/>
      <c r="J623" s="71"/>
      <c r="U623" s="5"/>
      <c r="V623" s="5"/>
    </row>
    <row r="624" spans="2:22" x14ac:dyDescent="0.25">
      <c r="B624" s="69"/>
      <c r="G624" s="71"/>
      <c r="H624" s="70"/>
      <c r="I624" s="71"/>
      <c r="J624" s="71"/>
      <c r="U624" s="5"/>
      <c r="V624" s="5"/>
    </row>
    <row r="625" spans="2:22" x14ac:dyDescent="0.25">
      <c r="B625" s="69"/>
      <c r="G625" s="71"/>
      <c r="H625" s="70"/>
      <c r="I625" s="71"/>
      <c r="J625" s="71"/>
      <c r="U625" s="5"/>
      <c r="V625" s="5"/>
    </row>
    <row r="626" spans="2:22" x14ac:dyDescent="0.25">
      <c r="B626" s="69"/>
      <c r="G626" s="71"/>
      <c r="H626" s="70"/>
      <c r="I626" s="71"/>
      <c r="J626" s="71"/>
      <c r="U626" s="5"/>
      <c r="V626" s="5"/>
    </row>
    <row r="627" spans="2:22" x14ac:dyDescent="0.25">
      <c r="B627" s="69"/>
      <c r="G627" s="71"/>
      <c r="H627" s="70"/>
      <c r="I627" s="71"/>
      <c r="J627" s="71"/>
      <c r="U627" s="5"/>
      <c r="V627" s="5"/>
    </row>
    <row r="628" spans="2:22" x14ac:dyDescent="0.25">
      <c r="B628" s="69"/>
      <c r="G628" s="71"/>
      <c r="H628" s="70"/>
      <c r="I628" s="71"/>
      <c r="J628" s="71"/>
      <c r="U628" s="5"/>
      <c r="V628" s="5"/>
    </row>
    <row r="629" spans="2:22" x14ac:dyDescent="0.25">
      <c r="B629" s="69"/>
      <c r="G629" s="71"/>
      <c r="H629" s="70"/>
      <c r="I629" s="71"/>
      <c r="J629" s="71"/>
      <c r="U629" s="5"/>
      <c r="V629" s="5"/>
    </row>
    <row r="630" spans="2:22" x14ac:dyDescent="0.25">
      <c r="B630" s="69"/>
      <c r="G630" s="71"/>
      <c r="H630" s="70"/>
      <c r="I630" s="71"/>
      <c r="J630" s="71"/>
      <c r="U630" s="5"/>
      <c r="V630" s="5"/>
    </row>
    <row r="631" spans="2:22" x14ac:dyDescent="0.25">
      <c r="B631" s="69"/>
      <c r="G631" s="71"/>
      <c r="H631" s="70"/>
      <c r="I631" s="71"/>
      <c r="J631" s="71"/>
      <c r="U631" s="5"/>
      <c r="V631" s="5"/>
    </row>
    <row r="632" spans="2:22" x14ac:dyDescent="0.25">
      <c r="B632" s="69"/>
      <c r="G632" s="71"/>
      <c r="H632" s="70"/>
      <c r="I632" s="71"/>
      <c r="J632" s="71"/>
      <c r="U632" s="5"/>
      <c r="V632" s="5"/>
    </row>
    <row r="633" spans="2:22" x14ac:dyDescent="0.25">
      <c r="B633" s="69"/>
      <c r="G633" s="71"/>
      <c r="H633" s="70"/>
      <c r="I633" s="71"/>
      <c r="J633" s="71"/>
      <c r="U633" s="5"/>
      <c r="V633" s="5"/>
    </row>
    <row r="634" spans="2:22" x14ac:dyDescent="0.25">
      <c r="B634" s="69"/>
      <c r="G634" s="71"/>
      <c r="H634" s="70"/>
      <c r="I634" s="71"/>
      <c r="J634" s="71"/>
      <c r="U634" s="5"/>
      <c r="V634" s="5"/>
    </row>
    <row r="635" spans="2:22" x14ac:dyDescent="0.25">
      <c r="B635" s="69"/>
      <c r="G635" s="71"/>
      <c r="H635" s="70"/>
      <c r="I635" s="71"/>
      <c r="J635" s="71"/>
      <c r="U635" s="5"/>
      <c r="V635" s="5"/>
    </row>
    <row r="636" spans="2:22" x14ac:dyDescent="0.25">
      <c r="B636" s="69"/>
      <c r="G636" s="71"/>
      <c r="H636" s="70"/>
      <c r="I636" s="71"/>
      <c r="J636" s="71"/>
      <c r="U636" s="5"/>
      <c r="V636" s="5"/>
    </row>
    <row r="637" spans="2:22" x14ac:dyDescent="0.25">
      <c r="B637" s="69"/>
      <c r="G637" s="71"/>
      <c r="H637" s="70"/>
      <c r="I637" s="71"/>
      <c r="J637" s="71"/>
    </row>
    <row r="638" spans="2:22" x14ac:dyDescent="0.25">
      <c r="B638" s="69"/>
      <c r="G638" s="71"/>
      <c r="H638" s="70"/>
      <c r="I638" s="71"/>
      <c r="J638" s="71"/>
    </row>
    <row r="639" spans="2:22" x14ac:dyDescent="0.25">
      <c r="B639" s="69"/>
      <c r="G639" s="71"/>
      <c r="H639" s="70"/>
      <c r="I639" s="71"/>
      <c r="J639" s="71"/>
    </row>
    <row r="640" spans="2:22" x14ac:dyDescent="0.25">
      <c r="B640" s="69"/>
      <c r="G640" s="71"/>
      <c r="H640" s="70"/>
      <c r="I640" s="71"/>
      <c r="J640" s="71"/>
    </row>
    <row r="641" spans="2:10" x14ac:dyDescent="0.25">
      <c r="B641" s="69"/>
      <c r="G641" s="71"/>
      <c r="H641" s="70"/>
      <c r="I641" s="71"/>
      <c r="J641" s="71"/>
    </row>
    <row r="642" spans="2:10" x14ac:dyDescent="0.25">
      <c r="B642" s="69"/>
      <c r="G642" s="71"/>
      <c r="H642" s="70"/>
      <c r="I642" s="71"/>
      <c r="J642" s="71"/>
    </row>
    <row r="643" spans="2:10" x14ac:dyDescent="0.25">
      <c r="B643" s="69"/>
      <c r="G643" s="71"/>
      <c r="H643" s="70"/>
      <c r="I643" s="71"/>
      <c r="J643" s="71"/>
    </row>
    <row r="644" spans="2:10" x14ac:dyDescent="0.25">
      <c r="B644" s="69"/>
      <c r="G644" s="71"/>
      <c r="H644" s="70"/>
      <c r="I644" s="71"/>
      <c r="J644" s="71"/>
    </row>
    <row r="645" spans="2:10" x14ac:dyDescent="0.25">
      <c r="B645" s="69"/>
      <c r="G645" s="71"/>
      <c r="H645" s="70"/>
      <c r="I645" s="71"/>
      <c r="J645" s="71"/>
    </row>
    <row r="646" spans="2:10" x14ac:dyDescent="0.25">
      <c r="B646" s="69"/>
      <c r="G646" s="71"/>
      <c r="H646" s="70"/>
      <c r="I646" s="71"/>
      <c r="J646" s="71"/>
    </row>
    <row r="647" spans="2:10" x14ac:dyDescent="0.25">
      <c r="B647" s="69"/>
      <c r="G647" s="71"/>
      <c r="H647" s="70"/>
      <c r="I647" s="71"/>
      <c r="J647" s="71"/>
    </row>
    <row r="648" spans="2:10" x14ac:dyDescent="0.25">
      <c r="B648" s="69"/>
      <c r="G648" s="71"/>
      <c r="H648" s="70"/>
      <c r="I648" s="71"/>
      <c r="J648" s="71"/>
    </row>
    <row r="649" spans="2:10" x14ac:dyDescent="0.25">
      <c r="B649" s="69"/>
      <c r="G649" s="71"/>
      <c r="H649" s="70"/>
      <c r="I649" s="71"/>
      <c r="J649" s="71"/>
    </row>
    <row r="650" spans="2:10" x14ac:dyDescent="0.25">
      <c r="B650" s="69"/>
      <c r="G650" s="71"/>
      <c r="H650" s="70"/>
      <c r="I650" s="71"/>
      <c r="J650" s="71"/>
    </row>
    <row r="651" spans="2:10" x14ac:dyDescent="0.25">
      <c r="B651" s="69"/>
      <c r="G651" s="71"/>
      <c r="H651" s="70"/>
      <c r="I651" s="71"/>
      <c r="J651" s="71"/>
    </row>
    <row r="652" spans="2:10" x14ac:dyDescent="0.25">
      <c r="B652" s="69"/>
      <c r="G652" s="71"/>
      <c r="H652" s="70"/>
      <c r="I652" s="71"/>
      <c r="J652" s="71"/>
    </row>
    <row r="653" spans="2:10" x14ac:dyDescent="0.25">
      <c r="B653" s="69"/>
      <c r="G653" s="71"/>
      <c r="H653" s="70"/>
      <c r="I653" s="71"/>
      <c r="J653" s="71"/>
    </row>
    <row r="654" spans="2:10" x14ac:dyDescent="0.25">
      <c r="B654" s="69"/>
      <c r="G654" s="71"/>
      <c r="H654" s="70"/>
      <c r="I654" s="71"/>
      <c r="J654" s="71"/>
    </row>
    <row r="655" spans="2:10" x14ac:dyDescent="0.25">
      <c r="B655" s="69"/>
      <c r="G655" s="71"/>
      <c r="H655" s="70"/>
      <c r="I655" s="71"/>
      <c r="J655" s="71"/>
    </row>
    <row r="656" spans="2:10" x14ac:dyDescent="0.25">
      <c r="B656" s="69"/>
      <c r="G656" s="71"/>
      <c r="H656" s="70"/>
      <c r="I656" s="71"/>
      <c r="J656" s="71"/>
    </row>
    <row r="657" spans="2:10" x14ac:dyDescent="0.25">
      <c r="B657" s="69"/>
      <c r="G657" s="71"/>
      <c r="H657" s="70"/>
      <c r="I657" s="71"/>
      <c r="J657" s="71"/>
    </row>
    <row r="658" spans="2:10" x14ac:dyDescent="0.25">
      <c r="B658" s="69"/>
      <c r="G658" s="71"/>
      <c r="H658" s="70"/>
      <c r="I658" s="71"/>
      <c r="J658" s="71"/>
    </row>
    <row r="659" spans="2:10" x14ac:dyDescent="0.25">
      <c r="B659" s="69"/>
      <c r="G659" s="71"/>
      <c r="H659" s="70"/>
      <c r="I659" s="71"/>
      <c r="J659" s="71"/>
    </row>
    <row r="660" spans="2:10" x14ac:dyDescent="0.25">
      <c r="B660" s="69"/>
      <c r="G660" s="71"/>
      <c r="H660" s="70"/>
      <c r="I660" s="71"/>
      <c r="J660" s="71"/>
    </row>
    <row r="661" spans="2:10" x14ac:dyDescent="0.25">
      <c r="B661" s="69"/>
      <c r="G661" s="71"/>
      <c r="H661" s="70"/>
      <c r="I661" s="71"/>
      <c r="J661" s="71"/>
    </row>
    <row r="662" spans="2:10" x14ac:dyDescent="0.25">
      <c r="B662" s="69"/>
      <c r="G662" s="71"/>
      <c r="H662" s="70"/>
      <c r="I662" s="71"/>
      <c r="J662" s="71"/>
    </row>
    <row r="663" spans="2:10" x14ac:dyDescent="0.25">
      <c r="B663" s="69"/>
      <c r="G663" s="71"/>
      <c r="H663" s="70"/>
      <c r="I663" s="71"/>
      <c r="J663" s="71"/>
    </row>
    <row r="664" spans="2:10" x14ac:dyDescent="0.25">
      <c r="B664" s="69"/>
      <c r="G664" s="71"/>
      <c r="H664" s="70"/>
      <c r="I664" s="71"/>
      <c r="J664" s="71"/>
    </row>
    <row r="665" spans="2:10" x14ac:dyDescent="0.25">
      <c r="B665" s="69"/>
      <c r="G665" s="71"/>
      <c r="H665" s="70"/>
      <c r="I665" s="71"/>
      <c r="J665" s="71"/>
    </row>
    <row r="666" spans="2:10" x14ac:dyDescent="0.25">
      <c r="B666" s="69"/>
      <c r="G666" s="71"/>
      <c r="H666" s="70"/>
      <c r="I666" s="71"/>
      <c r="J666" s="71"/>
    </row>
    <row r="667" spans="2:10" x14ac:dyDescent="0.25">
      <c r="B667" s="69"/>
      <c r="G667" s="71"/>
      <c r="H667" s="70"/>
      <c r="I667" s="71"/>
      <c r="J667" s="71"/>
    </row>
    <row r="668" spans="2:10" x14ac:dyDescent="0.25">
      <c r="B668" s="69"/>
      <c r="G668" s="71"/>
      <c r="H668" s="70"/>
      <c r="I668" s="71"/>
      <c r="J668" s="71"/>
    </row>
    <row r="669" spans="2:10" x14ac:dyDescent="0.25">
      <c r="B669" s="69"/>
      <c r="G669" s="71"/>
      <c r="H669" s="70"/>
      <c r="I669" s="71"/>
      <c r="J669" s="71"/>
    </row>
    <row r="670" spans="2:10" x14ac:dyDescent="0.25">
      <c r="B670" s="69"/>
      <c r="G670" s="71"/>
      <c r="H670" s="70"/>
      <c r="I670" s="71"/>
      <c r="J670" s="71"/>
    </row>
    <row r="671" spans="2:10" x14ac:dyDescent="0.25">
      <c r="B671" s="69"/>
      <c r="G671" s="71"/>
      <c r="H671" s="70"/>
      <c r="I671" s="71"/>
      <c r="J671" s="71"/>
    </row>
    <row r="672" spans="2:10" x14ac:dyDescent="0.25">
      <c r="B672" s="69"/>
      <c r="G672" s="71"/>
      <c r="H672" s="70"/>
      <c r="I672" s="71"/>
      <c r="J672" s="71"/>
    </row>
    <row r="673" spans="2:10" x14ac:dyDescent="0.25">
      <c r="B673" s="69"/>
      <c r="G673" s="71"/>
      <c r="H673" s="70"/>
      <c r="I673" s="71"/>
      <c r="J673" s="71"/>
    </row>
    <row r="674" spans="2:10" x14ac:dyDescent="0.25">
      <c r="B674" s="69"/>
      <c r="G674" s="71"/>
      <c r="H674" s="70"/>
      <c r="I674" s="71"/>
      <c r="J674" s="71"/>
    </row>
    <row r="675" spans="2:10" x14ac:dyDescent="0.25">
      <c r="B675" s="69"/>
      <c r="G675" s="71"/>
      <c r="H675" s="70"/>
      <c r="I675" s="71"/>
      <c r="J675" s="71"/>
    </row>
    <row r="676" spans="2:10" x14ac:dyDescent="0.25">
      <c r="B676" s="69"/>
      <c r="G676" s="71"/>
      <c r="H676" s="70"/>
      <c r="I676" s="71"/>
      <c r="J676" s="71"/>
    </row>
    <row r="677" spans="2:10" x14ac:dyDescent="0.25">
      <c r="B677" s="69"/>
      <c r="G677" s="71"/>
      <c r="H677" s="70"/>
      <c r="I677" s="71"/>
      <c r="J677" s="71"/>
    </row>
    <row r="678" spans="2:10" x14ac:dyDescent="0.25">
      <c r="B678" s="69"/>
      <c r="G678" s="71"/>
      <c r="H678" s="70"/>
      <c r="I678" s="71"/>
      <c r="J678" s="71"/>
    </row>
    <row r="679" spans="2:10" x14ac:dyDescent="0.25">
      <c r="B679" s="69"/>
      <c r="G679" s="71"/>
      <c r="H679" s="70"/>
      <c r="I679" s="71"/>
      <c r="J679" s="71"/>
    </row>
    <row r="680" spans="2:10" x14ac:dyDescent="0.25">
      <c r="B680" s="69"/>
      <c r="G680" s="71"/>
      <c r="H680" s="70"/>
      <c r="I680" s="71"/>
      <c r="J680" s="71"/>
    </row>
    <row r="681" spans="2:10" x14ac:dyDescent="0.25">
      <c r="B681" s="69"/>
      <c r="G681" s="71"/>
      <c r="H681" s="70"/>
      <c r="I681" s="71"/>
      <c r="J681" s="71"/>
    </row>
    <row r="682" spans="2:10" x14ac:dyDescent="0.25">
      <c r="B682" s="69"/>
      <c r="G682" s="71"/>
      <c r="H682" s="70"/>
      <c r="I682" s="71"/>
      <c r="J682" s="71"/>
    </row>
    <row r="683" spans="2:10" x14ac:dyDescent="0.25">
      <c r="B683" s="69"/>
      <c r="G683" s="71"/>
      <c r="H683" s="70"/>
      <c r="I683" s="71"/>
      <c r="J683" s="71"/>
    </row>
    <row r="684" spans="2:10" x14ac:dyDescent="0.25">
      <c r="B684" s="69"/>
      <c r="G684" s="71"/>
      <c r="H684" s="70"/>
      <c r="I684" s="71"/>
      <c r="J684" s="71"/>
    </row>
    <row r="685" spans="2:10" x14ac:dyDescent="0.25">
      <c r="B685" s="69"/>
      <c r="G685" s="71"/>
      <c r="H685" s="70"/>
      <c r="I685" s="71"/>
      <c r="J685" s="71"/>
    </row>
    <row r="686" spans="2:10" x14ac:dyDescent="0.25">
      <c r="B686" s="69"/>
      <c r="G686" s="71"/>
      <c r="H686" s="70"/>
      <c r="I686" s="71"/>
      <c r="J686" s="71"/>
    </row>
    <row r="687" spans="2:10" x14ac:dyDescent="0.25">
      <c r="B687" s="69"/>
      <c r="G687" s="71"/>
      <c r="H687" s="70"/>
      <c r="I687" s="71"/>
      <c r="J687" s="71"/>
    </row>
    <row r="688" spans="2:10" x14ac:dyDescent="0.25">
      <c r="B688" s="69"/>
      <c r="G688" s="71"/>
      <c r="H688" s="70"/>
      <c r="I688" s="71"/>
      <c r="J688" s="71"/>
    </row>
    <row r="689" spans="2:10" x14ac:dyDescent="0.25">
      <c r="B689" s="69"/>
      <c r="G689" s="71"/>
      <c r="H689" s="70"/>
      <c r="I689" s="71"/>
      <c r="J689" s="71"/>
    </row>
    <row r="690" spans="2:10" x14ac:dyDescent="0.25">
      <c r="B690" s="69"/>
      <c r="G690" s="71"/>
      <c r="H690" s="70"/>
      <c r="I690" s="71"/>
      <c r="J690" s="71"/>
    </row>
    <row r="691" spans="2:10" x14ac:dyDescent="0.25">
      <c r="B691" s="69"/>
      <c r="G691" s="71"/>
      <c r="H691" s="70"/>
      <c r="I691" s="71"/>
      <c r="J691" s="71"/>
    </row>
    <row r="692" spans="2:10" x14ac:dyDescent="0.25">
      <c r="B692" s="69"/>
      <c r="G692" s="71"/>
      <c r="H692" s="70"/>
      <c r="I692" s="71"/>
      <c r="J692" s="71"/>
    </row>
    <row r="693" spans="2:10" x14ac:dyDescent="0.25">
      <c r="B693" s="69"/>
      <c r="G693" s="71"/>
      <c r="H693" s="70"/>
      <c r="I693" s="71"/>
      <c r="J693" s="71"/>
    </row>
    <row r="694" spans="2:10" x14ac:dyDescent="0.25">
      <c r="B694" s="69"/>
      <c r="G694" s="71"/>
      <c r="H694" s="70"/>
      <c r="I694" s="71"/>
      <c r="J694" s="71"/>
    </row>
    <row r="695" spans="2:10" x14ac:dyDescent="0.25">
      <c r="B695" s="69"/>
      <c r="G695" s="71"/>
      <c r="H695" s="70"/>
      <c r="I695" s="71"/>
      <c r="J695" s="71"/>
    </row>
    <row r="696" spans="2:10" x14ac:dyDescent="0.25">
      <c r="B696" s="69"/>
      <c r="G696" s="71"/>
      <c r="H696" s="70"/>
      <c r="I696" s="71"/>
      <c r="J696" s="71"/>
    </row>
    <row r="697" spans="2:10" x14ac:dyDescent="0.25">
      <c r="B697" s="69"/>
      <c r="G697" s="71"/>
      <c r="H697" s="70"/>
      <c r="I697" s="71"/>
      <c r="J697" s="71"/>
    </row>
    <row r="698" spans="2:10" x14ac:dyDescent="0.25">
      <c r="B698" s="69"/>
      <c r="G698" s="71"/>
      <c r="H698" s="70"/>
      <c r="I698" s="71"/>
      <c r="J698" s="71"/>
    </row>
    <row r="699" spans="2:10" x14ac:dyDescent="0.25">
      <c r="B699" s="69"/>
      <c r="G699" s="71"/>
      <c r="H699" s="70"/>
      <c r="I699" s="71"/>
      <c r="J699" s="71"/>
    </row>
    <row r="700" spans="2:10" x14ac:dyDescent="0.25">
      <c r="B700" s="69"/>
      <c r="G700" s="71"/>
      <c r="H700" s="70"/>
      <c r="I700" s="71"/>
      <c r="J700" s="71"/>
    </row>
    <row r="701" spans="2:10" x14ac:dyDescent="0.25">
      <c r="B701" s="69"/>
      <c r="G701" s="71"/>
      <c r="H701" s="70"/>
      <c r="I701" s="71"/>
      <c r="J701" s="71"/>
    </row>
    <row r="702" spans="2:10" x14ac:dyDescent="0.25">
      <c r="B702" s="69"/>
      <c r="G702" s="71"/>
      <c r="H702" s="70"/>
      <c r="I702" s="71"/>
      <c r="J702" s="71"/>
    </row>
    <row r="703" spans="2:10" x14ac:dyDescent="0.25">
      <c r="B703" s="69"/>
      <c r="G703" s="71"/>
      <c r="H703" s="70"/>
      <c r="I703" s="71"/>
      <c r="J703" s="71"/>
    </row>
    <row r="704" spans="2:10" x14ac:dyDescent="0.25">
      <c r="B704" s="69"/>
      <c r="G704" s="71"/>
      <c r="H704" s="70"/>
      <c r="I704" s="71"/>
      <c r="J704" s="71"/>
    </row>
    <row r="705" spans="2:10" x14ac:dyDescent="0.25">
      <c r="B705" s="69"/>
      <c r="G705" s="71"/>
      <c r="H705" s="70"/>
      <c r="I705" s="71"/>
      <c r="J705" s="71"/>
    </row>
    <row r="706" spans="2:10" x14ac:dyDescent="0.25">
      <c r="B706" s="69"/>
      <c r="G706" s="71"/>
      <c r="H706" s="70"/>
      <c r="I706" s="71"/>
      <c r="J706" s="71"/>
    </row>
    <row r="707" spans="2:10" x14ac:dyDescent="0.25">
      <c r="B707" s="69"/>
      <c r="G707" s="71"/>
      <c r="H707" s="70"/>
      <c r="I707" s="71"/>
      <c r="J707" s="71"/>
    </row>
    <row r="708" spans="2:10" x14ac:dyDescent="0.25">
      <c r="B708" s="69"/>
      <c r="G708" s="71"/>
      <c r="H708" s="70"/>
      <c r="I708" s="71"/>
      <c r="J708" s="71"/>
    </row>
    <row r="709" spans="2:10" x14ac:dyDescent="0.25">
      <c r="B709" s="69"/>
      <c r="G709" s="71"/>
      <c r="H709" s="70"/>
      <c r="I709" s="71"/>
      <c r="J709" s="71"/>
    </row>
    <row r="710" spans="2:10" x14ac:dyDescent="0.25">
      <c r="B710" s="69"/>
      <c r="G710" s="71"/>
      <c r="H710" s="70"/>
      <c r="I710" s="71"/>
      <c r="J710" s="71"/>
    </row>
    <row r="711" spans="2:10" x14ac:dyDescent="0.25">
      <c r="B711" s="69"/>
      <c r="G711" s="71"/>
      <c r="H711" s="70"/>
      <c r="I711" s="71"/>
      <c r="J711" s="71"/>
    </row>
    <row r="712" spans="2:10" x14ac:dyDescent="0.25">
      <c r="B712" s="69"/>
      <c r="G712" s="71"/>
      <c r="H712" s="70"/>
      <c r="I712" s="71"/>
      <c r="J712" s="71"/>
    </row>
    <row r="713" spans="2:10" x14ac:dyDescent="0.25">
      <c r="B713" s="69"/>
      <c r="G713" s="71"/>
      <c r="H713" s="70"/>
      <c r="I713" s="71"/>
      <c r="J713" s="71"/>
    </row>
    <row r="714" spans="2:10" x14ac:dyDescent="0.25">
      <c r="B714" s="69"/>
      <c r="G714" s="71"/>
      <c r="H714" s="70"/>
      <c r="I714" s="71"/>
      <c r="J714" s="71"/>
    </row>
    <row r="715" spans="2:10" x14ac:dyDescent="0.25">
      <c r="B715" s="69"/>
      <c r="G715" s="71"/>
      <c r="H715" s="70"/>
      <c r="I715" s="71"/>
      <c r="J715" s="71"/>
    </row>
    <row r="716" spans="2:10" x14ac:dyDescent="0.25">
      <c r="B716" s="69"/>
      <c r="G716" s="71"/>
      <c r="H716" s="70"/>
      <c r="I716" s="71"/>
      <c r="J716" s="71"/>
    </row>
    <row r="717" spans="2:10" x14ac:dyDescent="0.25">
      <c r="B717" s="69"/>
      <c r="G717" s="71"/>
      <c r="H717" s="70"/>
      <c r="I717" s="71"/>
      <c r="J717" s="71"/>
    </row>
    <row r="718" spans="2:10" x14ac:dyDescent="0.25">
      <c r="B718" s="69"/>
      <c r="G718" s="71"/>
      <c r="H718" s="70"/>
      <c r="I718" s="71"/>
      <c r="J718" s="71"/>
    </row>
    <row r="719" spans="2:10" x14ac:dyDescent="0.25">
      <c r="B719" s="69"/>
      <c r="G719" s="71"/>
      <c r="H719" s="70"/>
      <c r="I719" s="71"/>
      <c r="J719" s="71"/>
    </row>
    <row r="720" spans="2:10" x14ac:dyDescent="0.25">
      <c r="B720" s="69"/>
      <c r="G720" s="71"/>
      <c r="H720" s="70"/>
      <c r="I720" s="71"/>
      <c r="J720" s="71"/>
    </row>
    <row r="721" spans="2:10" x14ac:dyDescent="0.25">
      <c r="B721" s="69"/>
      <c r="G721" s="71"/>
      <c r="H721" s="70"/>
      <c r="I721" s="71"/>
      <c r="J721" s="71"/>
    </row>
    <row r="722" spans="2:10" x14ac:dyDescent="0.25">
      <c r="B722" s="69"/>
      <c r="G722" s="71"/>
      <c r="H722" s="70"/>
      <c r="I722" s="71"/>
      <c r="J722" s="71"/>
    </row>
    <row r="723" spans="2:10" x14ac:dyDescent="0.25">
      <c r="B723" s="69"/>
      <c r="G723" s="71"/>
      <c r="H723" s="70"/>
      <c r="I723" s="71"/>
      <c r="J723" s="71"/>
    </row>
    <row r="724" spans="2:10" x14ac:dyDescent="0.25">
      <c r="B724" s="69"/>
      <c r="G724" s="71"/>
      <c r="H724" s="70"/>
      <c r="I724" s="71"/>
      <c r="J724" s="71"/>
    </row>
    <row r="725" spans="2:10" x14ac:dyDescent="0.25">
      <c r="B725" s="69"/>
      <c r="G725" s="71"/>
      <c r="H725" s="70"/>
      <c r="I725" s="71"/>
      <c r="J725" s="71"/>
    </row>
    <row r="726" spans="2:10" x14ac:dyDescent="0.25">
      <c r="B726" s="69"/>
      <c r="G726" s="71"/>
      <c r="H726" s="70"/>
      <c r="I726" s="71"/>
      <c r="J726" s="71"/>
    </row>
    <row r="727" spans="2:10" x14ac:dyDescent="0.25">
      <c r="B727" s="69"/>
      <c r="G727" s="71"/>
      <c r="H727" s="70"/>
      <c r="I727" s="71"/>
      <c r="J727" s="71"/>
    </row>
    <row r="728" spans="2:10" x14ac:dyDescent="0.25">
      <c r="B728" s="69"/>
      <c r="G728" s="71"/>
      <c r="H728" s="70"/>
      <c r="I728" s="71"/>
      <c r="J728" s="71"/>
    </row>
    <row r="729" spans="2:10" x14ac:dyDescent="0.25">
      <c r="B729" s="69"/>
      <c r="G729" s="71"/>
      <c r="H729" s="70"/>
      <c r="I729" s="71"/>
      <c r="J729" s="71"/>
    </row>
    <row r="730" spans="2:10" x14ac:dyDescent="0.25">
      <c r="B730" s="69"/>
      <c r="G730" s="71"/>
      <c r="H730" s="70"/>
      <c r="I730" s="71"/>
      <c r="J730" s="71"/>
    </row>
    <row r="731" spans="2:10" x14ac:dyDescent="0.25">
      <c r="B731" s="69"/>
      <c r="G731" s="71"/>
      <c r="H731" s="70"/>
      <c r="I731" s="71"/>
      <c r="J731" s="71"/>
    </row>
    <row r="732" spans="2:10" x14ac:dyDescent="0.25">
      <c r="B732" s="69"/>
      <c r="G732" s="71"/>
      <c r="H732" s="70"/>
      <c r="I732" s="71"/>
      <c r="J732" s="71"/>
    </row>
    <row r="733" spans="2:10" x14ac:dyDescent="0.25">
      <c r="B733" s="69"/>
      <c r="G733" s="71"/>
      <c r="H733" s="70"/>
      <c r="I733" s="71"/>
      <c r="J733" s="71"/>
    </row>
    <row r="734" spans="2:10" x14ac:dyDescent="0.25">
      <c r="B734" s="69"/>
      <c r="G734" s="71"/>
      <c r="H734" s="70"/>
      <c r="I734" s="71"/>
      <c r="J734" s="71"/>
    </row>
    <row r="735" spans="2:10" x14ac:dyDescent="0.25">
      <c r="B735" s="69"/>
      <c r="G735" s="71"/>
      <c r="H735" s="70"/>
      <c r="I735" s="71"/>
      <c r="J735" s="71"/>
    </row>
    <row r="736" spans="2:10" x14ac:dyDescent="0.25">
      <c r="B736" s="69"/>
      <c r="G736" s="71"/>
      <c r="H736" s="70"/>
      <c r="I736" s="71"/>
      <c r="J736" s="71"/>
    </row>
    <row r="737" spans="2:10" x14ac:dyDescent="0.25">
      <c r="B737" s="69"/>
      <c r="G737" s="71"/>
      <c r="H737" s="70"/>
      <c r="I737" s="71"/>
      <c r="J737" s="71"/>
    </row>
    <row r="738" spans="2:10" x14ac:dyDescent="0.25">
      <c r="B738" s="69"/>
      <c r="G738" s="71"/>
      <c r="H738" s="70"/>
      <c r="I738" s="71"/>
      <c r="J738" s="71"/>
    </row>
    <row r="739" spans="2:10" x14ac:dyDescent="0.25">
      <c r="B739" s="69"/>
      <c r="G739" s="71"/>
      <c r="H739" s="70"/>
      <c r="I739" s="71"/>
      <c r="J739" s="71"/>
    </row>
    <row r="740" spans="2:10" x14ac:dyDescent="0.25">
      <c r="B740" s="69"/>
      <c r="G740" s="71"/>
      <c r="H740" s="70"/>
      <c r="I740" s="71"/>
      <c r="J740" s="71"/>
    </row>
    <row r="741" spans="2:10" x14ac:dyDescent="0.25">
      <c r="B741" s="69"/>
      <c r="G741" s="71"/>
      <c r="H741" s="70"/>
      <c r="I741" s="71"/>
      <c r="J741" s="71"/>
    </row>
    <row r="742" spans="2:10" x14ac:dyDescent="0.25">
      <c r="B742" s="69"/>
      <c r="G742" s="71"/>
      <c r="H742" s="70"/>
      <c r="I742" s="71"/>
      <c r="J742" s="71"/>
    </row>
    <row r="743" spans="2:10" x14ac:dyDescent="0.25">
      <c r="B743" s="69"/>
      <c r="G743" s="71"/>
      <c r="H743" s="70"/>
      <c r="I743" s="71"/>
      <c r="J743" s="71"/>
    </row>
    <row r="744" spans="2:10" x14ac:dyDescent="0.25">
      <c r="B744" s="69"/>
      <c r="G744" s="71"/>
      <c r="H744" s="70"/>
      <c r="I744" s="71"/>
      <c r="J744" s="71"/>
    </row>
    <row r="745" spans="2:10" x14ac:dyDescent="0.25">
      <c r="B745" s="69"/>
      <c r="G745" s="71"/>
      <c r="H745" s="70"/>
      <c r="I745" s="71"/>
      <c r="J745" s="71"/>
    </row>
    <row r="746" spans="2:10" x14ac:dyDescent="0.25">
      <c r="B746" s="69"/>
      <c r="G746" s="71"/>
      <c r="H746" s="70"/>
      <c r="I746" s="71"/>
      <c r="J746" s="71"/>
    </row>
    <row r="747" spans="2:10" x14ac:dyDescent="0.25">
      <c r="B747" s="69"/>
      <c r="G747" s="71"/>
      <c r="H747" s="70"/>
      <c r="I747" s="71"/>
      <c r="J747" s="71"/>
    </row>
    <row r="748" spans="2:10" x14ac:dyDescent="0.25">
      <c r="B748" s="69"/>
      <c r="G748" s="71"/>
      <c r="H748" s="70"/>
      <c r="I748" s="71"/>
      <c r="J748" s="71"/>
    </row>
    <row r="749" spans="2:10" x14ac:dyDescent="0.25">
      <c r="B749" s="69"/>
      <c r="G749" s="71"/>
      <c r="H749" s="70"/>
      <c r="I749" s="71"/>
      <c r="J749" s="71"/>
    </row>
    <row r="750" spans="2:10" x14ac:dyDescent="0.25">
      <c r="B750" s="69"/>
      <c r="G750" s="71"/>
      <c r="H750" s="70"/>
      <c r="I750" s="71"/>
      <c r="J750" s="71"/>
    </row>
    <row r="751" spans="2:10" x14ac:dyDescent="0.25">
      <c r="B751" s="69"/>
      <c r="G751" s="71"/>
      <c r="H751" s="70"/>
      <c r="I751" s="71"/>
      <c r="J751" s="71"/>
    </row>
    <row r="752" spans="2:10" x14ac:dyDescent="0.25">
      <c r="B752" s="69"/>
      <c r="G752" s="71"/>
      <c r="H752" s="70"/>
      <c r="I752" s="71"/>
      <c r="J752" s="71"/>
    </row>
    <row r="753" spans="2:10" x14ac:dyDescent="0.25">
      <c r="B753" s="69"/>
      <c r="G753" s="71"/>
      <c r="H753" s="70"/>
      <c r="I753" s="71"/>
      <c r="J753" s="71"/>
    </row>
    <row r="754" spans="2:10" x14ac:dyDescent="0.25">
      <c r="B754" s="69"/>
      <c r="G754" s="71"/>
      <c r="H754" s="70"/>
      <c r="I754" s="71"/>
      <c r="J754" s="71"/>
    </row>
    <row r="755" spans="2:10" x14ac:dyDescent="0.25">
      <c r="B755" s="69"/>
      <c r="G755" s="71"/>
      <c r="H755" s="70"/>
      <c r="I755" s="71"/>
      <c r="J755" s="71"/>
    </row>
    <row r="756" spans="2:10" x14ac:dyDescent="0.25">
      <c r="B756" s="69"/>
      <c r="G756" s="71"/>
      <c r="H756" s="70"/>
      <c r="I756" s="71"/>
      <c r="J756" s="71"/>
    </row>
    <row r="757" spans="2:10" x14ac:dyDescent="0.25">
      <c r="B757" s="69"/>
      <c r="G757" s="71"/>
      <c r="H757" s="70"/>
      <c r="I757" s="71"/>
      <c r="J757" s="71"/>
    </row>
    <row r="758" spans="2:10" x14ac:dyDescent="0.25">
      <c r="B758" s="69"/>
      <c r="G758" s="71"/>
      <c r="H758" s="70"/>
      <c r="I758" s="71"/>
      <c r="J758" s="71"/>
    </row>
    <row r="759" spans="2:10" x14ac:dyDescent="0.25">
      <c r="B759" s="69"/>
      <c r="G759" s="71"/>
      <c r="H759" s="70"/>
      <c r="I759" s="71"/>
      <c r="J759" s="71"/>
    </row>
    <row r="760" spans="2:10" x14ac:dyDescent="0.25">
      <c r="B760" s="69"/>
      <c r="G760" s="71"/>
      <c r="H760" s="70"/>
      <c r="I760" s="71"/>
      <c r="J760" s="71"/>
    </row>
    <row r="761" spans="2:10" x14ac:dyDescent="0.25">
      <c r="B761" s="69"/>
      <c r="G761" s="71"/>
      <c r="I761" s="71"/>
      <c r="J761" s="71"/>
    </row>
    <row r="762" spans="2:10" x14ac:dyDescent="0.25">
      <c r="B762" s="69"/>
      <c r="G762" s="71"/>
      <c r="I762" s="71"/>
      <c r="J762" s="71"/>
    </row>
    <row r="763" spans="2:10" x14ac:dyDescent="0.25">
      <c r="B763" s="69"/>
      <c r="G763" s="71"/>
      <c r="I763" s="71"/>
      <c r="J763" s="71"/>
    </row>
    <row r="764" spans="2:10" x14ac:dyDescent="0.25">
      <c r="B764" s="69"/>
      <c r="G764" s="71"/>
      <c r="I764" s="71"/>
      <c r="J764" s="71"/>
    </row>
    <row r="765" spans="2:10" x14ac:dyDescent="0.25">
      <c r="B765" s="69"/>
      <c r="G765" s="71"/>
      <c r="I765" s="71"/>
      <c r="J765" s="71"/>
    </row>
    <row r="766" spans="2:10" x14ac:dyDescent="0.25">
      <c r="B766" s="69"/>
      <c r="G766" s="71"/>
      <c r="I766" s="71"/>
      <c r="J766" s="71"/>
    </row>
    <row r="767" spans="2:10" x14ac:dyDescent="0.25">
      <c r="B767" s="69"/>
      <c r="G767" s="71"/>
      <c r="I767" s="71"/>
      <c r="J767" s="71"/>
    </row>
    <row r="768" spans="2:10" x14ac:dyDescent="0.25">
      <c r="B768" s="69"/>
      <c r="G768" s="71"/>
      <c r="I768" s="71"/>
      <c r="J768" s="71"/>
    </row>
    <row r="769" spans="2:10" x14ac:dyDescent="0.25">
      <c r="B769" s="69"/>
      <c r="G769" s="71"/>
      <c r="I769" s="71"/>
      <c r="J769" s="71"/>
    </row>
    <row r="770" spans="2:10" x14ac:dyDescent="0.25">
      <c r="B770" s="69"/>
      <c r="G770" s="71"/>
      <c r="I770" s="71"/>
      <c r="J770" s="71"/>
    </row>
    <row r="771" spans="2:10" x14ac:dyDescent="0.25">
      <c r="B771" s="69"/>
      <c r="G771" s="71"/>
      <c r="I771" s="71"/>
      <c r="J771" s="71"/>
    </row>
    <row r="772" spans="2:10" x14ac:dyDescent="0.25">
      <c r="B772" s="69"/>
      <c r="G772" s="71"/>
      <c r="I772" s="71"/>
      <c r="J772" s="71"/>
    </row>
    <row r="773" spans="2:10" x14ac:dyDescent="0.25">
      <c r="B773" s="69"/>
      <c r="G773" s="71"/>
      <c r="I773" s="71"/>
      <c r="J773" s="71"/>
    </row>
    <row r="774" spans="2:10" x14ac:dyDescent="0.25">
      <c r="B774" s="69"/>
      <c r="G774" s="71"/>
      <c r="I774" s="71"/>
      <c r="J774" s="71"/>
    </row>
    <row r="775" spans="2:10" x14ac:dyDescent="0.25">
      <c r="B775" s="69"/>
      <c r="G775" s="71"/>
      <c r="I775" s="71"/>
      <c r="J775" s="71"/>
    </row>
    <row r="776" spans="2:10" x14ac:dyDescent="0.25">
      <c r="B776" s="69"/>
      <c r="G776" s="71"/>
      <c r="I776" s="71"/>
      <c r="J776" s="71"/>
    </row>
    <row r="777" spans="2:10" x14ac:dyDescent="0.25">
      <c r="B777" s="69"/>
      <c r="G777" s="71"/>
      <c r="I777" s="71"/>
      <c r="J777" s="71"/>
    </row>
    <row r="778" spans="2:10" x14ac:dyDescent="0.25">
      <c r="B778" s="69"/>
      <c r="G778" s="71"/>
      <c r="I778" s="71"/>
      <c r="J778" s="71"/>
    </row>
    <row r="779" spans="2:10" x14ac:dyDescent="0.25">
      <c r="B779" s="69"/>
      <c r="G779" s="71"/>
      <c r="I779" s="71"/>
      <c r="J779" s="71"/>
    </row>
    <row r="780" spans="2:10" x14ac:dyDescent="0.25">
      <c r="B780" s="69"/>
      <c r="G780" s="71"/>
      <c r="I780" s="71"/>
      <c r="J780" s="71"/>
    </row>
    <row r="781" spans="2:10" x14ac:dyDescent="0.25">
      <c r="B781" s="69"/>
      <c r="G781" s="71"/>
      <c r="I781" s="71"/>
      <c r="J781" s="71"/>
    </row>
    <row r="782" spans="2:10" x14ac:dyDescent="0.25">
      <c r="B782" s="69"/>
      <c r="G782" s="71"/>
      <c r="I782" s="71"/>
      <c r="J782" s="71"/>
    </row>
    <row r="783" spans="2:10" x14ac:dyDescent="0.25">
      <c r="B783" s="69"/>
      <c r="G783" s="71"/>
      <c r="I783" s="71"/>
      <c r="J783" s="71"/>
    </row>
    <row r="784" spans="2:10" x14ac:dyDescent="0.25">
      <c r="B784" s="69"/>
      <c r="G784" s="71"/>
      <c r="I784" s="71"/>
      <c r="J784" s="71"/>
    </row>
    <row r="785" spans="2:10" x14ac:dyDescent="0.25">
      <c r="B785" s="69"/>
      <c r="G785" s="71"/>
      <c r="I785" s="71"/>
      <c r="J785" s="71"/>
    </row>
    <row r="786" spans="2:10" x14ac:dyDescent="0.25">
      <c r="B786" s="69"/>
      <c r="G786" s="71"/>
      <c r="I786" s="71"/>
      <c r="J786" s="71"/>
    </row>
    <row r="787" spans="2:10" x14ac:dyDescent="0.25">
      <c r="B787" s="69"/>
      <c r="G787" s="71"/>
      <c r="I787" s="71"/>
      <c r="J787" s="71"/>
    </row>
    <row r="788" spans="2:10" x14ac:dyDescent="0.25">
      <c r="B788" s="69"/>
      <c r="G788" s="71"/>
      <c r="I788" s="71"/>
      <c r="J788" s="71"/>
    </row>
    <row r="789" spans="2:10" x14ac:dyDescent="0.25">
      <c r="B789" s="69"/>
      <c r="G789" s="71"/>
      <c r="I789" s="71"/>
      <c r="J789" s="71"/>
    </row>
    <row r="790" spans="2:10" x14ac:dyDescent="0.25">
      <c r="B790" s="69"/>
      <c r="G790" s="71"/>
      <c r="I790" s="71"/>
      <c r="J790" s="71"/>
    </row>
    <row r="791" spans="2:10" x14ac:dyDescent="0.25">
      <c r="B791" s="69"/>
      <c r="G791" s="71"/>
      <c r="I791" s="71"/>
      <c r="J791" s="71"/>
    </row>
    <row r="792" spans="2:10" x14ac:dyDescent="0.25">
      <c r="B792" s="69"/>
      <c r="G792" s="71"/>
      <c r="I792" s="71"/>
      <c r="J792" s="71"/>
    </row>
    <row r="793" spans="2:10" x14ac:dyDescent="0.25">
      <c r="B793" s="69"/>
      <c r="G793" s="71"/>
      <c r="I793" s="71"/>
      <c r="J793" s="71"/>
    </row>
    <row r="794" spans="2:10" x14ac:dyDescent="0.25">
      <c r="B794" s="69"/>
      <c r="G794" s="71"/>
      <c r="I794" s="71"/>
      <c r="J794" s="71"/>
    </row>
    <row r="795" spans="2:10" x14ac:dyDescent="0.25">
      <c r="B795" s="69"/>
      <c r="G795" s="71"/>
      <c r="I795" s="71"/>
      <c r="J795" s="71"/>
    </row>
    <row r="796" spans="2:10" x14ac:dyDescent="0.25">
      <c r="B796" s="69"/>
      <c r="G796" s="71"/>
      <c r="I796" s="71"/>
      <c r="J796" s="71"/>
    </row>
    <row r="797" spans="2:10" x14ac:dyDescent="0.25">
      <c r="B797" s="69"/>
      <c r="G797" s="71"/>
      <c r="I797" s="71"/>
      <c r="J797" s="71"/>
    </row>
    <row r="798" spans="2:10" x14ac:dyDescent="0.25">
      <c r="B798" s="69"/>
      <c r="G798" s="71"/>
      <c r="I798" s="71"/>
      <c r="J798" s="71"/>
    </row>
    <row r="799" spans="2:10" x14ac:dyDescent="0.25">
      <c r="B799" s="69"/>
      <c r="G799" s="71"/>
      <c r="I799" s="71"/>
      <c r="J799" s="71"/>
    </row>
    <row r="800" spans="2:10" x14ac:dyDescent="0.25">
      <c r="B800" s="69"/>
      <c r="G800" s="71"/>
      <c r="I800" s="71"/>
      <c r="J800" s="71"/>
    </row>
    <row r="801" spans="2:10" x14ac:dyDescent="0.25">
      <c r="B801" s="69"/>
      <c r="G801" s="71"/>
      <c r="I801" s="71"/>
      <c r="J801" s="71"/>
    </row>
    <row r="802" spans="2:10" x14ac:dyDescent="0.25">
      <c r="B802" s="69"/>
      <c r="G802" s="71"/>
      <c r="I802" s="71"/>
      <c r="J802" s="71"/>
    </row>
    <row r="803" spans="2:10" x14ac:dyDescent="0.25">
      <c r="B803" s="69"/>
      <c r="G803" s="71"/>
      <c r="I803" s="71"/>
      <c r="J803" s="71"/>
    </row>
    <row r="804" spans="2:10" x14ac:dyDescent="0.25">
      <c r="B804" s="69"/>
      <c r="G804" s="71"/>
      <c r="I804" s="71"/>
      <c r="J804" s="71"/>
    </row>
    <row r="805" spans="2:10" x14ac:dyDescent="0.25">
      <c r="B805" s="69"/>
      <c r="G805" s="71"/>
      <c r="I805" s="71"/>
      <c r="J805" s="71"/>
    </row>
    <row r="806" spans="2:10" x14ac:dyDescent="0.25">
      <c r="B806" s="69"/>
      <c r="G806" s="71"/>
      <c r="I806" s="71"/>
      <c r="J806" s="71"/>
    </row>
    <row r="807" spans="2:10" x14ac:dyDescent="0.25">
      <c r="B807" s="69"/>
      <c r="G807" s="71"/>
      <c r="I807" s="71"/>
      <c r="J807" s="71"/>
    </row>
    <row r="808" spans="2:10" x14ac:dyDescent="0.25">
      <c r="B808" s="69"/>
      <c r="G808" s="71"/>
      <c r="I808" s="71"/>
      <c r="J808" s="71"/>
    </row>
    <row r="809" spans="2:10" x14ac:dyDescent="0.25">
      <c r="B809" s="69"/>
      <c r="G809" s="71"/>
      <c r="I809" s="71"/>
      <c r="J809" s="71"/>
    </row>
    <row r="810" spans="2:10" x14ac:dyDescent="0.25">
      <c r="B810" s="69"/>
      <c r="G810" s="71"/>
      <c r="I810" s="71"/>
      <c r="J810" s="71"/>
    </row>
    <row r="811" spans="2:10" x14ac:dyDescent="0.25">
      <c r="B811" s="69"/>
      <c r="G811" s="71"/>
      <c r="I811" s="71"/>
      <c r="J811" s="71"/>
    </row>
    <row r="812" spans="2:10" x14ac:dyDescent="0.25">
      <c r="B812" s="69"/>
      <c r="G812" s="71"/>
      <c r="I812" s="71"/>
      <c r="J812" s="71"/>
    </row>
    <row r="813" spans="2:10" x14ac:dyDescent="0.25">
      <c r="B813" s="69"/>
      <c r="G813" s="71"/>
      <c r="I813" s="71"/>
      <c r="J813" s="71"/>
    </row>
    <row r="814" spans="2:10" x14ac:dyDescent="0.25">
      <c r="B814" s="69"/>
      <c r="G814" s="71"/>
      <c r="I814" s="71"/>
      <c r="J814" s="71"/>
    </row>
    <row r="815" spans="2:10" x14ac:dyDescent="0.25">
      <c r="B815" s="69"/>
      <c r="G815" s="71"/>
      <c r="I815" s="71"/>
      <c r="J815" s="71"/>
    </row>
    <row r="816" spans="2:10" x14ac:dyDescent="0.25">
      <c r="B816" s="69"/>
      <c r="G816" s="71"/>
      <c r="I816" s="71"/>
      <c r="J816" s="71"/>
    </row>
    <row r="817" spans="2:10" x14ac:dyDescent="0.25">
      <c r="B817" s="69"/>
      <c r="G817" s="71"/>
      <c r="I817" s="71"/>
      <c r="J817" s="71"/>
    </row>
    <row r="818" spans="2:10" x14ac:dyDescent="0.25">
      <c r="B818" s="69"/>
      <c r="G818" s="71"/>
      <c r="I818" s="71"/>
      <c r="J818" s="71"/>
    </row>
    <row r="819" spans="2:10" x14ac:dyDescent="0.25">
      <c r="B819" s="69"/>
      <c r="G819" s="71"/>
      <c r="I819" s="71"/>
      <c r="J819" s="71"/>
    </row>
    <row r="820" spans="2:10" x14ac:dyDescent="0.25">
      <c r="B820" s="69"/>
      <c r="G820" s="71"/>
      <c r="I820" s="71"/>
      <c r="J820" s="71"/>
    </row>
    <row r="821" spans="2:10" x14ac:dyDescent="0.25">
      <c r="B821" s="69"/>
      <c r="G821" s="71"/>
      <c r="I821" s="71"/>
      <c r="J821" s="71"/>
    </row>
    <row r="822" spans="2:10" x14ac:dyDescent="0.25">
      <c r="B822" s="69"/>
      <c r="G822" s="71"/>
      <c r="I822" s="71"/>
      <c r="J822" s="71"/>
    </row>
    <row r="823" spans="2:10" x14ac:dyDescent="0.25">
      <c r="B823" s="69"/>
      <c r="G823" s="71"/>
      <c r="I823" s="71"/>
      <c r="J823" s="71"/>
    </row>
    <row r="824" spans="2:10" x14ac:dyDescent="0.25">
      <c r="B824" s="69"/>
      <c r="D824" s="71"/>
      <c r="F824" s="70"/>
      <c r="G824" s="71"/>
      <c r="I824" s="71"/>
      <c r="J824" s="71"/>
    </row>
    <row r="825" spans="2:10" x14ac:dyDescent="0.25">
      <c r="B825" s="69"/>
      <c r="D825" s="71"/>
      <c r="F825" s="70"/>
      <c r="G825" s="71"/>
      <c r="I825" s="71"/>
      <c r="J825" s="71"/>
    </row>
    <row r="826" spans="2:10" x14ac:dyDescent="0.25">
      <c r="B826" s="69"/>
      <c r="D826" s="71"/>
      <c r="F826" s="70"/>
      <c r="G826" s="71"/>
      <c r="I826" s="71"/>
      <c r="J826" s="71"/>
    </row>
    <row r="827" spans="2:10" x14ac:dyDescent="0.25">
      <c r="B827" s="69"/>
      <c r="D827" s="71"/>
      <c r="F827" s="70"/>
      <c r="G827" s="71"/>
      <c r="I827" s="71"/>
      <c r="J827" s="71"/>
    </row>
    <row r="828" spans="2:10" x14ac:dyDescent="0.25">
      <c r="B828" s="69"/>
      <c r="D828" s="71"/>
      <c r="F828" s="70"/>
      <c r="G828" s="71"/>
      <c r="I828" s="71"/>
      <c r="J828" s="71"/>
    </row>
    <row r="829" spans="2:10" x14ac:dyDescent="0.25">
      <c r="B829" s="69"/>
      <c r="D829" s="71"/>
      <c r="F829" s="70"/>
      <c r="G829" s="71"/>
      <c r="I829" s="71"/>
      <c r="J829" s="71"/>
    </row>
  </sheetData>
  <sheetProtection algorithmName="SHA-512" hashValue="qIdEwJVPVYk7VvdrbrCOtJM2Y2DPr/5JNSJ9o1LCI+bvINefdv4voU95ozQic7NT1lxCyOh0w0AdVipDtw+WYw==" saltValue="wVB2xOJYjaYw1f1umPimZA==" spinCount="100000" sheet="1" objects="1" scenarios="1"/>
  <pageMargins left="0.7" right="0.7" top="0.75" bottom="0.75" header="0.3" footer="0.3"/>
  <tableParts count="4">
    <tablePart r:id="rId1"/>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DA1F7-1588-43CC-9F58-5E4E3B67B475}">
  <sheetPr codeName="Sheet15">
    <tabColor rgb="FF7030A0"/>
  </sheetPr>
  <dimension ref="A3:BE57"/>
  <sheetViews>
    <sheetView showGridLines="0" workbookViewId="0">
      <selection activeCell="X28" sqref="X28"/>
    </sheetView>
  </sheetViews>
  <sheetFormatPr defaultRowHeight="11.5" x14ac:dyDescent="0.25"/>
  <cols>
    <col min="1" max="1" width="13.296875" bestFit="1" customWidth="1"/>
    <col min="2" max="2" width="16.296875" bestFit="1" customWidth="1"/>
    <col min="3" max="3" width="8.5" bestFit="1" customWidth="1"/>
    <col min="4" max="4" width="9.8984375" bestFit="1" customWidth="1"/>
    <col min="5" max="5" width="8.5" bestFit="1" customWidth="1"/>
    <col min="6" max="6" width="9.8984375" bestFit="1" customWidth="1"/>
    <col min="7" max="7" width="8.5" bestFit="1" customWidth="1"/>
    <col min="8" max="8" width="9.8984375" bestFit="1" customWidth="1"/>
    <col min="9" max="9" width="8.5" bestFit="1" customWidth="1"/>
    <col min="10" max="10" width="9.8984375" bestFit="1" customWidth="1"/>
    <col min="11" max="11" width="8.5" bestFit="1" customWidth="1"/>
    <col min="12" max="12" width="9.8984375" bestFit="1" customWidth="1"/>
    <col min="13" max="13" width="8.5" bestFit="1" customWidth="1"/>
    <col min="14" max="14" width="9.8984375" bestFit="1" customWidth="1"/>
    <col min="15" max="15" width="8.5" bestFit="1" customWidth="1"/>
    <col min="16" max="16" width="14.59765625" bestFit="1" customWidth="1"/>
    <col min="17" max="17" width="13.3984375" bestFit="1" customWidth="1"/>
    <col min="18" max="18" width="10.3984375" bestFit="1" customWidth="1"/>
    <col min="19" max="19" width="8.8984375" bestFit="1" customWidth="1"/>
    <col min="20" max="20" width="13.296875" bestFit="1" customWidth="1"/>
    <col min="21" max="21" width="10.296875" bestFit="1" customWidth="1"/>
    <col min="22" max="22" width="14.59765625" bestFit="1" customWidth="1"/>
    <col min="23" max="23" width="13.3984375" bestFit="1" customWidth="1"/>
    <col min="24" max="24" width="14.59765625" bestFit="1" customWidth="1"/>
    <col min="25" max="25" width="13.3984375" bestFit="1" customWidth="1"/>
    <col min="26" max="26" width="13.296875" bestFit="1" customWidth="1"/>
    <col min="27" max="27" width="14.296875" bestFit="1" customWidth="1"/>
    <col min="28" max="28" width="19.5" bestFit="1" customWidth="1"/>
    <col min="29" max="29" width="21.59765625" bestFit="1" customWidth="1"/>
    <col min="30" max="30" width="14.69921875" bestFit="1" customWidth="1"/>
    <col min="32" max="32" width="13.296875" bestFit="1" customWidth="1"/>
    <col min="33" max="33" width="21.59765625" bestFit="1" customWidth="1"/>
    <col min="34" max="34" width="19.5" bestFit="1" customWidth="1"/>
    <col min="35" max="35" width="11" bestFit="1" customWidth="1"/>
    <col min="36" max="36" width="16.796875" bestFit="1" customWidth="1"/>
    <col min="37" max="37" width="10.296875" bestFit="1" customWidth="1"/>
    <col min="38" max="38" width="9.59765625" bestFit="1" customWidth="1"/>
    <col min="43" max="43" width="15.69921875" bestFit="1" customWidth="1"/>
    <col min="44" max="44" width="14.296875" bestFit="1" customWidth="1"/>
    <col min="45" max="45" width="9.69921875" bestFit="1" customWidth="1"/>
    <col min="46" max="46" width="9.59765625" bestFit="1" customWidth="1"/>
    <col min="47" max="47" width="8.5" bestFit="1" customWidth="1"/>
    <col min="53" max="53" width="15.69921875" bestFit="1" customWidth="1"/>
    <col min="54" max="54" width="14.296875" bestFit="1" customWidth="1"/>
    <col min="55" max="55" width="9.69921875" bestFit="1" customWidth="1"/>
    <col min="56" max="56" width="9.59765625" bestFit="1" customWidth="1"/>
    <col min="57" max="57" width="8.5" bestFit="1" customWidth="1"/>
  </cols>
  <sheetData>
    <row r="3" spans="20:57" x14ac:dyDescent="0.25">
      <c r="AR3">
        <f>COUNTIF(AR9:AR20,"")</f>
        <v>10</v>
      </c>
      <c r="AU3">
        <f>COUNTIF(AU9:AU20,0.001)</f>
        <v>0</v>
      </c>
    </row>
    <row r="4" spans="20:57" x14ac:dyDescent="0.25">
      <c r="AU4">
        <f>12-AU3</f>
        <v>12</v>
      </c>
    </row>
    <row r="5" spans="20:57" x14ac:dyDescent="0.25">
      <c r="AF5" s="21" t="s">
        <v>10</v>
      </c>
      <c r="AG5" t="s" vm="3">
        <v>13</v>
      </c>
      <c r="AJ5" s="21" t="s">
        <v>10</v>
      </c>
      <c r="AK5" t="s" vm="2">
        <v>14</v>
      </c>
    </row>
    <row r="6" spans="20:57" x14ac:dyDescent="0.25">
      <c r="T6" s="21" t="s">
        <v>10</v>
      </c>
      <c r="U6" t="s" vm="2">
        <v>14</v>
      </c>
    </row>
    <row r="7" spans="20:57" x14ac:dyDescent="0.25">
      <c r="AF7" s="21" t="s">
        <v>18</v>
      </c>
      <c r="AG7" t="s">
        <v>174</v>
      </c>
      <c r="AH7" t="s">
        <v>175</v>
      </c>
      <c r="AJ7" s="21" t="s">
        <v>18</v>
      </c>
      <c r="AK7" t="s">
        <v>179</v>
      </c>
      <c r="AL7" t="s">
        <v>183</v>
      </c>
      <c r="AQ7" s="21" t="s">
        <v>18</v>
      </c>
      <c r="AR7" s="21" t="s">
        <v>68</v>
      </c>
      <c r="AS7" t="s">
        <v>179</v>
      </c>
      <c r="AT7" t="s">
        <v>183</v>
      </c>
      <c r="AU7" t="s">
        <v>180</v>
      </c>
      <c r="BA7" s="21" t="s">
        <v>18</v>
      </c>
      <c r="BB7" s="21" t="s">
        <v>68</v>
      </c>
      <c r="BC7" t="s">
        <v>179</v>
      </c>
      <c r="BD7" t="s">
        <v>183</v>
      </c>
      <c r="BE7" t="s">
        <v>180</v>
      </c>
    </row>
    <row r="8" spans="20:57" x14ac:dyDescent="0.25">
      <c r="T8" s="21" t="s">
        <v>18</v>
      </c>
      <c r="U8" t="s">
        <v>179</v>
      </c>
      <c r="Z8" s="21" t="s">
        <v>18</v>
      </c>
      <c r="AA8" s="21" t="s">
        <v>68</v>
      </c>
      <c r="AB8" t="s">
        <v>175</v>
      </c>
      <c r="AC8" t="s">
        <v>174</v>
      </c>
      <c r="AD8" t="s">
        <v>20</v>
      </c>
      <c r="AF8" s="7" t="s">
        <v>1332</v>
      </c>
      <c r="AG8">
        <v>4.0000000000000001E-3</v>
      </c>
      <c r="AH8">
        <v>4.0000000000000001E-3</v>
      </c>
      <c r="AJ8" s="7" t="s">
        <v>1401</v>
      </c>
      <c r="AQ8" s="7" t="s">
        <v>1411</v>
      </c>
      <c r="BA8" s="7" t="s">
        <v>1411</v>
      </c>
    </row>
    <row r="9" spans="20:57" x14ac:dyDescent="0.25">
      <c r="T9" s="7" t="s">
        <v>1401</v>
      </c>
      <c r="U9" s="28">
        <v>0.14285714285714277</v>
      </c>
      <c r="Z9" s="7">
        <v>2025</v>
      </c>
      <c r="AA9" s="7" t="s">
        <v>471</v>
      </c>
      <c r="AB9" s="216">
        <v>1.0000000000000002E-2</v>
      </c>
      <c r="AC9" s="216">
        <v>1.0000000000000002E-2</v>
      </c>
      <c r="AD9" s="216">
        <v>1.0000000000000002E-3</v>
      </c>
      <c r="AF9" s="7" t="s">
        <v>1331</v>
      </c>
      <c r="AG9">
        <v>4.0000000000000001E-3</v>
      </c>
      <c r="AH9">
        <v>4.0000000000000001E-3</v>
      </c>
      <c r="AJ9" s="26" t="s">
        <v>1408</v>
      </c>
      <c r="AK9">
        <v>4.0000000000000001E-3</v>
      </c>
      <c r="AL9">
        <v>4.0000000000000001E-3</v>
      </c>
      <c r="AQ9" s="26" t="s">
        <v>170</v>
      </c>
      <c r="AR9" s="7" t="s">
        <v>471</v>
      </c>
      <c r="AS9">
        <v>2E-3</v>
      </c>
      <c r="AT9">
        <v>2E-3</v>
      </c>
      <c r="AU9">
        <v>2.0000000000000001E-4</v>
      </c>
      <c r="BA9" s="26" t="s">
        <v>170</v>
      </c>
      <c r="BB9" s="7" t="s">
        <v>471</v>
      </c>
      <c r="BC9">
        <v>2E-3</v>
      </c>
      <c r="BD9">
        <v>2E-3</v>
      </c>
      <c r="BE9">
        <v>2.0000000000000001E-4</v>
      </c>
    </row>
    <row r="10" spans="20:57" x14ac:dyDescent="0.25">
      <c r="T10" s="7" t="s">
        <v>1402</v>
      </c>
      <c r="U10" s="28">
        <v>0.14285714285714277</v>
      </c>
      <c r="AA10" s="7" t="s">
        <v>474</v>
      </c>
      <c r="AB10" s="216">
        <v>1.0000000000000002E-2</v>
      </c>
      <c r="AC10" s="216">
        <v>1.0000000000000002E-2</v>
      </c>
      <c r="AD10" s="216">
        <v>1.0000000000000002E-3</v>
      </c>
      <c r="AF10" s="7" t="s">
        <v>1333</v>
      </c>
      <c r="AG10">
        <v>4.0000000000000001E-3</v>
      </c>
      <c r="AH10">
        <v>4.0000000000000001E-3</v>
      </c>
      <c r="AJ10" s="7" t="s">
        <v>1417</v>
      </c>
      <c r="AK10">
        <v>4.0000000000000001E-3</v>
      </c>
      <c r="AL10">
        <v>4.0000000000000001E-3</v>
      </c>
      <c r="AR10" s="7" t="s">
        <v>474</v>
      </c>
      <c r="AS10">
        <v>2E-3</v>
      </c>
      <c r="AT10">
        <v>2E-3</v>
      </c>
      <c r="AU10">
        <v>2.0000000000000001E-4</v>
      </c>
      <c r="BB10" s="7" t="s">
        <v>474</v>
      </c>
      <c r="BC10">
        <v>2E-3</v>
      </c>
      <c r="BD10">
        <v>2E-3</v>
      </c>
      <c r="BE10">
        <v>2.0000000000000001E-4</v>
      </c>
    </row>
    <row r="11" spans="20:57" x14ac:dyDescent="0.25">
      <c r="T11" s="7" t="s">
        <v>1403</v>
      </c>
      <c r="U11" s="28">
        <v>0.14285714285714277</v>
      </c>
      <c r="Z11" s="7">
        <v>2026</v>
      </c>
      <c r="AA11" s="7" t="s">
        <v>471</v>
      </c>
      <c r="AB11" s="216">
        <v>1.0000000000000002E-2</v>
      </c>
      <c r="AC11" s="216">
        <v>1.0000000000000002E-2</v>
      </c>
      <c r="AD11" s="216">
        <v>1.0000000000000002E-3</v>
      </c>
      <c r="AF11" s="7" t="s">
        <v>19</v>
      </c>
      <c r="AG11">
        <v>1.2000000000000004E-2</v>
      </c>
      <c r="AH11">
        <v>1.2000000000000004E-2</v>
      </c>
      <c r="AJ11" s="7" t="s">
        <v>19</v>
      </c>
      <c r="AK11">
        <v>4.0000000000000001E-3</v>
      </c>
      <c r="AL11">
        <v>4.0000000000000001E-3</v>
      </c>
      <c r="AQ11" s="7" t="s">
        <v>19</v>
      </c>
      <c r="AS11">
        <v>4.0000000000000001E-3</v>
      </c>
      <c r="AT11">
        <v>4.0000000000000001E-3</v>
      </c>
      <c r="AU11">
        <v>4.0000000000000002E-4</v>
      </c>
      <c r="BA11" s="7" t="s">
        <v>19</v>
      </c>
      <c r="BC11">
        <v>4.0000000000000001E-3</v>
      </c>
      <c r="BD11">
        <v>4.0000000000000001E-3</v>
      </c>
      <c r="BE11">
        <v>4.0000000000000002E-4</v>
      </c>
    </row>
    <row r="12" spans="20:57" x14ac:dyDescent="0.25">
      <c r="T12" s="7" t="s">
        <v>1404</v>
      </c>
      <c r="U12" s="28">
        <v>0.14285714285714277</v>
      </c>
      <c r="AA12" s="7" t="s">
        <v>474</v>
      </c>
      <c r="AB12" s="216">
        <v>1.0000000000000002E-2</v>
      </c>
      <c r="AC12" s="216">
        <v>1.0000000000000002E-2</v>
      </c>
      <c r="AD12" s="216">
        <v>1.0000000000000002E-3</v>
      </c>
    </row>
    <row r="13" spans="20:57" x14ac:dyDescent="0.25">
      <c r="T13" s="7" t="s">
        <v>1405</v>
      </c>
      <c r="U13" s="28">
        <v>0.14285714285714277</v>
      </c>
    </row>
    <row r="14" spans="20:57" x14ac:dyDescent="0.25">
      <c r="T14" s="7" t="s">
        <v>1406</v>
      </c>
      <c r="U14" s="28">
        <v>0.14285714285714277</v>
      </c>
    </row>
    <row r="15" spans="20:57" x14ac:dyDescent="0.25">
      <c r="T15" s="7" t="s">
        <v>1407</v>
      </c>
      <c r="U15" s="28">
        <v>0.14285714285714277</v>
      </c>
    </row>
    <row r="16" spans="20:57" x14ac:dyDescent="0.25">
      <c r="T16" s="7" t="s">
        <v>19</v>
      </c>
      <c r="U16" s="28">
        <v>1</v>
      </c>
    </row>
    <row r="20" spans="25:34" x14ac:dyDescent="0.25">
      <c r="Y20">
        <f>IFERROR(MAX(TamponBudget2[Row])/1000,0.099)</f>
        <v>0.01</v>
      </c>
    </row>
    <row r="21" spans="25:34" x14ac:dyDescent="0.25">
      <c r="Z21">
        <f>12-AA21</f>
        <v>4</v>
      </c>
      <c r="AA21">
        <f>IFERROR(COUNTIF(AD9:AD20,""),0)</f>
        <v>8</v>
      </c>
      <c r="AB21" s="311">
        <f>ROUND(SUM(AB9:AB20)/Z21,0)</f>
        <v>0</v>
      </c>
      <c r="AC21" s="311">
        <f>ROUND(SUM(AC9:AC20)/Z21,0)</f>
        <v>0</v>
      </c>
      <c r="AD21">
        <f>IFERROR(COUNTIF(AD9:AD20,"&lt;0.001")+COUNTIF(AD9:AD20,"&gt;"&amp;Y20),0)</f>
        <v>0</v>
      </c>
    </row>
    <row r="22" spans="25:34" x14ac:dyDescent="0.25">
      <c r="AD22">
        <f>Z21-AD21</f>
        <v>4</v>
      </c>
    </row>
    <row r="23" spans="25:34" x14ac:dyDescent="0.25">
      <c r="AD23" s="311">
        <f>IFERROR(SUM(AD9:AD20)/AD21,0)</f>
        <v>0</v>
      </c>
    </row>
    <row r="30" spans="25:34" x14ac:dyDescent="0.25">
      <c r="AF30" s="21" t="s">
        <v>10</v>
      </c>
      <c r="AG30" t="s" vm="2">
        <v>14</v>
      </c>
    </row>
    <row r="32" spans="25:34" x14ac:dyDescent="0.25">
      <c r="AF32" s="21" t="s">
        <v>18</v>
      </c>
      <c r="AG32" t="s">
        <v>179</v>
      </c>
      <c r="AH32" t="s">
        <v>183</v>
      </c>
    </row>
    <row r="33" spans="32:34" x14ac:dyDescent="0.25">
      <c r="AF33" s="7" t="s">
        <v>1401</v>
      </c>
      <c r="AG33">
        <v>4.0000000000000001E-3</v>
      </c>
      <c r="AH33">
        <v>4.0000000000000001E-3</v>
      </c>
    </row>
    <row r="34" spans="32:34" x14ac:dyDescent="0.25">
      <c r="AF34" s="7" t="s">
        <v>1402</v>
      </c>
      <c r="AG34">
        <v>4.0000000000000001E-3</v>
      </c>
      <c r="AH34">
        <v>4.0000000000000001E-3</v>
      </c>
    </row>
    <row r="35" spans="32:34" x14ac:dyDescent="0.25">
      <c r="AF35" s="7" t="s">
        <v>1403</v>
      </c>
      <c r="AG35">
        <v>4.0000000000000001E-3</v>
      </c>
      <c r="AH35">
        <v>4.0000000000000001E-3</v>
      </c>
    </row>
    <row r="36" spans="32:34" x14ac:dyDescent="0.25">
      <c r="AF36" s="7" t="s">
        <v>1404</v>
      </c>
      <c r="AG36">
        <v>4.0000000000000001E-3</v>
      </c>
      <c r="AH36">
        <v>4.0000000000000001E-3</v>
      </c>
    </row>
    <row r="37" spans="32:34" x14ac:dyDescent="0.25">
      <c r="AF37" s="7" t="s">
        <v>1405</v>
      </c>
      <c r="AG37">
        <v>4.0000000000000001E-3</v>
      </c>
      <c r="AH37">
        <v>4.0000000000000001E-3</v>
      </c>
    </row>
    <row r="38" spans="32:34" x14ac:dyDescent="0.25">
      <c r="AF38" s="7" t="s">
        <v>1406</v>
      </c>
      <c r="AG38">
        <v>4.0000000000000001E-3</v>
      </c>
      <c r="AH38">
        <v>4.0000000000000001E-3</v>
      </c>
    </row>
    <row r="39" spans="32:34" x14ac:dyDescent="0.25">
      <c r="AF39" s="7" t="s">
        <v>1407</v>
      </c>
      <c r="AG39">
        <v>4.0000000000000001E-3</v>
      </c>
      <c r="AH39">
        <v>4.0000000000000001E-3</v>
      </c>
    </row>
    <row r="40" spans="32:34" x14ac:dyDescent="0.25">
      <c r="AF40" s="7" t="s">
        <v>19</v>
      </c>
      <c r="AG40">
        <v>2.8000000000000018E-2</v>
      </c>
      <c r="AH40">
        <v>2.8000000000000018E-2</v>
      </c>
    </row>
    <row r="50" spans="1:17" x14ac:dyDescent="0.25">
      <c r="B50" s="21" t="s">
        <v>69</v>
      </c>
    </row>
    <row r="51" spans="1:17" x14ac:dyDescent="0.25">
      <c r="B51" t="s">
        <v>1401</v>
      </c>
      <c r="D51" t="s">
        <v>1402</v>
      </c>
      <c r="F51" t="s">
        <v>1403</v>
      </c>
      <c r="H51" t="s">
        <v>1404</v>
      </c>
      <c r="J51" t="s">
        <v>1405</v>
      </c>
      <c r="L51" t="s">
        <v>1406</v>
      </c>
      <c r="N51" t="s">
        <v>1407</v>
      </c>
      <c r="P51" t="s">
        <v>181</v>
      </c>
      <c r="Q51" t="s">
        <v>182</v>
      </c>
    </row>
    <row r="52" spans="1:17" x14ac:dyDescent="0.25">
      <c r="A52" s="21" t="s">
        <v>18</v>
      </c>
      <c r="B52" t="s">
        <v>179</v>
      </c>
      <c r="C52" t="s">
        <v>180</v>
      </c>
      <c r="D52" t="s">
        <v>179</v>
      </c>
      <c r="E52" t="s">
        <v>180</v>
      </c>
      <c r="F52" t="s">
        <v>179</v>
      </c>
      <c r="G52" t="s">
        <v>180</v>
      </c>
      <c r="H52" t="s">
        <v>179</v>
      </c>
      <c r="I52" t="s">
        <v>180</v>
      </c>
      <c r="J52" t="s">
        <v>179</v>
      </c>
      <c r="K52" t="s">
        <v>180</v>
      </c>
      <c r="L52" t="s">
        <v>179</v>
      </c>
      <c r="M52" t="s">
        <v>180</v>
      </c>
      <c r="N52" t="s">
        <v>179</v>
      </c>
      <c r="O52" t="s">
        <v>180</v>
      </c>
    </row>
    <row r="53" spans="1:17" x14ac:dyDescent="0.25">
      <c r="A53" s="7">
        <v>2025</v>
      </c>
    </row>
    <row r="54" spans="1:17" x14ac:dyDescent="0.25">
      <c r="A54" s="26" t="s">
        <v>141</v>
      </c>
      <c r="B54">
        <v>2E-3</v>
      </c>
      <c r="C54">
        <v>2.0000000000000001E-4</v>
      </c>
      <c r="D54">
        <v>2E-3</v>
      </c>
      <c r="E54">
        <v>2.0000000000000001E-4</v>
      </c>
      <c r="F54">
        <v>2E-3</v>
      </c>
      <c r="G54">
        <v>2.0000000000000001E-4</v>
      </c>
      <c r="H54">
        <v>2E-3</v>
      </c>
      <c r="I54">
        <v>2.0000000000000001E-4</v>
      </c>
      <c r="J54">
        <v>2E-3</v>
      </c>
      <c r="K54">
        <v>2.0000000000000001E-4</v>
      </c>
      <c r="L54">
        <v>2E-3</v>
      </c>
      <c r="M54">
        <v>2.0000000000000001E-4</v>
      </c>
      <c r="N54">
        <v>2E-3</v>
      </c>
      <c r="O54">
        <v>2.0000000000000001E-4</v>
      </c>
      <c r="P54">
        <v>1.4000000000000005E-2</v>
      </c>
      <c r="Q54">
        <v>1.4000000000000004E-3</v>
      </c>
    </row>
    <row r="55" spans="1:17" x14ac:dyDescent="0.25">
      <c r="A55" s="7">
        <v>2026</v>
      </c>
    </row>
    <row r="56" spans="1:17" x14ac:dyDescent="0.25">
      <c r="A56" s="26" t="s">
        <v>141</v>
      </c>
      <c r="B56">
        <v>2E-3</v>
      </c>
      <c r="C56">
        <v>2.0000000000000001E-4</v>
      </c>
      <c r="D56">
        <v>2E-3</v>
      </c>
      <c r="E56">
        <v>2.0000000000000001E-4</v>
      </c>
      <c r="F56">
        <v>2E-3</v>
      </c>
      <c r="G56">
        <v>2.0000000000000001E-4</v>
      </c>
      <c r="H56">
        <v>2E-3</v>
      </c>
      <c r="I56">
        <v>2.0000000000000001E-4</v>
      </c>
      <c r="J56">
        <v>2E-3</v>
      </c>
      <c r="K56">
        <v>2.0000000000000001E-4</v>
      </c>
      <c r="L56">
        <v>2E-3</v>
      </c>
      <c r="M56">
        <v>2.0000000000000001E-4</v>
      </c>
      <c r="N56">
        <v>2E-3</v>
      </c>
      <c r="O56">
        <v>2.0000000000000001E-4</v>
      </c>
      <c r="P56">
        <v>1.4000000000000005E-2</v>
      </c>
      <c r="Q56">
        <v>1.4000000000000004E-3</v>
      </c>
    </row>
    <row r="57" spans="1:17" x14ac:dyDescent="0.25">
      <c r="A57" s="7" t="s">
        <v>19</v>
      </c>
      <c r="B57">
        <v>4.0000000000000001E-3</v>
      </c>
      <c r="C57">
        <v>4.0000000000000002E-4</v>
      </c>
      <c r="D57">
        <v>4.0000000000000001E-3</v>
      </c>
      <c r="E57">
        <v>4.0000000000000002E-4</v>
      </c>
      <c r="F57">
        <v>4.0000000000000001E-3</v>
      </c>
      <c r="G57">
        <v>4.0000000000000002E-4</v>
      </c>
      <c r="H57">
        <v>4.0000000000000001E-3</v>
      </c>
      <c r="I57">
        <v>4.0000000000000002E-4</v>
      </c>
      <c r="J57">
        <v>4.0000000000000001E-3</v>
      </c>
      <c r="K57">
        <v>4.0000000000000002E-4</v>
      </c>
      <c r="L57">
        <v>4.0000000000000001E-3</v>
      </c>
      <c r="M57">
        <v>4.0000000000000002E-4</v>
      </c>
      <c r="N57">
        <v>4.0000000000000001E-3</v>
      </c>
      <c r="O57">
        <v>4.0000000000000002E-4</v>
      </c>
      <c r="P57">
        <v>2.8000000000000018E-2</v>
      </c>
      <c r="Q57">
        <v>2.7999999999999991E-3</v>
      </c>
    </row>
  </sheetData>
  <pageMargins left="0.7" right="0.7" top="0.75" bottom="0.75" header="0.3" footer="0.3"/>
  <drawing r:id="rId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C72FA-CF23-49EE-A1A5-91E34698E321}">
  <sheetPr codeName="Sheet14">
    <tabColor rgb="FF7030A0"/>
  </sheetPr>
  <dimension ref="A1:FQ175"/>
  <sheetViews>
    <sheetView showGridLines="0" showRowColHeaders="0" topLeftCell="CN1" zoomScaleNormal="100" workbookViewId="0">
      <selection activeCell="CT28" sqref="CT28"/>
    </sheetView>
  </sheetViews>
  <sheetFormatPr defaultRowHeight="11.5" x14ac:dyDescent="0.25"/>
  <cols>
    <col min="3" max="3" width="12.09765625" customWidth="1"/>
    <col min="4" max="4" width="10.09765625" customWidth="1"/>
    <col min="11" max="11" width="10.09765625" bestFit="1" customWidth="1"/>
    <col min="32" max="32" width="9" bestFit="1" customWidth="1"/>
    <col min="35" max="35" width="8.796875" style="5"/>
    <col min="36" max="36" width="11.8984375" customWidth="1"/>
    <col min="37" max="37" width="11.69921875" customWidth="1"/>
    <col min="38" max="39" width="9.8984375" customWidth="1"/>
    <col min="41" max="42" width="10.296875" customWidth="1"/>
    <col min="46" max="46" width="10.8984375" bestFit="1" customWidth="1"/>
    <col min="47" max="47" width="10.3984375" customWidth="1"/>
    <col min="56" max="57" width="11.8984375" customWidth="1"/>
    <col min="58" max="58" width="9.296875" customWidth="1"/>
    <col min="60" max="60" width="11.296875" customWidth="1"/>
    <col min="62" max="62" width="15.8984375" customWidth="1"/>
    <col min="63" max="63" width="13.296875" customWidth="1"/>
    <col min="64" max="64" width="19.8984375" customWidth="1"/>
    <col min="65" max="65" width="11.8984375" customWidth="1"/>
    <col min="99" max="99" width="9.3984375" bestFit="1" customWidth="1"/>
    <col min="103" max="103" width="10.8984375" customWidth="1"/>
    <col min="105" max="105" width="11.3984375" customWidth="1"/>
    <col min="106" max="106" width="12.296875" customWidth="1"/>
    <col min="120" max="120" width="12.09765625" bestFit="1" customWidth="1"/>
    <col min="123" max="123" width="9.3984375" bestFit="1" customWidth="1"/>
    <col min="125" max="125" width="11.3984375" bestFit="1" customWidth="1"/>
    <col min="127" max="127" width="13" customWidth="1"/>
    <col min="131" max="131" width="12.09765625" bestFit="1" customWidth="1"/>
    <col min="133" max="133" width="12.09765625" bestFit="1" customWidth="1"/>
    <col min="144" max="144" width="15.296875" customWidth="1"/>
    <col min="147" max="147" width="10.3984375" customWidth="1"/>
    <col min="148" max="148" width="11.09765625" customWidth="1"/>
    <col min="149" max="149" width="12.09765625" customWidth="1"/>
    <col min="150" max="150" width="11.3984375" customWidth="1"/>
    <col min="164" max="164" width="12.09765625" customWidth="1"/>
    <col min="167" max="167" width="13.8984375" customWidth="1"/>
  </cols>
  <sheetData>
    <row r="1" spans="1:173" ht="12" thickBot="1" x14ac:dyDescent="0.3">
      <c r="A1" t="str" cm="1">
        <f t="array" ref="A1">TbHead[GrandT]</f>
        <v>Grand Total</v>
      </c>
      <c r="AC1" s="5"/>
      <c r="AD1" s="5"/>
      <c r="AE1" s="5"/>
      <c r="AF1" s="5"/>
      <c r="AG1" s="5"/>
      <c r="AH1" s="5"/>
      <c r="AJ1" s="5"/>
      <c r="AK1" s="209">
        <f>J17</f>
        <v>2E-3</v>
      </c>
      <c r="AL1" s="209">
        <f>L17</f>
        <v>2E-3</v>
      </c>
      <c r="AM1" s="209">
        <f>N17</f>
        <v>2E-3</v>
      </c>
      <c r="AN1" s="209">
        <f>P17</f>
        <v>2E-3</v>
      </c>
      <c r="AO1" s="209">
        <f>R17</f>
        <v>2E-3</v>
      </c>
      <c r="AP1" s="209">
        <f>T17</f>
        <v>2E-3</v>
      </c>
      <c r="AQ1" s="209">
        <f>V17</f>
        <v>2E-3</v>
      </c>
      <c r="CW1" t="str">
        <f ca="1">Library!$A$209</f>
        <v>We are here</v>
      </c>
      <c r="CX1" s="188" t="str">
        <f ca="1">IF(CY1&lt;&gt;"",CW1,"")</f>
        <v/>
      </c>
      <c r="CY1" s="144" t="str">
        <f ca="1">E17</f>
        <v/>
      </c>
      <c r="CZ1" s="9"/>
      <c r="DA1" s="9" t="s">
        <v>14</v>
      </c>
      <c r="DB1" s="9">
        <f>IFERROR(CS4,0)</f>
        <v>-1.4000000000000002E-3</v>
      </c>
      <c r="DC1" s="5"/>
      <c r="DN1" s="9">
        <f>IFERROR(IF(DO1&lt;&gt;"",1,""),"")</f>
        <v>1</v>
      </c>
      <c r="DO1" s="9" t="str" cm="1">
        <f t="array" ref="DO1">_xlfn.IFS(RIGHT(A_Budget2!AJ9,5)="Total","",A_Budget2!AJ9="","",A_Budget2!AJ9&lt;&gt;"",A_Budget2!AJ9)</f>
        <v>Sub-Category1</v>
      </c>
      <c r="DP1" s="9">
        <f>IFERROR(GETPIVOTDATA("[Measures].["&amp;A_Budget2!$AK$7&amp;"]",A_Budget2!$AJ$7,"[DataBudget2].[Cat_2]","[DataBudget2].[Cat_2].&amp;["&amp;A_Budget2!$AJ$8&amp;"]","[DataBudget2].[Cat_3]","[DataBudget2].[Cat_3].&amp;["&amp;DO1&amp;"]")/GETPIVOTDATA("[Measures].[Sum of Montant_Extrap 4]",A_Budget2!$AF$7,"[DataBudget2].[Cat_2]","[DataBudget2].[Cat_2].&amp;["&amp;WB_Data!$J$2&amp;"]"),"")</f>
        <v>1</v>
      </c>
      <c r="DQ1" s="9" t="str" cm="1">
        <f t="array" ref="DQ1">IFERROR(INDEX($DO$1:$DO$16,SMALL(IF($DP$1:$DP$16=DR1,ROW($DP$1:$DP$16)),COUNTIF($DR$1:DR1,DR1))),"")</f>
        <v>Sub-Category1</v>
      </c>
      <c r="DR1" s="104">
        <f>IFERROR(LARGE($DP$1:$DP$16,DN1),"")</f>
        <v>1</v>
      </c>
      <c r="DS1" s="103">
        <f>IFERROR(GETPIVOTDATA("[Measures].["&amp;A_Budget2!$AK$7&amp;"]",A_Budget2!$AJ$7,"[DataBudget2].[Cat_2]","[DataBudget2].[Cat_2].&amp;["&amp;A_Budget2!$AJ$8&amp;"]","[DataBudget2].[Cat_3]","[DataBudget2].[Cat_3].&amp;["&amp;DQ1&amp;"]"),"")</f>
        <v>4.0000000000000001E-3</v>
      </c>
      <c r="DT1" s="154">
        <f>IFERROR(GETPIVOTDATA("[Measures].["&amp;A_Budget2!$AL$7&amp;"]",A_Budget2!$AJ$7,"[DataBudget2].[Cat_2]","[DataBudget2].[Cat_2].&amp;["&amp;A_Budget2!$AJ$8&amp;"]","[DataBudget2].[Cat_3]","[DataBudget2].[Cat_3].&amp;["&amp;DQ1&amp;"]")/GETPIVOTDATA("[Measures].[Sum of Last_Montant 2]",A_Budget2!$AF$7,"[DataBudget2].[Cat_2]","[DataBudget2].[Cat_2].&amp;["&amp;WB_Data!$J$2&amp;"]"),"")</f>
        <v>1</v>
      </c>
      <c r="DU1" s="155">
        <f>IFERROR(GETPIVOTDATA("[Measures].["&amp;A_Budget2!$AL$7&amp;"]",A_Budget2!$AJ$7,"[DataBudget2].[Cat_2]","[DataBudget2].[Cat_2].&amp;["&amp;A_Budget2!$AJ$8&amp;"]","[DataBudget2].[Cat_3]","[DataBudget2].[Cat_3].&amp;["&amp;DQ1&amp;"]"),"")</f>
        <v>4.0000000000000001E-3</v>
      </c>
      <c r="DV1" s="9" t="str">
        <f t="shared" ref="DV1:DV16" si="0">DO1</f>
        <v>Sub-Category1</v>
      </c>
      <c r="DW1" s="9"/>
      <c r="DX1" s="9"/>
      <c r="DY1" s="97">
        <f>DN1</f>
        <v>1</v>
      </c>
      <c r="DZ1" s="9" t="str" cm="1">
        <f t="array" ref="DZ1">_xlfn.IFS(RIGHT(A_Budget2!AJ9,5)="Total","",A_Budget2!AJ9="","",A_Budget2!AJ9&lt;&gt;"",A_Budget2!AJ9)</f>
        <v>Sub-Category1</v>
      </c>
      <c r="EA1" s="9">
        <f>IFERROR(GETPIVOTDATA("[Measures].["&amp;A_Budget2!$AL$7&amp;"]",A_Budget2!$AJ$7,"[DataBudget2].[Cat_2]","[DataBudget2].[Cat_2].&amp;["&amp;A_Budget2!$AJ$8&amp;"]","[DataBudget2].[Cat_3]","[DataBudget2].[Cat_3].&amp;["&amp;DZ1&amp;"]")/GETPIVOTDATA("[Measures].[Sum of Last_Montant 2]",A_Budget2!$AF$7,"[DataBudget2].[Cat_2]","[DataBudget2].[Cat_2].&amp;["&amp;WB_Data!$J$2&amp;"]"),"")</f>
        <v>1</v>
      </c>
      <c r="EB1" s="9" t="str" cm="1">
        <f t="array" ref="EB1">IFERROR(INDEX($DZ$1:$DZ$16,SMALL(IF($EA$1:$EA$16=EC1,ROW($EA$1:$EA$16)),COUNTIF($EC$1:EC1,EC1))),"")</f>
        <v>Sub-Category1</v>
      </c>
      <c r="EC1" s="154">
        <f>IFERROR(LARGE($EA$1:$EA$16,DY1),"")</f>
        <v>1</v>
      </c>
      <c r="ED1" s="154">
        <f>IFERROR(GETPIVOTDATA("[Measures].["&amp;A_Budget2!$AL$7&amp;"]",A_Budget2!$AJ$7,"[DataBudget2].[Cat_2]","[DataBudget2].[Cat_2].&amp;["&amp;A_Budget2!$AJ$8&amp;"]","[DataBudget2].[Cat_3]","[DataBudget2].[Cat_3].&amp;["&amp;EB1&amp;"]"),"")</f>
        <v>4.0000000000000001E-3</v>
      </c>
      <c r="EE1" s="139">
        <f>IFERROR(GETPIVOTDATA("[Measures].["&amp;A_Budget2!$AK$7&amp;"]",A_Budget2!$AJ$7,"[DataBudget2].[Cat_2]","[DataBudget2].[Cat_2].&amp;["&amp;A_Budget2!$AJ$8&amp;"]","[DataBudget2].[Cat_3]","[DataBudget2].[Cat_3].&amp;["&amp;EB1&amp;"]")/GETPIVOTDATA("[Measures].[Sum of Montant_Extrap 4]",A_Budget2!$AF$7,"[DataBudget2].[Cat_2]","[DataBudget2].[Cat_2].&amp;["&amp;WB_Data!$J$2&amp;"]"),"")</f>
        <v>1</v>
      </c>
      <c r="EF1" s="105">
        <f>IFERROR(GETPIVOTDATA("[Measures].["&amp;A_Budget2!$AK$7&amp;"]",A_Budget2!$AJ$7,"[DataBudget2].[Cat_2]","[DataBudget2].[Cat_2].&amp;["&amp;A_Budget2!$AJ$8&amp;"]","[DataBudget2].[Cat_3]","[DataBudget2].[Cat_3].&amp;["&amp;EB1&amp;"]"),"")</f>
        <v>4.0000000000000001E-3</v>
      </c>
      <c r="EL1" s="165">
        <f>ControlChart_Budget2!I6</f>
        <v>2025</v>
      </c>
      <c r="EM1" s="165">
        <f>G5</f>
        <v>2026</v>
      </c>
      <c r="EN1" s="5">
        <f>IFERROR(IF(EL1=EM1,1,2),1)</f>
        <v>2</v>
      </c>
      <c r="ER1" s="9" t="str">
        <f>A_Budget2!AQ8</f>
        <v>Sub-Category4</v>
      </c>
      <c r="ES1" s="5" t="str">
        <f>A_Budget1!AU7</f>
        <v>ABSB1M</v>
      </c>
      <c r="ET1" s="165" t="str">
        <f>A_Budget1!AS7</f>
        <v>ABSMontantE</v>
      </c>
      <c r="EU1" t="str">
        <f>A_Budget1!AT7</f>
        <v>ABS_LastM</v>
      </c>
      <c r="EV1" t="s">
        <v>1118</v>
      </c>
      <c r="EY1" s="5"/>
      <c r="EZ1" s="5"/>
      <c r="FA1" s="5"/>
      <c r="FB1" s="5"/>
      <c r="FC1" s="5"/>
      <c r="FD1" s="5"/>
      <c r="FE1">
        <v>1</v>
      </c>
      <c r="FF1" s="105">
        <f>GETPIVOTDATA("[Measures].[Sum of Montant_Extrap 4]",A_Budget2!$AF$7,"[DataBudget2].[Cat_2]","[DataBudget2].[Cat_2].&amp;["&amp;WB_Data!J2&amp;"]")</f>
        <v>4.0000000000000001E-3</v>
      </c>
      <c r="FG1" s="173">
        <f>GETPIVOTDATA("[Measures].[Sum of Last_Montant 2]",A_Budget2!$AF$7,"[DataBudget2].[Cat_2]","[DataBudget2].[Cat_2].&amp;["&amp;WB_Data!J2&amp;"]")</f>
        <v>4.0000000000000001E-3</v>
      </c>
      <c r="FH1" t="str">
        <f>A_Budget2!AF33</f>
        <v>Category1</v>
      </c>
      <c r="FI1" s="174">
        <f>IFERROR(FF2/$FF$1,0)</f>
        <v>1</v>
      </c>
      <c r="FJ1" s="175">
        <f>IFERROR(FG2/$FG$1,0)</f>
        <v>1</v>
      </c>
      <c r="FK1" t="str" cm="1">
        <f t="array" ref="FK1">IFERROR(INDEX($FH$1:$FH$18,SMALL(IF($FI$1:$FI$18=FL1,ROW($FI$1:$FI$18)),COUNTIF($FL$1:FL1,FL1))),"")</f>
        <v>Category1</v>
      </c>
      <c r="FL1" s="174">
        <f>IFERROR(LARGE($FI$1:$FI$18,FE1),0)</f>
        <v>1</v>
      </c>
      <c r="FM1" s="176">
        <f>IFERROR(VLOOKUP(FK1,$FH$1:$FJ$18,3,FALSE),"")</f>
        <v>1</v>
      </c>
      <c r="FN1" t="str" cm="1">
        <f t="array" ref="FN1">_xlfn.IFS(FK1=0,"",FK1=$A$1,"",FK1&lt;&gt;"",FK1)</f>
        <v>Category1</v>
      </c>
      <c r="FO1">
        <f>IF(FN1&lt;&gt;"",-5%,"")</f>
        <v>-0.05</v>
      </c>
      <c r="FP1" s="177">
        <f>IF(FN1&lt;&gt;"",FL1,"")</f>
        <v>1</v>
      </c>
      <c r="FQ1" s="178">
        <f>IF(FN1&lt;&gt;"",FM1,"")</f>
        <v>1</v>
      </c>
    </row>
    <row r="2" spans="1:173" x14ac:dyDescent="0.25">
      <c r="AC2" s="119"/>
      <c r="AD2" s="119"/>
      <c r="AE2" s="119"/>
      <c r="AF2" s="119"/>
      <c r="AG2" s="119"/>
      <c r="AH2" s="119"/>
      <c r="AI2" s="119"/>
      <c r="AJ2" s="5"/>
      <c r="AK2" s="209">
        <f>K17</f>
        <v>2.0000000000000001E-4</v>
      </c>
      <c r="AL2" s="209">
        <f>M17</f>
        <v>2.0000000000000001E-4</v>
      </c>
      <c r="AM2" s="209">
        <f>O17</f>
        <v>2.0000000000000001E-4</v>
      </c>
      <c r="AN2" s="209">
        <f>Q17</f>
        <v>2.0000000000000001E-4</v>
      </c>
      <c r="AO2" s="209">
        <f>S17</f>
        <v>2.0000000000000001E-4</v>
      </c>
      <c r="AP2" s="209">
        <f>U17</f>
        <v>2.0000000000000001E-4</v>
      </c>
      <c r="AQ2" s="209">
        <f>W17</f>
        <v>2.0000000000000001E-4</v>
      </c>
      <c r="AT2" s="8" cm="1">
        <f t="array" ref="AT2">IFERROR(_xlfn.IFS($I$22=4,ROW(I20),$I$22=5,ROW(I21)),ROW(I20))</f>
        <v>20</v>
      </c>
      <c r="AU2" s="8" t="str">
        <f>CONCATENATE("G17:G"&amp;AT2)</f>
        <v>G17:G20</v>
      </c>
      <c r="AV2" s="9" t="str">
        <f>CONCATENATE("H17:H"&amp;AT2)</f>
        <v>H17:H20</v>
      </c>
      <c r="AW2" s="8" t="str">
        <f>CONCATENATE("I17:I"&amp;AT2)</f>
        <v>I17:I20</v>
      </c>
      <c r="AX2" s="127" t="s">
        <v>105</v>
      </c>
      <c r="AY2" s="129" t="s">
        <v>14</v>
      </c>
      <c r="AZ2" s="9" t="s">
        <v>153</v>
      </c>
      <c r="BA2" s="10" t="s">
        <v>152</v>
      </c>
      <c r="BB2" s="9" t="s">
        <v>154</v>
      </c>
      <c r="BC2" s="133" t="s">
        <v>155</v>
      </c>
      <c r="BD2" s="130" t="s">
        <v>156</v>
      </c>
      <c r="BE2" s="130" t="s">
        <v>151</v>
      </c>
      <c r="BF2" s="130" t="s">
        <v>151</v>
      </c>
      <c r="BG2" s="9" t="s">
        <v>147</v>
      </c>
      <c r="BH2" s="9" t="s">
        <v>148</v>
      </c>
      <c r="BI2" s="9" t="s">
        <v>149</v>
      </c>
      <c r="BJ2" s="130" t="s">
        <v>159</v>
      </c>
      <c r="BK2" s="130" t="s">
        <v>158</v>
      </c>
      <c r="BL2" s="127" t="s">
        <v>157</v>
      </c>
      <c r="BM2" s="132" t="s">
        <v>150</v>
      </c>
      <c r="CY2" s="9"/>
      <c r="CZ2" s="9"/>
      <c r="DA2" s="9" t="s">
        <v>168</v>
      </c>
      <c r="DB2" s="9">
        <f>IF(DB1&lt;0,ABS(DB1),0)</f>
        <v>1.4000000000000002E-3</v>
      </c>
      <c r="DC2" s="5"/>
      <c r="DN2" s="9" t="str">
        <f>IFERROR(IF(DO2&lt;&gt;"",DN1+1,""),"")</f>
        <v/>
      </c>
      <c r="DO2" s="9" t="str" cm="1">
        <f t="array" ref="DO2">_xlfn.IFS(RIGHT(A_Budget2!AJ10,5)="Total","",A_Budget2!AJ10="","",A_Budget2!AJ10&lt;&gt;"",A_Budget2!AJ10)</f>
        <v/>
      </c>
      <c r="DP2" s="9" t="str">
        <f>IFERROR(GETPIVOTDATA("[Measures].["&amp;A_Budget2!$AK$7&amp;"]",A_Budget2!$AJ$7,"[DataBudget2].[Cat_2]","[DataBudget2].[Cat_2].&amp;["&amp;A_Budget2!$AJ$8&amp;"]","[DataBudget2].[Cat_3]","[DataBudget2].[Cat_3].&amp;["&amp;DO2&amp;"]")/GETPIVOTDATA("[Measures].[Sum of Montant_Extrap 4]",A_Budget2!$AF$7,"[DataBudget2].[Cat_2]","[DataBudget2].[Cat_2].&amp;["&amp;WB_Data!$J$2&amp;"]"),"")</f>
        <v/>
      </c>
      <c r="DQ2" s="9" t="str" cm="1">
        <f t="array" ref="DQ2">IFERROR(INDEX($DO$1:$DO$16,SMALL(IF($DP$1:$DP$16=DR2,ROW($DP$1:$DP$16)),COUNTIF($DR$1:DR2,DR2))),"")</f>
        <v/>
      </c>
      <c r="DR2" s="104" t="str">
        <f t="shared" ref="DR2:DR16" si="1">IFERROR(LARGE($DP$1:$DP$16,DN2),"")</f>
        <v/>
      </c>
      <c r="DS2" s="103" t="str">
        <f>IFERROR(GETPIVOTDATA("[Measures].["&amp;A_Budget2!$AK$7&amp;"]",A_Budget2!$AJ$7,"[DataBudget2].[Cat_2]","[DataBudget2].[Cat_2].&amp;["&amp;A_Budget2!$AJ$8&amp;"]","[DataBudget2].[Cat_3]","[DataBudget2].[Cat_3].&amp;["&amp;DQ2&amp;"]"),"")</f>
        <v/>
      </c>
      <c r="DT2" s="154" t="str">
        <f>IFERROR(GETPIVOTDATA("[Measures].["&amp;A_Budget2!$AL$7&amp;"]",A_Budget2!$AJ$7,"[DataBudget2].[Cat_2]","[DataBudget2].[Cat_2].&amp;["&amp;A_Budget2!$AJ$8&amp;"]","[DataBudget2].[Cat_3]","[DataBudget2].[Cat_3].&amp;["&amp;DQ2&amp;"]")/GETPIVOTDATA("[Measures].[Sum of Last_Montant 2]",A_Budget2!$AF$7,"[DataBudget2].[Cat_2]","[DataBudget2].[Cat_2].&amp;["&amp;WB_Data!$J$2&amp;"]"),"")</f>
        <v/>
      </c>
      <c r="DU2" s="155" t="str">
        <f>IFERROR(GETPIVOTDATA("[Measures].["&amp;A_Budget2!$AL$7&amp;"]",A_Budget2!$AJ$7,"[DataBudget2].[Cat_2]","[DataBudget2].[Cat_2].&amp;["&amp;A_Budget2!$AJ$8&amp;"]","[DataBudget2].[Cat_3]","[DataBudget2].[Cat_3].&amp;["&amp;DQ2&amp;"]"),"")</f>
        <v/>
      </c>
      <c r="DV2" s="9" t="str">
        <f t="shared" si="0"/>
        <v/>
      </c>
      <c r="DW2" s="9"/>
      <c r="DX2" s="9"/>
      <c r="DY2" s="97" t="str">
        <f>DN2</f>
        <v/>
      </c>
      <c r="DZ2" s="9" t="str" cm="1">
        <f t="array" ref="DZ2">_xlfn.IFS(RIGHT(A_Budget2!AJ10,5)="Total","",A_Budget2!AJ10="","",A_Budget2!AJ10&lt;&gt;"",A_Budget2!AJ10)</f>
        <v/>
      </c>
      <c r="EA2" s="9" t="str">
        <f>IFERROR(GETPIVOTDATA("[Measures].["&amp;A_Budget2!$AL$7&amp;"]",A_Budget2!$AJ$7,"[DataBudget2].[Cat_2]","[DataBudget2].[Cat_2].&amp;["&amp;A_Budget2!$AJ$8&amp;"]","[DataBudget2].[Cat_3]","[DataBudget2].[Cat_3].&amp;["&amp;DZ2&amp;"]")/GETPIVOTDATA("[Measures].[Sum of Last_Montant 2]",A_Budget2!$AF$7,"[DataBudget2].[Cat_2]","[DataBudget2].[Cat_2].&amp;["&amp;WB_Data!$J$2&amp;"]"),"")</f>
        <v/>
      </c>
      <c r="EB2" s="9" t="str" cm="1">
        <f t="array" ref="EB2">IFERROR(INDEX($DZ$1:$DZ$16,SMALL(IF($EA$1:$EA$16=EC2,ROW($EA$1:$EA$16)),COUNTIF($EC$1:EC2,EC2))),"")</f>
        <v/>
      </c>
      <c r="EC2" s="154" t="str">
        <f t="shared" ref="EC2:EC16" si="2">IFERROR(LARGE($EA$1:$EA$16,DY2),"")</f>
        <v/>
      </c>
      <c r="ED2" s="154" t="str">
        <f>IFERROR(GETPIVOTDATA("[Measures].["&amp;A_Budget2!$AL$7&amp;"]",A_Budget2!$AJ$7,"[DataBudget2].[Cat_2]","[DataBudget2].[Cat_2].&amp;["&amp;A_Budget2!$AJ$8&amp;"]","[DataBudget2].[Cat_3]","[DataBudget2].[Cat_3].&amp;["&amp;EB2&amp;"]"),"")</f>
        <v/>
      </c>
      <c r="EE2" s="139" t="str">
        <f>IFERROR(GETPIVOTDATA("[Measures].["&amp;A_Budget2!$AK$7&amp;"]",A_Budget2!$AJ$7,"[DataBudget2].[Cat_2]","[DataBudget2].[Cat_2].&amp;["&amp;A_Budget2!$AJ$8&amp;"]","[DataBudget2].[Cat_3]","[DataBudget2].[Cat_3].&amp;["&amp;EB2&amp;"]")/GETPIVOTDATA("[Measures].[Sum of Montant_Extrap 4]",A_Budget2!$AF$7,"[DataBudget2].[Cat_2]","[DataBudget2].[Cat_2].&amp;["&amp;WB_Data!$J$2&amp;"]"),"")</f>
        <v/>
      </c>
      <c r="EF2" s="105" t="str">
        <f>IFERROR(GETPIVOTDATA("[Measures].["&amp;A_Budget2!$AK$7&amp;"]",A_Budget2!$AJ$7,"[DataBudget2].[Cat_2]","[DataBudget2].[Cat_2].&amp;["&amp;A_Budget2!$AJ$8&amp;"]","[DataBudget2].[Cat_3]","[DataBudget2].[Cat_3].&amp;["&amp;EB2&amp;"]"),"")</f>
        <v/>
      </c>
      <c r="EL2" s="166">
        <f ca="1">IFERROR(GETPIVOTDATA("[Measures].["&amp;A_Budget2!$AS$7&amp;"]",A_Budget2!$AQ$7,"[DataBudget2].[Cat_3]","[DataBudget2].[Cat_3].&amp;["&amp;ControlChart_Budget2!$ER$1&amp;"]","[DataBudget2].[Mois (Month)]","[DataBudget2].[Mois (Month)].&amp;["&amp;EV2&amp;"]","[DataBudget2].[Mois (Year)]","[DataBudget2].[Mois (Year)].&amp;["&amp;$EL$1&amp;"]"),0)</f>
        <v>2E-3</v>
      </c>
      <c r="EM2" s="165">
        <f ca="1">IFERROR(IF($EN$1=1,0,GETPIVOTDATA("[Measures].["&amp;A_Budget2!$AS$7&amp;"]",A_Budget2!$AQ$7,"[DataBudget2].[Cat_3]","[DataBudget2].[Cat_3].&amp;["&amp;ControlChart_Budget2!$ER$1&amp;"]","[DataBudget2].[Mois (Month)]","[DataBudget2].[Mois (Month)].&amp;["&amp;EV2&amp;"]","[DataBudget2].[Mois (Year)]","[DataBudget2].[Mois (Year)].&amp;["&amp;$EM$1&amp;"]")),0)</f>
        <v>0</v>
      </c>
      <c r="EN2" s="139">
        <f ca="1">IFERROR(GETPIVOTDATA("[Measures].["&amp;A_Budget2!$AT$7&amp;"]",A_Budget2!$AQ$7,"[DataBudget2].[Cat_3]","[DataBudget2].[Cat_3].&amp;["&amp;ControlChart_Budget2!$ER$1&amp;"]","[DataBudget2].[Mois (Month)]","[DataBudget2].[Mois (Month)].&amp;["&amp;EV2&amp;"]","[DataBudget2].[Mois (Year)]","[DataBudget2].[Mois (Year)].&amp;["&amp;$EL$1&amp;"]"),0)</f>
        <v>2E-3</v>
      </c>
      <c r="EO2" s="139">
        <f ca="1">IFERROR(IF($EN$1=1,0,GETPIVOTDATA("[Measures].["&amp;A_Budget2!$AT$7&amp;"]",A_Budget2!$AQ$7,"[DataBudget2].[Cat_3]","[DataBudget2].[Cat_3].&amp;["&amp;ControlChart_Budget2!$ER$1&amp;"]","[DataBudget2].[Mois (Month)]","[DataBudget2].[Mois (Month)].&amp;["&amp;EV2&amp;"]","[DataBudget2].[Mois (Year)]","[DataBudget2].[Mois (Year)].&amp;["&amp;$EM$1&amp;"]")),0)</f>
        <v>0</v>
      </c>
      <c r="EP2" s="167">
        <f ca="1">IFERROR(GETPIVOTDATA("[Measures].["&amp;A_Budget2!$AU$7&amp;"]",A_Budget2!$AQ$7,"[DataBudget2].[Cat_3]","[DataBudget2].[Cat_3].&amp;["&amp;ControlChart_Budget2!$ER$1&amp;"]","[DataBudget2].[Mois (Month)]","[DataBudget2].[Mois (Month)].&amp;["&amp;EV2&amp;"]","[DataBudget2].[Mois (Year)]","[DataBudget2].[Mois (Year)].&amp;["&amp;$EL$1&amp;"]"),0)</f>
        <v>2.0000000000000001E-4</v>
      </c>
      <c r="EQ2" s="167">
        <f ca="1">IFERROR(IF($EN$1=1,0,GETPIVOTDATA("[Measures].["&amp;A_Budget2!$AU$7&amp;"]",A_Budget2!$AQ$7,"[DataBudget2].[Cat_3]","[DataBudget2].[Cat_3].&amp;["&amp;ControlChart_Budget2!$ER$1&amp;"]","[DataBudget2].[Mois (Month)]","[DataBudget2].[Mois (Month)].&amp;["&amp;EV2&amp;"]","[DataBudget2].[Mois (Year)]","[DataBudget2].[Mois (Year)].&amp;["&amp;$EM$1&amp;"]")),0)</f>
        <v>0</v>
      </c>
      <c r="ER2" s="9" t="str">
        <f>IFERROR(IF(A_Budget2!AR9=0,"",A_Budget2!AR9),"")</f>
        <v>Jan</v>
      </c>
      <c r="ES2" s="312">
        <f t="shared" ref="ES2:ES13" ca="1" si="3">EP2+EQ2</f>
        <v>2.0000000000000001E-4</v>
      </c>
      <c r="ET2" s="313">
        <f t="shared" ref="ET2:ET13" ca="1" si="4">EL2+EM2</f>
        <v>2E-3</v>
      </c>
      <c r="EU2" s="314">
        <f t="shared" ref="EU2:EU13" ca="1" si="5">EN2+EO2</f>
        <v>2E-3</v>
      </c>
      <c r="EV2" t="str">
        <f ca="1">IFERROR(VLOOKUP(ER2,Library!$R$18:$S$29,2,FALSE),Library!S18)</f>
        <v>janv</v>
      </c>
      <c r="EY2" s="168"/>
      <c r="EZ2" s="168"/>
      <c r="FA2" s="168"/>
      <c r="FB2" s="168"/>
      <c r="FC2" s="168"/>
      <c r="FD2" s="168"/>
      <c r="FE2">
        <f>IF(FH2&lt;&gt;0,FE1+1,"")</f>
        <v>2</v>
      </c>
      <c r="FF2" s="105">
        <f>GETPIVOTDATA("[Measures].[ABSB2ME]",A_Budget2!$AF$32,"[DataBudget2].[Cat_2]","[DataBudget2].[Cat_2].&amp;["&amp;ControlChart_Budget2!FH1&amp;"]")</f>
        <v>4.0000000000000001E-3</v>
      </c>
      <c r="FG2" s="172">
        <f>GETPIVOTDATA("[Measures].[ABSB2LM]",A_Budget2!$AF$32,"[DataBudget2].[Cat_2]","[DataBudget2].[Cat_2].&amp;["&amp;ControlChart_Budget2!FH1&amp;"]")</f>
        <v>4.0000000000000001E-3</v>
      </c>
      <c r="FH2" t="str">
        <f>A_Budget2!AF34</f>
        <v>Category2</v>
      </c>
      <c r="FI2" s="174">
        <f t="shared" ref="FI2:FI18" si="6">IFERROR(FF3/$FF$1,0)</f>
        <v>1</v>
      </c>
      <c r="FJ2" s="175">
        <f t="shared" ref="FJ2:FJ18" si="7">IFERROR(FG3/$FG$1,0)</f>
        <v>1</v>
      </c>
      <c r="FK2" t="str" cm="1">
        <f t="array" ref="FK2">IFERROR(INDEX($FH$1:$FH$18,SMALL(IF($FI$1:$FI$18=FL2,ROW($FI$1:$FI$18)),COUNTIF($FL$1:FL2,FL2))),"")</f>
        <v>Category2</v>
      </c>
      <c r="FL2" s="174">
        <f t="shared" ref="FL2:FL18" si="8">IFERROR(LARGE($FI$1:$FI$18,FE2),0)</f>
        <v>1</v>
      </c>
      <c r="FM2" s="176">
        <f t="shared" ref="FM2:FM18" si="9">IFERROR(VLOOKUP(FK2,$FH$1:$FJ$18,3,FALSE),"")</f>
        <v>1</v>
      </c>
      <c r="FN2" t="str" cm="1">
        <f t="array" ref="FN2">_xlfn.IFS(FK2=0,"",FK2=$A$1,"",FK2&lt;&gt;"",FK2)</f>
        <v>Category2</v>
      </c>
      <c r="FO2">
        <f t="shared" ref="FO2:FO18" si="10">IF(FN2&lt;&gt;"",-5%,"")</f>
        <v>-0.05</v>
      </c>
      <c r="FP2" s="177">
        <f t="shared" ref="FP2:FP18" si="11">IF(FN2&lt;&gt;"",FL2,"")</f>
        <v>1</v>
      </c>
      <c r="FQ2" s="178">
        <f t="shared" ref="FQ2:FQ18" si="12">IF(FN2&lt;&gt;"",FM2,"")</f>
        <v>1</v>
      </c>
    </row>
    <row r="3" spans="1:173" x14ac:dyDescent="0.25">
      <c r="AB3" s="35" t="s">
        <v>162</v>
      </c>
      <c r="AC3" s="35">
        <f>IF(I22&gt;1,1,0)</f>
        <v>1</v>
      </c>
      <c r="AD3" s="36" t="s">
        <v>163</v>
      </c>
      <c r="AE3" s="36">
        <f>IF(I22&gt;2,1,0)</f>
        <v>0</v>
      </c>
      <c r="AF3" s="37" t="s">
        <v>164</v>
      </c>
      <c r="AG3" s="37">
        <f>IF(I22&gt;3,1,0)</f>
        <v>0</v>
      </c>
      <c r="AH3" s="198" t="s">
        <v>165</v>
      </c>
      <c r="AI3" s="198">
        <f>IF(I22&gt;4,1,0)</f>
        <v>0</v>
      </c>
      <c r="AJ3" s="204">
        <f>IF(I22-1&lt;0,0,I22-1)</f>
        <v>1</v>
      </c>
      <c r="AK3" s="123" t="str">
        <f>$J$4</f>
        <v>Category1</v>
      </c>
      <c r="AL3" s="123" t="str">
        <f>$L$4</f>
        <v>Category2</v>
      </c>
      <c r="AM3" s="123" t="str">
        <f>$N$4</f>
        <v>Category3</v>
      </c>
      <c r="AN3" s="123" t="str">
        <f>$P$4</f>
        <v>Category4</v>
      </c>
      <c r="AO3" s="123" t="str">
        <f>$R$4</f>
        <v>Category5</v>
      </c>
      <c r="AP3" s="123" t="str">
        <f>$T$4</f>
        <v>Category6</v>
      </c>
      <c r="AQ3" s="123" t="str">
        <f>$V$4</f>
        <v>Category7</v>
      </c>
      <c r="AR3" s="123" t="s">
        <v>144</v>
      </c>
      <c r="AT3" s="8" t="str">
        <f>AK3</f>
        <v>Category1</v>
      </c>
      <c r="AU3" s="9" cm="1">
        <f t="array" aca="1" ref="AU3:AU6" ca="1">INDIRECT(AU2)</f>
        <v>11</v>
      </c>
      <c r="AV3" s="9" cm="1">
        <f t="array" aca="1" ref="AV3:AV6" ca="1">INDIRECT(AV2)</f>
        <v>2025</v>
      </c>
      <c r="AW3" s="9" t="str" cm="1">
        <f t="array" aca="1" ref="AW3:AW6" ca="1">INDIRECT(AW2)</f>
        <v>Qtr1</v>
      </c>
      <c r="AX3" s="127">
        <f>J17</f>
        <v>2E-3</v>
      </c>
      <c r="AY3" s="129">
        <f>ABS(AK2)</f>
        <v>2.0000000000000001E-4</v>
      </c>
      <c r="AZ3" s="9"/>
      <c r="BA3" s="180">
        <f>IFERROR(AY3+AZ3,NA())</f>
        <v>2.0000000000000001E-4</v>
      </c>
      <c r="BB3" s="9"/>
      <c r="BC3" s="133">
        <f>IF(BB3-BA3&lt;0,0,BB3-BA3)</f>
        <v>0</v>
      </c>
      <c r="BD3" s="130">
        <f>BC3+AX3</f>
        <v>2E-3</v>
      </c>
      <c r="BE3" s="130">
        <f>IF(BD3-BA3&lt;0,0,BD3-BA3)</f>
        <v>1.8E-3</v>
      </c>
      <c r="BF3" s="131">
        <f>BE3/BD3</f>
        <v>0.89999999999999991</v>
      </c>
      <c r="BG3" s="126">
        <f>IFERROR((0.1*BD3)/BD3,NA())</f>
        <v>0.1</v>
      </c>
      <c r="BH3" s="126">
        <f>IFERROR((0.1*BD3)/BD3,NA())</f>
        <v>0.1</v>
      </c>
      <c r="BI3" s="126">
        <f>IFERROR((0.2*BD3)/BD3,NA())</f>
        <v>0.2</v>
      </c>
      <c r="BJ3" s="131">
        <f>IFERROR(IF($AT$4&gt;1,0,BF3),NA())</f>
        <v>0.89999999999999991</v>
      </c>
      <c r="BK3" s="131">
        <f>IFERROR(IF($AT$4&gt;1,BF3,0),NA())</f>
        <v>0</v>
      </c>
      <c r="BL3" s="128">
        <f>IF(BK3&gt;0,0,BC3/AX3)</f>
        <v>0</v>
      </c>
      <c r="BM3" s="135">
        <f>IF((BD3-BE3)=0,0,(BD3-BE3)/BD3)</f>
        <v>0.10000000000000005</v>
      </c>
      <c r="BN3" s="126">
        <f>IFERROR(BF3,"")</f>
        <v>0.89999999999999991</v>
      </c>
      <c r="BO3" s="8">
        <f>IFERROR(BA3,"")</f>
        <v>2.0000000000000001E-4</v>
      </c>
      <c r="BP3" s="8">
        <f>IFERROR(AX3,"")</f>
        <v>2E-3</v>
      </c>
      <c r="BQ3" s="117"/>
      <c r="CL3" t="str">
        <f>AK$3</f>
        <v>Category1</v>
      </c>
      <c r="CM3" t="str">
        <f t="shared" ref="CM3:CR3" si="13">AL$3</f>
        <v>Category2</v>
      </c>
      <c r="CN3" t="str">
        <f t="shared" si="13"/>
        <v>Category3</v>
      </c>
      <c r="CO3" t="str">
        <f t="shared" si="13"/>
        <v>Category4</v>
      </c>
      <c r="CP3" t="str">
        <f t="shared" si="13"/>
        <v>Category5</v>
      </c>
      <c r="CQ3" t="str">
        <f t="shared" si="13"/>
        <v>Category6</v>
      </c>
      <c r="CR3" t="str">
        <f t="shared" si="13"/>
        <v>Category7</v>
      </c>
      <c r="CS3" s="5" t="s">
        <v>166</v>
      </c>
      <c r="CU3" s="114"/>
      <c r="CV3" s="114"/>
      <c r="CW3" s="114"/>
      <c r="CX3" s="5"/>
      <c r="CY3" s="9"/>
      <c r="CZ3" s="9"/>
      <c r="DA3" s="9" t="s">
        <v>167</v>
      </c>
      <c r="DB3" s="9">
        <f>IF(DB1&gt;0,DB1,0)</f>
        <v>0</v>
      </c>
      <c r="DC3" s="5"/>
      <c r="DN3" s="9" t="str">
        <f t="shared" ref="DN3:DN16" si="14">IFERROR(IF(DO3&lt;&gt;"",DN2+1,""),"")</f>
        <v/>
      </c>
      <c r="DO3" s="9" t="str" cm="1">
        <f t="array" ref="DO3">_xlfn.IFS(RIGHT(A_Budget2!AJ11,5)="Total","",A_Budget2!AJ11="","",A_Budget2!AJ11&lt;&gt;"",A_Budget2!AJ11)</f>
        <v/>
      </c>
      <c r="DP3" s="9" t="str">
        <f>IFERROR(GETPIVOTDATA("[Measures].["&amp;A_Budget2!$AK$7&amp;"]",A_Budget2!$AJ$7,"[DataBudget2].[Cat_2]","[DataBudget2].[Cat_2].&amp;["&amp;A_Budget2!$AJ$8&amp;"]","[DataBudget2].[Cat_3]","[DataBudget2].[Cat_3].&amp;["&amp;DO3&amp;"]")/GETPIVOTDATA("[Measures].[Sum of Montant_Extrap 4]",A_Budget2!$AF$7,"[DataBudget2].[Cat_2]","[DataBudget2].[Cat_2].&amp;["&amp;WB_Data!$J$2&amp;"]"),"")</f>
        <v/>
      </c>
      <c r="DQ3" s="9" t="str" cm="1">
        <f t="array" ref="DQ3">IFERROR(INDEX($DO$1:$DO$16,SMALL(IF($DP$1:$DP$16=DR3,ROW($DP$1:$DP$16)),COUNTIF($DR$1:DR3,DR3))),"")</f>
        <v/>
      </c>
      <c r="DR3" s="104" t="str">
        <f t="shared" si="1"/>
        <v/>
      </c>
      <c r="DS3" s="103" t="str">
        <f>IFERROR(GETPIVOTDATA("[Measures].["&amp;A_Budget2!$AK$7&amp;"]",A_Budget2!$AJ$7,"[DataBudget2].[Cat_2]","[DataBudget2].[Cat_2].&amp;["&amp;A_Budget2!$AJ$8&amp;"]","[DataBudget2].[Cat_3]","[DataBudget2].[Cat_3].&amp;["&amp;DQ3&amp;"]"),"")</f>
        <v/>
      </c>
      <c r="DT3" s="154" t="str">
        <f>IFERROR(GETPIVOTDATA("[Measures].["&amp;A_Budget2!$AL$7&amp;"]",A_Budget2!$AJ$7,"[DataBudget2].[Cat_2]","[DataBudget2].[Cat_2].&amp;["&amp;A_Budget2!$AJ$8&amp;"]","[DataBudget2].[Cat_3]","[DataBudget2].[Cat_3].&amp;["&amp;DQ3&amp;"]")/GETPIVOTDATA("[Measures].[Sum of Last_Montant 2]",A_Budget2!$AF$7,"[DataBudget2].[Cat_2]","[DataBudget2].[Cat_2].&amp;["&amp;WB_Data!$J$2&amp;"]"),"")</f>
        <v/>
      </c>
      <c r="DU3" s="155" t="str">
        <f>IFERROR(GETPIVOTDATA("[Measures].["&amp;A_Budget2!$AL$7&amp;"]",A_Budget2!$AJ$7,"[DataBudget2].[Cat_2]","[DataBudget2].[Cat_2].&amp;["&amp;A_Budget2!$AJ$8&amp;"]","[DataBudget2].[Cat_3]","[DataBudget2].[Cat_3].&amp;["&amp;DQ3&amp;"]"),"")</f>
        <v/>
      </c>
      <c r="DV3" s="9" t="str">
        <f t="shared" si="0"/>
        <v/>
      </c>
      <c r="DW3" s="9"/>
      <c r="DX3" s="9"/>
      <c r="DY3" s="97" t="str">
        <f t="shared" ref="DY3:DY16" si="15">DN3</f>
        <v/>
      </c>
      <c r="DZ3" s="9" t="str" cm="1">
        <f t="array" ref="DZ3">_xlfn.IFS(RIGHT(A_Budget2!AJ11,5)="Total","",A_Budget2!AJ11="","",A_Budget2!AJ11&lt;&gt;"",A_Budget2!AJ11)</f>
        <v/>
      </c>
      <c r="EA3" s="9" t="str">
        <f>IFERROR(GETPIVOTDATA("[Measures].["&amp;A_Budget2!$AL$7&amp;"]",A_Budget2!$AJ$7,"[DataBudget2].[Cat_2]","[DataBudget2].[Cat_2].&amp;["&amp;A_Budget2!$AJ$8&amp;"]","[DataBudget2].[Cat_3]","[DataBudget2].[Cat_3].&amp;["&amp;DZ3&amp;"]")/GETPIVOTDATA("[Measures].[Sum of Last_Montant 2]",A_Budget2!$AF$7,"[DataBudget2].[Cat_2]","[DataBudget2].[Cat_2].&amp;["&amp;WB_Data!$J$2&amp;"]"),"")</f>
        <v/>
      </c>
      <c r="EB3" s="9" t="str" cm="1">
        <f t="array" ref="EB3">IFERROR(INDEX($DZ$1:$DZ$16,SMALL(IF($EA$1:$EA$16=EC3,ROW($EA$1:$EA$16)),COUNTIF($EC$1:EC3,EC3))),"")</f>
        <v/>
      </c>
      <c r="EC3" s="154" t="str">
        <f t="shared" si="2"/>
        <v/>
      </c>
      <c r="ED3" s="154" t="str">
        <f>IFERROR(GETPIVOTDATA("[Measures].["&amp;A_Budget2!$AL$7&amp;"]",A_Budget2!$AJ$7,"[DataBudget2].[Cat_2]","[DataBudget2].[Cat_2].&amp;["&amp;A_Budget2!$AJ$8&amp;"]","[DataBudget2].[Cat_3]","[DataBudget2].[Cat_3].&amp;["&amp;EB3&amp;"]"),"")</f>
        <v/>
      </c>
      <c r="EE3" s="139" t="str">
        <f>IFERROR(GETPIVOTDATA("[Measures].["&amp;A_Budget2!$AK$7&amp;"]",A_Budget2!$AJ$7,"[DataBudget2].[Cat_2]","[DataBudget2].[Cat_2].&amp;["&amp;A_Budget2!$AJ$8&amp;"]","[DataBudget2].[Cat_3]","[DataBudget2].[Cat_3].&amp;["&amp;EB3&amp;"]")/GETPIVOTDATA("[Measures].[Sum of Montant_Extrap 4]",A_Budget2!$AF$7,"[DataBudget2].[Cat_2]","[DataBudget2].[Cat_2].&amp;["&amp;WB_Data!$J$2&amp;"]"),"")</f>
        <v/>
      </c>
      <c r="EF3" s="105" t="str">
        <f>IFERROR(GETPIVOTDATA("[Measures].["&amp;A_Budget2!$AK$7&amp;"]",A_Budget2!$AJ$7,"[DataBudget2].[Cat_2]","[DataBudget2].[Cat_2].&amp;["&amp;A_Budget2!$AJ$8&amp;"]","[DataBudget2].[Cat_3]","[DataBudget2].[Cat_3].&amp;["&amp;EB3&amp;"]"),"")</f>
        <v/>
      </c>
      <c r="EL3" s="166">
        <f ca="1">IFERROR(GETPIVOTDATA("[Measures].["&amp;A_Budget2!$AS$7&amp;"]",A_Budget2!$AQ$7,"[DataBudget2].[Cat_3]","[DataBudget2].[Cat_3].&amp;["&amp;ControlChart_Budget2!$ER$1&amp;"]","[DataBudget2].[Mois (Month)]","[DataBudget2].[Mois (Month)].&amp;["&amp;EV3&amp;"]","[DataBudget2].[Mois (Year)]","[DataBudget2].[Mois (Year)].&amp;["&amp;$EL$1&amp;"]"),0)</f>
        <v>2E-3</v>
      </c>
      <c r="EM3" s="165">
        <f ca="1">IFERROR(IF($EN$1=1,0,GETPIVOTDATA("[Measures].["&amp;A_Budget2!$AS$7&amp;"]",A_Budget2!$AQ$7,"[DataBudget2].[Cat_3]","[DataBudget2].[Cat_3].&amp;["&amp;ControlChart_Budget2!$ER$1&amp;"]","[DataBudget2].[Mois (Month)]","[DataBudget2].[Mois (Month)].&amp;["&amp;EV3&amp;"]","[DataBudget2].[Mois (Year)]","[DataBudget2].[Mois (Year)].&amp;["&amp;$EM$1&amp;"]")),0)</f>
        <v>0</v>
      </c>
      <c r="EN3" s="139">
        <f ca="1">IFERROR(GETPIVOTDATA("[Measures].["&amp;A_Budget2!$AT$7&amp;"]",A_Budget2!$AQ$7,"[DataBudget2].[Cat_3]","[DataBudget2].[Cat_3].&amp;["&amp;ControlChart_Budget2!$ER$1&amp;"]","[DataBudget2].[Mois (Month)]","[DataBudget2].[Mois (Month)].&amp;["&amp;EV3&amp;"]","[DataBudget2].[Mois (Year)]","[DataBudget2].[Mois (Year)].&amp;["&amp;$EL$1&amp;"]"),0)</f>
        <v>2E-3</v>
      </c>
      <c r="EO3" s="139">
        <f ca="1">IFERROR(IF($EN$1=1,0,GETPIVOTDATA("[Measures].["&amp;A_Budget2!$AT$7&amp;"]",A_Budget2!$AQ$7,"[DataBudget2].[Cat_3]","[DataBudget2].[Cat_3].&amp;["&amp;ControlChart_Budget2!$ER$1&amp;"]","[DataBudget2].[Mois (Month)]","[DataBudget2].[Mois (Month)].&amp;["&amp;EV3&amp;"]","[DataBudget2].[Mois (Year)]","[DataBudget2].[Mois (Year)].&amp;["&amp;$EM$1&amp;"]")),0)</f>
        <v>0</v>
      </c>
      <c r="EP3" s="167">
        <f ca="1">IFERROR(GETPIVOTDATA("[Measures].["&amp;A_Budget2!$AU$7&amp;"]",A_Budget2!$AQ$7,"[DataBudget2].[Cat_3]","[DataBudget2].[Cat_3].&amp;["&amp;ControlChart_Budget2!$ER$1&amp;"]","[DataBudget2].[Mois (Month)]","[DataBudget2].[Mois (Month)].&amp;["&amp;EV3&amp;"]","[DataBudget2].[Mois (Year)]","[DataBudget2].[Mois (Year)].&amp;["&amp;$EL$1&amp;"]"),0)</f>
        <v>2.0000000000000001E-4</v>
      </c>
      <c r="EQ3" s="167">
        <f ca="1">IFERROR(IF($EN$1=1,0,GETPIVOTDATA("[Measures].["&amp;A_Budget2!$AU$7&amp;"]",A_Budget2!$AQ$7,"[DataBudget2].[Cat_3]","[DataBudget2].[Cat_3].&amp;["&amp;ControlChart_Budget2!$ER$1&amp;"]","[DataBudget2].[Mois (Month)]","[DataBudget2].[Mois (Month)].&amp;["&amp;EV3&amp;"]","[DataBudget2].[Mois (Year)]","[DataBudget2].[Mois (Year)].&amp;["&amp;$EM$1&amp;"]")),0)</f>
        <v>0</v>
      </c>
      <c r="ER3" s="9" t="str">
        <f>IFERROR(IF(A_Budget2!AR10=0,"",A_Budget2!AR10),"")</f>
        <v>Feb</v>
      </c>
      <c r="ES3" s="312">
        <f t="shared" ca="1" si="3"/>
        <v>2.0000000000000001E-4</v>
      </c>
      <c r="ET3" s="313">
        <f t="shared" ca="1" si="4"/>
        <v>2E-3</v>
      </c>
      <c r="EU3" s="314">
        <f t="shared" ca="1" si="5"/>
        <v>2E-3</v>
      </c>
      <c r="EV3" t="str">
        <f ca="1">IFERROR(VLOOKUP(ER3,Library!$R$18:$S$29,2,FALSE),Library!S19)</f>
        <v>févr</v>
      </c>
      <c r="EY3" s="168"/>
      <c r="EZ3" s="168"/>
      <c r="FA3" s="168"/>
      <c r="FB3" s="168"/>
      <c r="FC3" s="168"/>
      <c r="FD3" s="168"/>
      <c r="FE3">
        <f t="shared" ref="FE3:FE19" si="16">IF(FH3&lt;&gt;0,FE2+1,"")</f>
        <v>3</v>
      </c>
      <c r="FF3" s="105">
        <f>GETPIVOTDATA("[Measures].[ABSB2ME]",A_Budget2!$AF$32,"[DataBudget2].[Cat_2]","[DataBudget2].[Cat_2].&amp;["&amp;ControlChart_Budget2!FH2&amp;"]")</f>
        <v>4.0000000000000001E-3</v>
      </c>
      <c r="FG3" s="172">
        <f>GETPIVOTDATA("[Measures].[ABSB2LM]",A_Budget2!$AF$32,"[DataBudget2].[Cat_2]","[DataBudget2].[Cat_2].&amp;["&amp;ControlChart_Budget2!FH2&amp;"]")</f>
        <v>4.0000000000000001E-3</v>
      </c>
      <c r="FH3" t="str">
        <f>A_Budget2!AF35</f>
        <v>Category3</v>
      </c>
      <c r="FI3" s="174">
        <f t="shared" si="6"/>
        <v>1</v>
      </c>
      <c r="FJ3" s="175">
        <f t="shared" si="7"/>
        <v>1</v>
      </c>
      <c r="FK3" t="str" cm="1">
        <f t="array" ref="FK3">IFERROR(INDEX($FH$1:$FH$18,SMALL(IF($FI$1:$FI$18=FL3,ROW($FI$1:$FI$18)),COUNTIF($FL$1:FL3,FL3))),"")</f>
        <v>Category3</v>
      </c>
      <c r="FL3" s="174">
        <f t="shared" si="8"/>
        <v>1</v>
      </c>
      <c r="FM3" s="176">
        <f t="shared" si="9"/>
        <v>1</v>
      </c>
      <c r="FN3" t="str" cm="1">
        <f t="array" ref="FN3">_xlfn.IFS(FK3=0,"",FK3=$A$1,"",FK3&lt;&gt;"",FK3)</f>
        <v>Category3</v>
      </c>
      <c r="FO3">
        <f t="shared" si="10"/>
        <v>-0.05</v>
      </c>
      <c r="FP3" s="177">
        <f t="shared" si="11"/>
        <v>1</v>
      </c>
      <c r="FQ3" s="178">
        <f t="shared" si="12"/>
        <v>1</v>
      </c>
    </row>
    <row r="4" spans="1:173" x14ac:dyDescent="0.25">
      <c r="C4" s="118" t="str">
        <f>A_Budget2!T9</f>
        <v>Category1</v>
      </c>
      <c r="D4" s="116">
        <f>GETPIVOTDATA("[Measures].[ABSB2ME]",A_Budget2!$T$8,"[DataBudget2].[Cat_2]","[DataBudget2].[Cat_2].&amp;["&amp;ControlChart_Budget2!C4&amp;"]")</f>
        <v>0.14285714285714277</v>
      </c>
      <c r="E4" s="212">
        <v>1</v>
      </c>
      <c r="I4" s="5" cm="1">
        <f t="array" ref="I4:Y12">A_Budget2!A51:'A_Budget2'!Q59</f>
        <v>0</v>
      </c>
      <c r="J4" s="5" t="str">
        <v>Category1</v>
      </c>
      <c r="K4" s="5">
        <v>0</v>
      </c>
      <c r="L4" s="5" t="str">
        <v>Category2</v>
      </c>
      <c r="M4" s="5">
        <v>0</v>
      </c>
      <c r="N4" s="5" t="str">
        <v>Category3</v>
      </c>
      <c r="O4" s="5">
        <v>0</v>
      </c>
      <c r="P4" s="5" t="str">
        <v>Category4</v>
      </c>
      <c r="Q4" s="5">
        <v>0</v>
      </c>
      <c r="R4" s="5" t="str">
        <v>Category5</v>
      </c>
      <c r="S4" s="5">
        <v>0</v>
      </c>
      <c r="T4" s="5" t="str">
        <v>Category6</v>
      </c>
      <c r="U4" s="5">
        <v>0</v>
      </c>
      <c r="V4" s="5" t="str">
        <v>Category7</v>
      </c>
      <c r="W4" s="5">
        <v>0</v>
      </c>
      <c r="X4" s="5" t="str">
        <v>Total ABSB2ME</v>
      </c>
      <c r="Y4" s="5" t="str">
        <v>Total ABSB2M</v>
      </c>
      <c r="AA4">
        <f>IF(ISBLANK(E4),"",E4)</f>
        <v>1</v>
      </c>
      <c r="AB4" s="195">
        <f>IF(OR(AA4=1,AA4=3),AK$42,0)</f>
        <v>2E-3</v>
      </c>
      <c r="AC4" s="196">
        <f>IF(OR(AA4=1,AA4=3),0,IF(AJ4&lt;&gt;"",AK$42/$AC$15,0))</f>
        <v>0</v>
      </c>
      <c r="AD4" s="200" t="str">
        <f>IF(OR($AA4=1,AA4=3),AK$81,0)</f>
        <v/>
      </c>
      <c r="AE4" s="201">
        <f>IF(OR($AA4=1,AA4=3),0,IF($AJ4&lt;&gt;"",AK$81/AE$15,0))</f>
        <v>0</v>
      </c>
      <c r="AF4" s="37">
        <f>IF(OR($AA4=1,AA4=3),AK$117,0)</f>
        <v>0</v>
      </c>
      <c r="AG4" s="197">
        <f>IF(OR($AA4=1,AA4=3),0,IF($AJ4&lt;&gt;"",AK$117/AG$15,0))</f>
        <v>0</v>
      </c>
      <c r="AH4" s="199">
        <f>IF(OR($AA4=1,AA4=3),AK$150,0)</f>
        <v>0</v>
      </c>
      <c r="AI4" s="199">
        <f>IF(OR($AA4=1,AA4=3),0,IF($AJ4&lt;&gt;"",AK$150/AI$15,0))</f>
        <v>0</v>
      </c>
      <c r="AJ4" s="120" t="str">
        <f>IF(ISBLANK($C$4),"",$C$4)</f>
        <v>Category1</v>
      </c>
      <c r="AK4" s="120">
        <f>IFERROR(IF($AK$2&gt;$AK$1,IF(AND(AJ4=$AK$3,AA4=3),($AK$2-$AK$1),IF(AND(AA4=2,$AA$4&lt;&gt;3),$AK$2-$AK$1)),0),0)</f>
        <v>0</v>
      </c>
      <c r="AL4" s="120">
        <f>IFERROR(IF($AL$2&gt;$AL$1,IF(AND(AJ4=$AL$3,AA4=3),($AL$2-$AL$1),IF(AND(AA4=2,$AA$5&lt;&gt;3),$AL$2-$AL$1)),0),0)</f>
        <v>0</v>
      </c>
      <c r="AM4" s="120">
        <f>IFERROR(IF($AM$2&gt;$AM$1,IF(AND(AJ4=$AM$3,AA4=3),($AM$2-$AM$1),IF(AND(AA4=2,$AA$6&lt;&gt;3),$AM$2-$AM$1)),0),0)</f>
        <v>0</v>
      </c>
      <c r="AN4" s="120">
        <f>IFERROR(IF($AN$2&gt;$AN$1,IF(AND(AJ4=$AN$3,AA4=3),($AN$2-$AN$1),IF(AND(AA4=2,$AA$7&lt;&gt;3),$AN$2-$AN$1)),0),0)</f>
        <v>0</v>
      </c>
      <c r="AO4" s="120">
        <f>IFERROR(IF($AO$2&gt;$AO$1,IF(AND(AJ4=$AO$3,AA4=3),($AO$2-$AO$1),IF(AND(AA4=2,$AA$8&lt;&gt;3),$AO$2-$AO$1)),0),0)</f>
        <v>0</v>
      </c>
      <c r="AP4" s="120">
        <f>IFERROR(IF($AP$2&gt;$AP$1,IF(AND(AJ4=$AP$3,AA4=3),($AP$2-$AP$1),IF(AND(AA4=2,$AA$9&lt;&gt;3),$AP$2-$AP$1)),0),0)</f>
        <v>0</v>
      </c>
      <c r="AQ4" s="120">
        <f>IFERROR(IF($AQ$2&gt;$AQ$1,IF(AND(AJ4=$AQ$3,AA4=3),($AQ$2-$AQ$1),IF(AND(AA4=2,$AA$10&lt;&gt;3),$AQ$2-$AQ$1)),0),0)</f>
        <v>0</v>
      </c>
      <c r="AR4" s="202">
        <f>SUM(AK4:AQ4)</f>
        <v>0</v>
      </c>
      <c r="AT4" s="193">
        <v>1</v>
      </c>
      <c r="AU4" s="9">
        <f ca="1"/>
        <v>21</v>
      </c>
      <c r="AV4" s="9">
        <f ca="1"/>
        <v>2026</v>
      </c>
      <c r="AW4" s="9" t="str">
        <f ca="1"/>
        <v>Qtr1</v>
      </c>
      <c r="AX4" s="127">
        <f>J18</f>
        <v>2E-3</v>
      </c>
      <c r="AY4" s="129">
        <f>ABS(AK43)</f>
        <v>0</v>
      </c>
      <c r="AZ4" s="132">
        <f>IFERROR(IF(AND($AT$4&gt;=2,ABS($AK$41)&lt;0),ABS($AK$41),0),NA())</f>
        <v>0</v>
      </c>
      <c r="BA4" s="180">
        <f>IFERROR(AY4+AZ4,NA())</f>
        <v>0</v>
      </c>
      <c r="BB4" s="127">
        <f>IFERROR(IF(AND($AT$4&gt;=2,$AK$40&gt;0),$AK$40,0),NA())</f>
        <v>0</v>
      </c>
      <c r="BC4" s="133">
        <f>IF(BB4-BA4&lt;0,0,BB4-BA4)</f>
        <v>0</v>
      </c>
      <c r="BD4" s="130">
        <f>BC4+AX4</f>
        <v>2E-3</v>
      </c>
      <c r="BE4" s="130">
        <f>IF(BD4-BA4&lt;0,0,BD4-BA4)</f>
        <v>2E-3</v>
      </c>
      <c r="BF4" s="131">
        <f>BE4/BD4</f>
        <v>1</v>
      </c>
      <c r="BG4" s="126">
        <f>IFERROR((0.1*BD4)/BD4,NA())</f>
        <v>0.1</v>
      </c>
      <c r="BH4" s="126">
        <f>IFERROR((0.1*BD4)/BD4,NA())</f>
        <v>0.1</v>
      </c>
      <c r="BI4" s="126">
        <f>IFERROR((0.2*BD4)/BD4,NA())</f>
        <v>0.2</v>
      </c>
      <c r="BJ4" s="131">
        <f>IFERROR(IF($AT$4&gt;2,0,BF4),NA())</f>
        <v>1</v>
      </c>
      <c r="BK4" s="131">
        <f>IFERROR(IF($AT$4&gt;2,BF4,0),NA())</f>
        <v>0</v>
      </c>
      <c r="BL4" s="128">
        <f>IF(BK4&gt;0,0,BC4/AX4)</f>
        <v>0</v>
      </c>
      <c r="BM4" s="135">
        <f>IF((BD4-BE4)=0,0,(BD4-BE4)/BD4)</f>
        <v>0</v>
      </c>
      <c r="BN4" s="126">
        <f>IFERROR(BF4,"")</f>
        <v>1</v>
      </c>
      <c r="BO4" s="8">
        <f>IFERROR(BA4,"")</f>
        <v>0</v>
      </c>
      <c r="BP4" s="8">
        <f>IFERROR(AX4,"")</f>
        <v>2E-3</v>
      </c>
      <c r="BQ4" s="8" t="str">
        <f>IFERROR(IF(BC4=0,"",BC4),"")</f>
        <v/>
      </c>
      <c r="CL4" s="139">
        <f>AK$2*(-1)</f>
        <v>-2.0000000000000001E-4</v>
      </c>
      <c r="CM4" s="139">
        <f t="shared" ref="CM4:CR4" si="17">AL$2*(-1)</f>
        <v>-2.0000000000000001E-4</v>
      </c>
      <c r="CN4" s="139">
        <f t="shared" si="17"/>
        <v>-2.0000000000000001E-4</v>
      </c>
      <c r="CO4" s="139">
        <f t="shared" si="17"/>
        <v>-2.0000000000000001E-4</v>
      </c>
      <c r="CP4" s="139">
        <f t="shared" si="17"/>
        <v>-2.0000000000000001E-4</v>
      </c>
      <c r="CQ4" s="139">
        <f t="shared" si="17"/>
        <v>-2.0000000000000001E-4</v>
      </c>
      <c r="CR4" s="139">
        <f t="shared" si="17"/>
        <v>-2.0000000000000001E-4</v>
      </c>
      <c r="CS4" s="31">
        <f>SUM($CL4:$CR4)</f>
        <v>-1.4000000000000002E-3</v>
      </c>
      <c r="CU4" s="83"/>
      <c r="CV4" s="5"/>
      <c r="CY4" s="9" t="s">
        <v>14</v>
      </c>
      <c r="CZ4" s="9" cm="1">
        <f t="array" ref="CZ4">IFERROR(_xlfn.IFS(DB3&gt;0,0%,(DB2/CZ5)&gt;1.4,1.4,DB2&gt;=0,(DB2/CZ5)),0)</f>
        <v>0.1</v>
      </c>
      <c r="DA4" s="9"/>
      <c r="DB4" s="9" t="s">
        <v>169</v>
      </c>
      <c r="DC4" s="5"/>
      <c r="DN4" s="9" t="str">
        <f t="shared" si="14"/>
        <v/>
      </c>
      <c r="DO4" s="9" t="str" cm="1">
        <f t="array" ref="DO4">_xlfn.IFS(RIGHT(A_Budget2!AJ12,5)="Total","",A_Budget2!AJ12="","",A_Budget2!AJ12&lt;&gt;"",A_Budget2!AJ12)</f>
        <v/>
      </c>
      <c r="DP4" s="9" t="str">
        <f>IFERROR(GETPIVOTDATA("[Measures].["&amp;A_Budget2!$AK$7&amp;"]",A_Budget2!$AJ$7,"[DataBudget2].[Cat_2]","[DataBudget2].[Cat_2].&amp;["&amp;A_Budget2!$AJ$8&amp;"]","[DataBudget2].[Cat_3]","[DataBudget2].[Cat_3].&amp;["&amp;DO4&amp;"]")/GETPIVOTDATA("[Measures].[Sum of Montant_Extrap 4]",A_Budget2!$AF$7,"[DataBudget2].[Cat_2]","[DataBudget2].[Cat_2].&amp;["&amp;WB_Data!$J$2&amp;"]"),"")</f>
        <v/>
      </c>
      <c r="DQ4" s="9" t="str" cm="1">
        <f t="array" ref="DQ4">IFERROR(INDEX($DO$1:$DO$16,SMALL(IF($DP$1:$DP$16=DR4,ROW($DP$1:$DP$16)),COUNTIF($DR$1:DR4,DR4))),"")</f>
        <v/>
      </c>
      <c r="DR4" s="104" t="str">
        <f t="shared" si="1"/>
        <v/>
      </c>
      <c r="DS4" s="103" t="str">
        <f>IFERROR(GETPIVOTDATA("[Measures].["&amp;A_Budget2!$AK$7&amp;"]",A_Budget2!$AJ$7,"[DataBudget2].[Cat_2]","[DataBudget2].[Cat_2].&amp;["&amp;A_Budget2!$AJ$8&amp;"]","[DataBudget2].[Cat_3]","[DataBudget2].[Cat_3].&amp;["&amp;DQ4&amp;"]"),"")</f>
        <v/>
      </c>
      <c r="DT4" s="154" t="str">
        <f>IFERROR(GETPIVOTDATA("[Measures].["&amp;A_Budget2!$AL$7&amp;"]",A_Budget2!$AJ$7,"[DataBudget2].[Cat_2]","[DataBudget2].[Cat_2].&amp;["&amp;A_Budget2!$AJ$8&amp;"]","[DataBudget2].[Cat_3]","[DataBudget2].[Cat_3].&amp;["&amp;DQ4&amp;"]")/GETPIVOTDATA("[Measures].[Sum of Last_Montant 2]",A_Budget2!$AF$7,"[DataBudget2].[Cat_2]","[DataBudget2].[Cat_2].&amp;["&amp;WB_Data!$J$2&amp;"]"),"")</f>
        <v/>
      </c>
      <c r="DU4" s="155" t="str">
        <f>IFERROR(GETPIVOTDATA("[Measures].["&amp;A_Budget2!$AL$7&amp;"]",A_Budget2!$AJ$7,"[DataBudget2].[Cat_2]","[DataBudget2].[Cat_2].&amp;["&amp;A_Budget2!$AJ$8&amp;"]","[DataBudget2].[Cat_3]","[DataBudget2].[Cat_3].&amp;["&amp;DQ4&amp;"]"),"")</f>
        <v/>
      </c>
      <c r="DV4" s="9" t="str">
        <f t="shared" si="0"/>
        <v/>
      </c>
      <c r="DW4" s="9"/>
      <c r="DX4" s="9"/>
      <c r="DY4" s="97" t="str">
        <f t="shared" si="15"/>
        <v/>
      </c>
      <c r="DZ4" s="9" t="str" cm="1">
        <f t="array" ref="DZ4">_xlfn.IFS(RIGHT(A_Budget2!AJ12,5)="Total","",A_Budget2!AJ12="","",A_Budget2!AJ12&lt;&gt;"",A_Budget2!AJ12)</f>
        <v/>
      </c>
      <c r="EA4" s="9" t="str">
        <f>IFERROR(GETPIVOTDATA("[Measures].["&amp;A_Budget2!$AL$7&amp;"]",A_Budget2!$AJ$7,"[DataBudget2].[Cat_2]","[DataBudget2].[Cat_2].&amp;["&amp;A_Budget2!$AJ$8&amp;"]","[DataBudget2].[Cat_3]","[DataBudget2].[Cat_3].&amp;["&amp;DZ4&amp;"]")/GETPIVOTDATA("[Measures].[Sum of Last_Montant 2]",A_Budget2!$AF$7,"[DataBudget2].[Cat_2]","[DataBudget2].[Cat_2].&amp;["&amp;WB_Data!$J$2&amp;"]"),"")</f>
        <v/>
      </c>
      <c r="EB4" s="9" t="str" cm="1">
        <f t="array" ref="EB4">IFERROR(INDEX($DZ$1:$DZ$16,SMALL(IF($EA$1:$EA$16=EC4,ROW($EA$1:$EA$16)),COUNTIF($EC$1:EC4,EC4))),"")</f>
        <v/>
      </c>
      <c r="EC4" s="154" t="str">
        <f t="shared" si="2"/>
        <v/>
      </c>
      <c r="ED4" s="154" t="str">
        <f>IFERROR(GETPIVOTDATA("[Measures].["&amp;A_Budget2!$AL$7&amp;"]",A_Budget2!$AJ$7,"[DataBudget2].[Cat_2]","[DataBudget2].[Cat_2].&amp;["&amp;A_Budget2!$AJ$8&amp;"]","[DataBudget2].[Cat_3]","[DataBudget2].[Cat_3].&amp;["&amp;EB4&amp;"]"),"")</f>
        <v/>
      </c>
      <c r="EE4" s="139" t="str">
        <f>IFERROR(GETPIVOTDATA("[Measures].["&amp;A_Budget2!$AK$7&amp;"]",A_Budget2!$AJ$7,"[DataBudget2].[Cat_2]","[DataBudget2].[Cat_2].&amp;["&amp;A_Budget2!$AJ$8&amp;"]","[DataBudget2].[Cat_3]","[DataBudget2].[Cat_3].&amp;["&amp;EB4&amp;"]")/GETPIVOTDATA("[Measures].[Sum of Montant_Extrap 4]",A_Budget2!$AF$7,"[DataBudget2].[Cat_2]","[DataBudget2].[Cat_2].&amp;["&amp;WB_Data!$J$2&amp;"]"),"")</f>
        <v/>
      </c>
      <c r="EF4" s="105" t="str">
        <f>IFERROR(GETPIVOTDATA("[Measures].["&amp;A_Budget2!$AK$7&amp;"]",A_Budget2!$AJ$7,"[DataBudget2].[Cat_2]","[DataBudget2].[Cat_2].&amp;["&amp;A_Budget2!$AJ$8&amp;"]","[DataBudget2].[Cat_3]","[DataBudget2].[Cat_3].&amp;["&amp;EB4&amp;"]"),"")</f>
        <v/>
      </c>
      <c r="EL4" s="166">
        <f ca="1">IFERROR(GETPIVOTDATA("[Measures].["&amp;A_Budget2!$AS$7&amp;"]",A_Budget2!$AQ$7,"[DataBudget2].[Cat_3]","[DataBudget2].[Cat_3].&amp;["&amp;ControlChart_Budget2!$ER$1&amp;"]","[DataBudget2].[Mois (Month)]","[DataBudget2].[Mois (Month)].&amp;["&amp;EV4&amp;"]","[DataBudget2].[Mois (Year)]","[DataBudget2].[Mois (Year)].&amp;["&amp;$EL$1&amp;"]"),0)</f>
        <v>0</v>
      </c>
      <c r="EM4" s="165">
        <f ca="1">IFERROR(IF($EN$1=1,0,GETPIVOTDATA("[Measures].["&amp;A_Budget2!$AS$7&amp;"]",A_Budget2!$AQ$7,"[DataBudget2].[Cat_3]","[DataBudget2].[Cat_3].&amp;["&amp;ControlChart_Budget2!$ER$1&amp;"]","[DataBudget2].[Mois (Month)]","[DataBudget2].[Mois (Month)].&amp;["&amp;EV4&amp;"]","[DataBudget2].[Mois (Year)]","[DataBudget2].[Mois (Year)].&amp;["&amp;$EM$1&amp;"]")),0)</f>
        <v>0</v>
      </c>
      <c r="EN4" s="139">
        <f ca="1">IFERROR(GETPIVOTDATA("[Measures].["&amp;A_Budget2!$AT$7&amp;"]",A_Budget2!$AQ$7,"[DataBudget2].[Cat_3]","[DataBudget2].[Cat_3].&amp;["&amp;ControlChart_Budget2!$ER$1&amp;"]","[DataBudget2].[Mois (Month)]","[DataBudget2].[Mois (Month)].&amp;["&amp;EV4&amp;"]","[DataBudget2].[Mois (Year)]","[DataBudget2].[Mois (Year)].&amp;["&amp;$EL$1&amp;"]"),0)</f>
        <v>0</v>
      </c>
      <c r="EO4" s="139">
        <f ca="1">IFERROR(IF($EN$1=1,0,GETPIVOTDATA("[Measures].["&amp;A_Budget2!$AT$7&amp;"]",A_Budget2!$AQ$7,"[DataBudget2].[Cat_3]","[DataBudget2].[Cat_3].&amp;["&amp;ControlChart_Budget2!$ER$1&amp;"]","[DataBudget2].[Mois (Month)]","[DataBudget2].[Mois (Month)].&amp;["&amp;EV4&amp;"]","[DataBudget2].[Mois (Year)]","[DataBudget2].[Mois (Year)].&amp;["&amp;$EM$1&amp;"]")),0)</f>
        <v>0</v>
      </c>
      <c r="EP4" s="167">
        <f ca="1">IFERROR(GETPIVOTDATA("[Measures].["&amp;A_Budget2!$AU$7&amp;"]",A_Budget2!$AQ$7,"[DataBudget2].[Cat_3]","[DataBudget2].[Cat_3].&amp;["&amp;ControlChart_Budget2!$ER$1&amp;"]","[DataBudget2].[Mois (Month)]","[DataBudget2].[Mois (Month)].&amp;["&amp;EV4&amp;"]","[DataBudget2].[Mois (Year)]","[DataBudget2].[Mois (Year)].&amp;["&amp;$EL$1&amp;"]"),0)</f>
        <v>0</v>
      </c>
      <c r="EQ4" s="167">
        <f ca="1">IFERROR(IF($EN$1=1,0,GETPIVOTDATA("[Measures].["&amp;A_Budget2!$AU$7&amp;"]",A_Budget2!$AQ$7,"[DataBudget2].[Cat_3]","[DataBudget2].[Cat_3].&amp;["&amp;ControlChart_Budget2!$ER$1&amp;"]","[DataBudget2].[Mois (Month)]","[DataBudget2].[Mois (Month)].&amp;["&amp;EV4&amp;"]","[DataBudget2].[Mois (Year)]","[DataBudget2].[Mois (Year)].&amp;["&amp;$EM$1&amp;"]")),0)</f>
        <v>0</v>
      </c>
      <c r="ER4" s="9" t="str">
        <f>IFERROR(IF(A_Budget2!AR11=0,"",A_Budget2!AR11),"")</f>
        <v/>
      </c>
      <c r="ES4" s="312">
        <f t="shared" ca="1" si="3"/>
        <v>0</v>
      </c>
      <c r="ET4" s="313">
        <f t="shared" ca="1" si="4"/>
        <v>0</v>
      </c>
      <c r="EU4" s="314">
        <f t="shared" ca="1" si="5"/>
        <v>0</v>
      </c>
      <c r="EV4" t="str">
        <f ca="1">IFERROR(VLOOKUP(ER4,Library!$R$18:$S$29,2,FALSE),Library!S20)</f>
        <v>mars</v>
      </c>
      <c r="EY4" s="168"/>
      <c r="EZ4" s="168"/>
      <c r="FA4" s="168"/>
      <c r="FB4" s="168"/>
      <c r="FC4" s="168"/>
      <c r="FD4" s="168"/>
      <c r="FE4">
        <f t="shared" si="16"/>
        <v>4</v>
      </c>
      <c r="FF4" s="105">
        <f>GETPIVOTDATA("[Measures].[ABSB2ME]",A_Budget2!$AF$32,"[DataBudget2].[Cat_2]","[DataBudget2].[Cat_2].&amp;["&amp;ControlChart_Budget2!FH3&amp;"]")</f>
        <v>4.0000000000000001E-3</v>
      </c>
      <c r="FG4" s="172">
        <f>GETPIVOTDATA("[Measures].[ABSB2LM]",A_Budget2!$AF$32,"[DataBudget2].[Cat_2]","[DataBudget2].[Cat_2].&amp;["&amp;ControlChart_Budget2!FH3&amp;"]")</f>
        <v>4.0000000000000001E-3</v>
      </c>
      <c r="FH4" t="str">
        <f>A_Budget2!AF36</f>
        <v>Category4</v>
      </c>
      <c r="FI4" s="174">
        <f t="shared" si="6"/>
        <v>1</v>
      </c>
      <c r="FJ4" s="175">
        <f t="shared" si="7"/>
        <v>1</v>
      </c>
      <c r="FK4" t="str" cm="1">
        <f t="array" ref="FK4">IFERROR(INDEX($FH$1:$FH$18,SMALL(IF($FI$1:$FI$18=FL4,ROW($FI$1:$FI$18)),COUNTIF($FL$1:FL4,FL4))),"")</f>
        <v>Category4</v>
      </c>
      <c r="FL4" s="174">
        <f t="shared" si="8"/>
        <v>1</v>
      </c>
      <c r="FM4" s="176">
        <f t="shared" si="9"/>
        <v>1</v>
      </c>
      <c r="FN4" t="str" cm="1">
        <f t="array" ref="FN4">_xlfn.IFS(FK4=0,"",FK4=$A$1,"",FK4&lt;&gt;"",FK4)</f>
        <v>Category4</v>
      </c>
      <c r="FO4">
        <f t="shared" si="10"/>
        <v>-0.05</v>
      </c>
      <c r="FP4" s="177">
        <f t="shared" si="11"/>
        <v>1</v>
      </c>
      <c r="FQ4" s="178">
        <f t="shared" si="12"/>
        <v>1</v>
      </c>
    </row>
    <row r="5" spans="1:173" x14ac:dyDescent="0.25">
      <c r="C5" s="118" t="str">
        <f>A_Budget2!T10</f>
        <v>Category2</v>
      </c>
      <c r="D5" s="116">
        <f>GETPIVOTDATA("[Measures].[ABSB2ME]",A_Budget2!$T$8,"[DataBudget2].[Cat_2]","[DataBudget2].[Cat_2].&amp;["&amp;ControlChart_Budget2!C5&amp;"]")</f>
        <v>0.14285714285714277</v>
      </c>
      <c r="E5" s="212">
        <v>2</v>
      </c>
      <c r="G5">
        <f>MAX(I6:I12)</f>
        <v>2026</v>
      </c>
      <c r="H5" s="5" t="s">
        <v>146</v>
      </c>
      <c r="I5" s="5" t="str">
        <v>Row Labels</v>
      </c>
      <c r="J5" s="5" t="str">
        <v>ABSB2ME</v>
      </c>
      <c r="K5" s="5" t="str">
        <v>ABSB2M</v>
      </c>
      <c r="L5" s="5" t="str">
        <v>ABSB2ME</v>
      </c>
      <c r="M5" s="5" t="str">
        <v>ABSB2M</v>
      </c>
      <c r="N5" s="5" t="str">
        <v>ABSB2ME</v>
      </c>
      <c r="O5" s="5" t="str">
        <v>ABSB2M</v>
      </c>
      <c r="P5" s="5" t="str">
        <v>ABSB2ME</v>
      </c>
      <c r="Q5" s="5" t="str">
        <v>ABSB2M</v>
      </c>
      <c r="R5" s="5" t="str">
        <v>ABSB2ME</v>
      </c>
      <c r="S5" s="5" t="str">
        <v>ABSB2M</v>
      </c>
      <c r="T5" s="5" t="str">
        <v>ABSB2ME</v>
      </c>
      <c r="U5" s="5" t="str">
        <v>ABSB2M</v>
      </c>
      <c r="V5" s="5" t="str">
        <v>ABSB2ME</v>
      </c>
      <c r="W5" s="5" t="str">
        <v>ABSB2M</v>
      </c>
      <c r="X5" s="5">
        <v>0</v>
      </c>
      <c r="Y5" s="5">
        <v>0</v>
      </c>
      <c r="AA5">
        <f t="shared" ref="AA5:AA14" si="18">IF(ISBLANK(E5),"",E5)</f>
        <v>2</v>
      </c>
      <c r="AB5" s="195">
        <f>IF(OR(AA5=1,AA5=3),AL$42,0)</f>
        <v>0</v>
      </c>
      <c r="AC5" s="196">
        <f>IF(OR(AA5=1,AA5=3),0,IF(AJ5&lt;&gt;"",AL$42/$AC$15,0))</f>
        <v>0.25</v>
      </c>
      <c r="AD5" s="200">
        <f>IF(OR($AA5=1,AA5=3),AL$81,0)</f>
        <v>0</v>
      </c>
      <c r="AE5" s="201" t="e">
        <f>IF(OR($AA5=1,AA5=3),0,IF($AJ5&lt;&gt;"",AL$81/AE$15,0))</f>
        <v>#VALUE!</v>
      </c>
      <c r="AF5" s="37">
        <f>IF(OR($AA5=1,AA5=3),AL$117,0)</f>
        <v>0</v>
      </c>
      <c r="AG5" s="197" t="e">
        <f>IF(OR($AA5=1,AA5=3),0,IF($AJ5&lt;&gt;"",AL$117/AG$15,0))</f>
        <v>#DIV/0!</v>
      </c>
      <c r="AH5" s="199">
        <f>IF(OR($AA5=1,AA5=3),AL$150,0)</f>
        <v>0</v>
      </c>
      <c r="AI5" s="199" t="e">
        <f>IF(OR($AA5=1,AA5=3),0,IF($AJ5&lt;&gt;"",AL$150/AI$15,0))</f>
        <v>#DIV/0!</v>
      </c>
      <c r="AJ5" s="120" t="str">
        <f>IF(ISBLANK($C$5),"",$C$5)</f>
        <v>Category2</v>
      </c>
      <c r="AK5" s="120">
        <f t="shared" ref="AK5:AK14" si="19">IFERROR(IF($AK$2&gt;$AK$1,IF(AND(AJ5=$AK$3,AA5=3),($AK$2-$AK$1),IF(AND(AA5=2,$AA$4&lt;&gt;3),$AK$2-$AK$1)),0),0)</f>
        <v>0</v>
      </c>
      <c r="AL5" s="120">
        <f t="shared" ref="AL5:AL14" si="20">IFERROR(IF($AL$2&gt;$AL$1,IF(AND(AJ5=$AL$3,AA5=3),($AL$2-$AL$1),IF(AND(AA5=2,$AA$5&lt;&gt;3),$AL$2-$AL$1)),0),0)</f>
        <v>0</v>
      </c>
      <c r="AM5" s="120">
        <f t="shared" ref="AM5:AM14" si="21">IFERROR(IF($AM$2&gt;$AM$1,IF(AND(AJ5=$AM$3,AA5=3),($AM$2-$AM$1),IF(AND(AA5=2,$AA$6&lt;&gt;3),$AM$2-$AM$1)),0),0)</f>
        <v>0</v>
      </c>
      <c r="AN5" s="120">
        <f t="shared" ref="AN5:AN14" si="22">IFERROR(IF($AN$2&gt;$AN$1,IF(AND(AJ5=$AN$3,AA5=3),($AN$2-$AN$1),IF(AND(AA5=2,$AA$7&lt;&gt;3),$AN$2-$AN$1)),0),0)</f>
        <v>0</v>
      </c>
      <c r="AO5" s="120">
        <f t="shared" ref="AO5:AO14" si="23">IFERROR(IF($AO$2&gt;$AO$1,IF(AND(AJ5=$AO$3,AA5=3),($AO$2-$AO$1),IF(AND(AA5=2,$AA$8&lt;&gt;3),$AO$2-$AO$1)),0),0)</f>
        <v>0</v>
      </c>
      <c r="AP5" s="120">
        <f t="shared" ref="AP5:AP14" si="24">IFERROR(IF($AP$2&gt;$AP$1,IF(AND(AJ5=$AP$3,AA5=3),($AP$2-$AP$1),IF(AND(AA5=2,$AA$9&lt;&gt;3),$AP$2-$AP$1)),0),0)</f>
        <v>0</v>
      </c>
      <c r="AQ5" s="120">
        <f t="shared" ref="AQ5:AQ14" si="25">IFERROR(IF($AQ$2&gt;$AQ$1,IF(AND(AJ5=$AQ$3,AA5=3),($AQ$2-$AQ$1),IF(AND(AA5=2,$AA$10&lt;&gt;3),$AQ$2-$AQ$1)),0),0)</f>
        <v>0</v>
      </c>
      <c r="AR5" s="202">
        <f t="shared" ref="AR5:AR14" si="26">SUM(AK5:AQ5)</f>
        <v>0</v>
      </c>
      <c r="AT5" s="8"/>
      <c r="AU5" s="9">
        <f ca="1"/>
        <v>22</v>
      </c>
      <c r="AV5" s="9">
        <f ca="1"/>
        <v>2026</v>
      </c>
      <c r="AW5" s="9" t="str">
        <f ca="1"/>
        <v>Grand Total</v>
      </c>
      <c r="AX5" s="127" t="str">
        <f>J19</f>
        <v/>
      </c>
      <c r="AY5" s="129">
        <f>ABS(AK82)</f>
        <v>0</v>
      </c>
      <c r="AZ5" s="132">
        <f>IFERROR(IF(AND($AT$4&gt;=3,ABS($AK$80)&lt;0),ABS($AK$80),0),NA())</f>
        <v>0</v>
      </c>
      <c r="BA5" s="180">
        <f>IFERROR(AY5+AZ5,NA())</f>
        <v>0</v>
      </c>
      <c r="BB5" s="127">
        <f>IFERROR(IF(AND($AT$4&gt;=3,$AK$79&gt;0),$AK$79,0),NA())</f>
        <v>0</v>
      </c>
      <c r="BC5" s="133">
        <f>IF(BB5-BA5&lt;0,0,BB5-BA5)</f>
        <v>0</v>
      </c>
      <c r="BD5" s="130" t="e">
        <f>BC5+AX5</f>
        <v>#VALUE!</v>
      </c>
      <c r="BE5" s="130" t="e">
        <f>IF(BD5-BA5&lt;0,0,BD5-BA5)</f>
        <v>#VALUE!</v>
      </c>
      <c r="BF5" s="131" t="e">
        <f>BE5/BD5</f>
        <v>#VALUE!</v>
      </c>
      <c r="BG5" s="126" t="e">
        <f>IFERROR((0.1*BD5)/BD5,NA())</f>
        <v>#N/A</v>
      </c>
      <c r="BH5" s="126" t="e">
        <f>IFERROR((0.1*BD5)/BD5,NA())</f>
        <v>#N/A</v>
      </c>
      <c r="BI5" s="126" t="e">
        <f>IFERROR((0.2*BD5)/BD5,NA())</f>
        <v>#N/A</v>
      </c>
      <c r="BJ5" s="131" t="e">
        <f>IFERROR(IF($AT$4&gt;3,0,BF5),NA())</f>
        <v>#N/A</v>
      </c>
      <c r="BK5" s="131">
        <f>IFERROR(IF($AT$4&gt;3,BF5,0),NA())</f>
        <v>0</v>
      </c>
      <c r="BL5" s="128" t="e">
        <f>IF(BK5&gt;0,0,BC5/AX5)</f>
        <v>#VALUE!</v>
      </c>
      <c r="BM5" s="135" t="e">
        <f>IF((BD5-BE5)=0,0,(BD5-BE5)/BD5)</f>
        <v>#VALUE!</v>
      </c>
      <c r="BN5" s="126" t="str">
        <f>IFERROR(BF5,"")</f>
        <v/>
      </c>
      <c r="BO5" s="8">
        <f>IFERROR(BA5,"")</f>
        <v>0</v>
      </c>
      <c r="BP5" s="8" t="str">
        <f>IFERROR(AX5,"")</f>
        <v/>
      </c>
      <c r="BQ5" s="8" t="str">
        <f>IFERROR(IF(BC5=0,"",BC5),"")</f>
        <v/>
      </c>
      <c r="CL5" s="139">
        <f>AK$33*(-1)</f>
        <v>0</v>
      </c>
      <c r="CM5" s="139">
        <f t="shared" ref="CM5:CR5" si="27">AL$33*(-1)</f>
        <v>0</v>
      </c>
      <c r="CN5" s="139">
        <f t="shared" si="27"/>
        <v>0</v>
      </c>
      <c r="CO5" s="139">
        <f t="shared" si="27"/>
        <v>0</v>
      </c>
      <c r="CP5" s="139">
        <f t="shared" si="27"/>
        <v>0</v>
      </c>
      <c r="CQ5" s="139">
        <f t="shared" si="27"/>
        <v>0</v>
      </c>
      <c r="CR5" s="139">
        <f t="shared" si="27"/>
        <v>0</v>
      </c>
      <c r="CS5" s="31">
        <f t="shared" ref="CS5:CS12" si="28">SUM($CL5:$CR5)</f>
        <v>0</v>
      </c>
      <c r="CU5" s="83"/>
      <c r="CV5" s="5"/>
      <c r="CX5" s="5"/>
      <c r="CY5" s="9" t="str">
        <f>CK15</f>
        <v>Q1</v>
      </c>
      <c r="CZ5" s="9">
        <f>CT15</f>
        <v>1.4E-2</v>
      </c>
      <c r="DA5" s="126">
        <v>0</v>
      </c>
      <c r="DB5" s="126">
        <f>CZ4</f>
        <v>0.1</v>
      </c>
      <c r="DC5" s="140"/>
      <c r="DE5" s="114"/>
      <c r="DN5" s="9" t="str">
        <f t="shared" si="14"/>
        <v/>
      </c>
      <c r="DO5" s="9" t="str" cm="1">
        <f t="array" ref="DO5">_xlfn.IFS(RIGHT(A_Budget2!AJ13,5)="Total","",A_Budget2!AJ13="","",A_Budget2!AJ13&lt;&gt;"",A_Budget2!AJ13)</f>
        <v/>
      </c>
      <c r="DP5" s="9" t="str">
        <f>IFERROR(GETPIVOTDATA("[Measures].["&amp;A_Budget2!$AK$7&amp;"]",A_Budget2!$AJ$7,"[DataBudget2].[Cat_2]","[DataBudget2].[Cat_2].&amp;["&amp;A_Budget2!$AJ$8&amp;"]","[DataBudget2].[Cat_3]","[DataBudget2].[Cat_3].&amp;["&amp;DO5&amp;"]")/GETPIVOTDATA("[Measures].[Sum of Montant_Extrap 4]",A_Budget2!$AF$7,"[DataBudget2].[Cat_2]","[DataBudget2].[Cat_2].&amp;["&amp;WB_Data!$J$2&amp;"]"),"")</f>
        <v/>
      </c>
      <c r="DQ5" s="9" t="str" cm="1">
        <f t="array" ref="DQ5">IFERROR(INDEX($DO$1:$DO$16,SMALL(IF($DP$1:$DP$16=DR5,ROW($DP$1:$DP$16)),COUNTIF($DR$1:DR5,DR5))),"")</f>
        <v/>
      </c>
      <c r="DR5" s="104" t="str">
        <f t="shared" si="1"/>
        <v/>
      </c>
      <c r="DS5" s="103" t="str">
        <f>IFERROR(GETPIVOTDATA("[Measures].["&amp;A_Budget2!$AK$7&amp;"]",A_Budget2!$AJ$7,"[DataBudget2].[Cat_2]","[DataBudget2].[Cat_2].&amp;["&amp;A_Budget2!$AJ$8&amp;"]","[DataBudget2].[Cat_3]","[DataBudget2].[Cat_3].&amp;["&amp;DQ5&amp;"]"),"")</f>
        <v/>
      </c>
      <c r="DT5" s="154" t="str">
        <f>IFERROR(GETPIVOTDATA("[Measures].["&amp;A_Budget2!$AL$7&amp;"]",A_Budget2!$AJ$7,"[DataBudget2].[Cat_2]","[DataBudget2].[Cat_2].&amp;["&amp;A_Budget2!$AJ$8&amp;"]","[DataBudget2].[Cat_3]","[DataBudget2].[Cat_3].&amp;["&amp;DQ5&amp;"]")/GETPIVOTDATA("[Measures].[Sum of Last_Montant 2]",A_Budget2!$AF$7,"[DataBudget2].[Cat_2]","[DataBudget2].[Cat_2].&amp;["&amp;WB_Data!$J$2&amp;"]"),"")</f>
        <v/>
      </c>
      <c r="DU5" s="155" t="str">
        <f>IFERROR(GETPIVOTDATA("[Measures].["&amp;A_Budget2!$AL$7&amp;"]",A_Budget2!$AJ$7,"[DataBudget2].[Cat_2]","[DataBudget2].[Cat_2].&amp;["&amp;A_Budget2!$AJ$8&amp;"]","[DataBudget2].[Cat_3]","[DataBudget2].[Cat_3].&amp;["&amp;DQ5&amp;"]"),"")</f>
        <v/>
      </c>
      <c r="DV5" s="9" t="str">
        <f t="shared" si="0"/>
        <v/>
      </c>
      <c r="DW5" s="9"/>
      <c r="DX5" s="9"/>
      <c r="DY5" s="97" t="str">
        <f t="shared" si="15"/>
        <v/>
      </c>
      <c r="DZ5" s="9" t="str" cm="1">
        <f t="array" ref="DZ5">_xlfn.IFS(RIGHT(A_Budget2!AJ13,5)="Total","",A_Budget2!AJ13="","",A_Budget2!AJ13&lt;&gt;"",A_Budget2!AJ13)</f>
        <v/>
      </c>
      <c r="EA5" s="9" t="str">
        <f>IFERROR(GETPIVOTDATA("[Measures].["&amp;A_Budget2!$AL$7&amp;"]",A_Budget2!$AJ$7,"[DataBudget2].[Cat_2]","[DataBudget2].[Cat_2].&amp;["&amp;A_Budget2!$AJ$8&amp;"]","[DataBudget2].[Cat_3]","[DataBudget2].[Cat_3].&amp;["&amp;DZ5&amp;"]")/GETPIVOTDATA("[Measures].[Sum of Last_Montant 2]",A_Budget2!$AF$7,"[DataBudget2].[Cat_2]","[DataBudget2].[Cat_2].&amp;["&amp;WB_Data!$J$2&amp;"]"),"")</f>
        <v/>
      </c>
      <c r="EB5" s="9" t="str" cm="1">
        <f t="array" ref="EB5">IFERROR(INDEX($DZ$1:$DZ$16,SMALL(IF($EA$1:$EA$16=EC5,ROW($EA$1:$EA$16)),COUNTIF($EC$1:EC5,EC5))),"")</f>
        <v/>
      </c>
      <c r="EC5" s="154" t="str">
        <f t="shared" si="2"/>
        <v/>
      </c>
      <c r="ED5" s="154" t="str">
        <f>IFERROR(GETPIVOTDATA("[Measures].["&amp;A_Budget2!$AL$7&amp;"]",A_Budget2!$AJ$7,"[DataBudget2].[Cat_2]","[DataBudget2].[Cat_2].&amp;["&amp;A_Budget2!$AJ$8&amp;"]","[DataBudget2].[Cat_3]","[DataBudget2].[Cat_3].&amp;["&amp;EB5&amp;"]"),"")</f>
        <v/>
      </c>
      <c r="EE5" s="139" t="str">
        <f>IFERROR(GETPIVOTDATA("[Measures].["&amp;A_Budget2!$AK$7&amp;"]",A_Budget2!$AJ$7,"[DataBudget2].[Cat_2]","[DataBudget2].[Cat_2].&amp;["&amp;A_Budget2!$AJ$8&amp;"]","[DataBudget2].[Cat_3]","[DataBudget2].[Cat_3].&amp;["&amp;EB5&amp;"]")/GETPIVOTDATA("[Measures].[Sum of Montant_Extrap 4]",A_Budget2!$AF$7,"[DataBudget2].[Cat_2]","[DataBudget2].[Cat_2].&amp;["&amp;WB_Data!$J$2&amp;"]"),"")</f>
        <v/>
      </c>
      <c r="EF5" s="105" t="str">
        <f>IFERROR(GETPIVOTDATA("[Measures].["&amp;A_Budget2!$AK$7&amp;"]",A_Budget2!$AJ$7,"[DataBudget2].[Cat_2]","[DataBudget2].[Cat_2].&amp;["&amp;A_Budget2!$AJ$8&amp;"]","[DataBudget2].[Cat_3]","[DataBudget2].[Cat_3].&amp;["&amp;EB5&amp;"]"),"")</f>
        <v/>
      </c>
      <c r="EL5" s="166">
        <f ca="1">IFERROR(GETPIVOTDATA("[Measures].["&amp;A_Budget2!$AS$7&amp;"]",A_Budget2!$AQ$7,"[DataBudget2].[Cat_3]","[DataBudget2].[Cat_3].&amp;["&amp;ControlChart_Budget2!$ER$1&amp;"]","[DataBudget2].[Mois (Month)]","[DataBudget2].[Mois (Month)].&amp;["&amp;EV5&amp;"]","[DataBudget2].[Mois (Year)]","[DataBudget2].[Mois (Year)].&amp;["&amp;$EL$1&amp;"]"),0)</f>
        <v>0</v>
      </c>
      <c r="EM5" s="165">
        <f ca="1">IFERROR(IF($EN$1=1,0,GETPIVOTDATA("[Measures].["&amp;A_Budget2!$AS$7&amp;"]",A_Budget2!$AQ$7,"[DataBudget2].[Cat_3]","[DataBudget2].[Cat_3].&amp;["&amp;ControlChart_Budget2!$ER$1&amp;"]","[DataBudget2].[Mois (Month)]","[DataBudget2].[Mois (Month)].&amp;["&amp;EV5&amp;"]","[DataBudget2].[Mois (Year)]","[DataBudget2].[Mois (Year)].&amp;["&amp;$EM$1&amp;"]")),0)</f>
        <v>0</v>
      </c>
      <c r="EN5" s="139">
        <f ca="1">IFERROR(GETPIVOTDATA("[Measures].["&amp;A_Budget2!$AT$7&amp;"]",A_Budget2!$AQ$7,"[DataBudget2].[Cat_3]","[DataBudget2].[Cat_3].&amp;["&amp;ControlChart_Budget2!$ER$1&amp;"]","[DataBudget2].[Mois (Month)]","[DataBudget2].[Mois (Month)].&amp;["&amp;EV5&amp;"]","[DataBudget2].[Mois (Year)]","[DataBudget2].[Mois (Year)].&amp;["&amp;$EL$1&amp;"]"),0)</f>
        <v>0</v>
      </c>
      <c r="EO5" s="139">
        <f ca="1">IFERROR(IF($EN$1=1,0,GETPIVOTDATA("[Measures].["&amp;A_Budget2!$AT$7&amp;"]",A_Budget2!$AQ$7,"[DataBudget2].[Cat_3]","[DataBudget2].[Cat_3].&amp;["&amp;ControlChart_Budget2!$ER$1&amp;"]","[DataBudget2].[Mois (Month)]","[DataBudget2].[Mois (Month)].&amp;["&amp;EV5&amp;"]","[DataBudget2].[Mois (Year)]","[DataBudget2].[Mois (Year)].&amp;["&amp;$EM$1&amp;"]")),0)</f>
        <v>0</v>
      </c>
      <c r="EP5" s="167">
        <f ca="1">IFERROR(GETPIVOTDATA("[Measures].["&amp;A_Budget2!$AU$7&amp;"]",A_Budget2!$AQ$7,"[DataBudget2].[Cat_3]","[DataBudget2].[Cat_3].&amp;["&amp;ControlChart_Budget2!$ER$1&amp;"]","[DataBudget2].[Mois (Month)]","[DataBudget2].[Mois (Month)].&amp;["&amp;EV5&amp;"]","[DataBudget2].[Mois (Year)]","[DataBudget2].[Mois (Year)].&amp;["&amp;$EL$1&amp;"]"),0)</f>
        <v>0</v>
      </c>
      <c r="EQ5" s="167">
        <f ca="1">IFERROR(IF($EN$1=1,0,GETPIVOTDATA("[Measures].["&amp;A_Budget2!$AU$7&amp;"]",A_Budget2!$AQ$7,"[DataBudget2].[Cat_3]","[DataBudget2].[Cat_3].&amp;["&amp;ControlChart_Budget2!$ER$1&amp;"]","[DataBudget2].[Mois (Month)]","[DataBudget2].[Mois (Month)].&amp;["&amp;EV5&amp;"]","[DataBudget2].[Mois (Year)]","[DataBudget2].[Mois (Year)].&amp;["&amp;$EM$1&amp;"]")),0)</f>
        <v>0</v>
      </c>
      <c r="ER5" s="9" t="str">
        <f>IFERROR(IF(A_Budget2!AR12=0,"",A_Budget2!AR12),"")</f>
        <v/>
      </c>
      <c r="ES5" s="312">
        <f t="shared" ca="1" si="3"/>
        <v>0</v>
      </c>
      <c r="ET5" s="313">
        <f t="shared" ca="1" si="4"/>
        <v>0</v>
      </c>
      <c r="EU5" s="314">
        <f t="shared" ca="1" si="5"/>
        <v>0</v>
      </c>
      <c r="EV5" t="str">
        <f ca="1">IFERROR(VLOOKUP(ER5,Library!$R$18:$S$29,2,FALSE),Library!S21)</f>
        <v>avr</v>
      </c>
      <c r="EY5" s="168"/>
      <c r="EZ5" s="168"/>
      <c r="FA5" s="168"/>
      <c r="FB5" s="168"/>
      <c r="FC5" s="168"/>
      <c r="FD5" s="168"/>
      <c r="FE5">
        <f t="shared" si="16"/>
        <v>5</v>
      </c>
      <c r="FF5" s="105">
        <f>GETPIVOTDATA("[Measures].[ABSB2ME]",A_Budget2!$AF$32,"[DataBudget2].[Cat_2]","[DataBudget2].[Cat_2].&amp;["&amp;ControlChart_Budget2!FH4&amp;"]")</f>
        <v>4.0000000000000001E-3</v>
      </c>
      <c r="FG5" s="172">
        <f>GETPIVOTDATA("[Measures].[ABSB2LM]",A_Budget2!$AF$32,"[DataBudget2].[Cat_2]","[DataBudget2].[Cat_2].&amp;["&amp;ControlChart_Budget2!FH4&amp;"]")</f>
        <v>4.0000000000000001E-3</v>
      </c>
      <c r="FH5" t="str">
        <f>A_Budget2!AF37</f>
        <v>Category5</v>
      </c>
      <c r="FI5" s="174">
        <f t="shared" si="6"/>
        <v>1</v>
      </c>
      <c r="FJ5" s="175">
        <f t="shared" si="7"/>
        <v>1</v>
      </c>
      <c r="FK5" t="str" cm="1">
        <f t="array" ref="FK5">IFERROR(INDEX($FH$1:$FH$18,SMALL(IF($FI$1:$FI$18=FL5,ROW($FI$1:$FI$18)),COUNTIF($FL$1:FL5,FL5))),"")</f>
        <v>Category5</v>
      </c>
      <c r="FL5" s="174">
        <f t="shared" si="8"/>
        <v>1</v>
      </c>
      <c r="FM5" s="176">
        <f t="shared" si="9"/>
        <v>1</v>
      </c>
      <c r="FN5" t="str" cm="1">
        <f t="array" ref="FN5">_xlfn.IFS(FK5=0,"",FK5=$A$1,"",FK5&lt;&gt;"",FK5)</f>
        <v>Category5</v>
      </c>
      <c r="FO5">
        <f t="shared" si="10"/>
        <v>-0.05</v>
      </c>
      <c r="FP5" s="177">
        <f t="shared" si="11"/>
        <v>1</v>
      </c>
      <c r="FQ5" s="178">
        <f t="shared" si="12"/>
        <v>1</v>
      </c>
    </row>
    <row r="6" spans="1:173" x14ac:dyDescent="0.25">
      <c r="C6" s="118" t="str">
        <f>A_Budget2!T11</f>
        <v>Category3</v>
      </c>
      <c r="D6" s="116">
        <f>GETPIVOTDATA("[Measures].[ABSB2ME]",A_Budget2!$T$8,"[DataBudget2].[Cat_2]","[DataBudget2].[Cat_2].&amp;["&amp;ControlChart_Budget2!C6&amp;"]")</f>
        <v>0.14285714285714277</v>
      </c>
      <c r="E6" s="212">
        <v>1</v>
      </c>
      <c r="G6">
        <f>IFERROR(ROW(G6)+MATCH($G$5,I7:I12,0),ROW(G6)+MATCH($G$5,I7:I12))</f>
        <v>8</v>
      </c>
      <c r="I6" s="5">
        <v>2025</v>
      </c>
      <c r="J6" s="5">
        <v>0</v>
      </c>
      <c r="K6" s="5">
        <v>0</v>
      </c>
      <c r="L6" s="5">
        <v>0</v>
      </c>
      <c r="M6" s="5">
        <v>0</v>
      </c>
      <c r="N6" s="5">
        <v>0</v>
      </c>
      <c r="O6" s="5">
        <v>0</v>
      </c>
      <c r="P6" s="5">
        <v>0</v>
      </c>
      <c r="Q6" s="5">
        <v>0</v>
      </c>
      <c r="R6" s="5">
        <v>0</v>
      </c>
      <c r="S6" s="5">
        <v>0</v>
      </c>
      <c r="T6" s="5">
        <v>0</v>
      </c>
      <c r="U6" s="5">
        <v>0</v>
      </c>
      <c r="V6" s="5">
        <v>0</v>
      </c>
      <c r="W6" s="5">
        <v>0</v>
      </c>
      <c r="X6" s="5">
        <v>0</v>
      </c>
      <c r="Y6" s="5">
        <v>0</v>
      </c>
      <c r="AA6">
        <f t="shared" si="18"/>
        <v>1</v>
      </c>
      <c r="AB6" s="195">
        <f>IF(OR(AA6=1,AA6=3),AM$42,0)</f>
        <v>2E-3</v>
      </c>
      <c r="AC6" s="196">
        <f>IF(OR(AA6=1,AA6=3),0,IF(AJ6&lt;&gt;"",AM$42/$AC$15,0))</f>
        <v>0</v>
      </c>
      <c r="AD6" s="200" t="str">
        <f>IF(OR($AA6=1,AA6=3),AM$81,0)</f>
        <v/>
      </c>
      <c r="AE6" s="201">
        <f>IF(OR($AA6=1,AA6=3),0,IF($AJ6&lt;&gt;"",AM$81/AE$15,0))</f>
        <v>0</v>
      </c>
      <c r="AF6" s="37">
        <f>IF(OR($AA6=1,AA6=3),AM$117,0)</f>
        <v>0</v>
      </c>
      <c r="AG6" s="197">
        <f>IF(OR($AA6=1,AA6=3),0,IF($AJ6&lt;&gt;"",AM$117/AG$15,0))</f>
        <v>0</v>
      </c>
      <c r="AH6" s="199">
        <f>IF(OR($AA6=1,AA6=3),AM$150,0)</f>
        <v>0</v>
      </c>
      <c r="AI6" s="199">
        <f>IF(OR($AA6=1,AA6=3),0,IF($AJ6&lt;&gt;"",AM$150/AI$15,0))</f>
        <v>0</v>
      </c>
      <c r="AJ6" s="120" t="str">
        <f>IF(ISBLANK($C$6),"",$C$6)</f>
        <v>Category3</v>
      </c>
      <c r="AK6" s="120">
        <f t="shared" si="19"/>
        <v>0</v>
      </c>
      <c r="AL6" s="120">
        <f t="shared" si="20"/>
        <v>0</v>
      </c>
      <c r="AM6" s="120">
        <f t="shared" si="21"/>
        <v>0</v>
      </c>
      <c r="AN6" s="120">
        <f t="shared" si="22"/>
        <v>0</v>
      </c>
      <c r="AO6" s="120">
        <f t="shared" si="23"/>
        <v>0</v>
      </c>
      <c r="AP6" s="120">
        <f t="shared" si="24"/>
        <v>0</v>
      </c>
      <c r="AQ6" s="120">
        <f t="shared" si="25"/>
        <v>0</v>
      </c>
      <c r="AR6" s="202">
        <f t="shared" si="26"/>
        <v>0</v>
      </c>
      <c r="AT6" s="8" t="str" cm="1">
        <f t="array" ref="AT6">_xlfn.IFS(AT4=1,F17,AT4=2,F18,AT4=3,F19,AT4=4,F20,AT4=5,F21)</f>
        <v>2025 Qtr1</v>
      </c>
      <c r="AU6" s="9">
        <f ca="1"/>
        <v>23</v>
      </c>
      <c r="AV6" s="9">
        <f ca="1"/>
        <v>2026</v>
      </c>
      <c r="AW6" s="9">
        <f ca="1"/>
        <v>0</v>
      </c>
      <c r="AX6" s="127">
        <f>J20</f>
        <v>0</v>
      </c>
      <c r="AY6" s="129">
        <f>ABS(AK118)</f>
        <v>0</v>
      </c>
      <c r="AZ6" s="132">
        <f>IFERROR(IF(AND($AT$4&gt;=4,ABS($AK$116)&lt;0),ABS($AK$116),0),NA())</f>
        <v>0</v>
      </c>
      <c r="BA6" s="180">
        <f>IFERROR(AY6+AZ6,NA())</f>
        <v>0</v>
      </c>
      <c r="BB6" s="127">
        <f>IFERROR(IF(AND($AT$4&gt;=4,$AK$115&gt;0),$AK$115,0),NA())</f>
        <v>0</v>
      </c>
      <c r="BC6" s="133">
        <f>IF(BB6-BA6&lt;0,0,BB6-BA6)</f>
        <v>0</v>
      </c>
      <c r="BD6" s="130">
        <f>BC6+AX6</f>
        <v>0</v>
      </c>
      <c r="BE6" s="130">
        <f>IF(BD6-BA6&lt;0,0,BD6-BA6)</f>
        <v>0</v>
      </c>
      <c r="BF6" s="131" t="e">
        <f>BE6/BD6</f>
        <v>#DIV/0!</v>
      </c>
      <c r="BG6" s="126" t="e">
        <f>IFERROR((0.1*BD6)/BD6,NA())</f>
        <v>#N/A</v>
      </c>
      <c r="BH6" s="126" t="e">
        <f>IFERROR((0.1*BD6)/BD6,NA())</f>
        <v>#N/A</v>
      </c>
      <c r="BI6" s="126" t="e">
        <f>IFERROR((0.2*BD6)/BD6,NA())</f>
        <v>#N/A</v>
      </c>
      <c r="BJ6" s="131" t="e">
        <f>IFERROR(IF($AT$4&gt;4,0,BF6),NA())</f>
        <v>#N/A</v>
      </c>
      <c r="BK6" s="131">
        <f>IFERROR(IF($AT$4&gt;4,BF6,0),NA())</f>
        <v>0</v>
      </c>
      <c r="BL6" s="128" t="e">
        <f>IF(BK6&gt;0,0,BC6/AX6)</f>
        <v>#DIV/0!</v>
      </c>
      <c r="BM6" s="135">
        <f>IF((BD6-BE6)=0,0,(BD6-BE6)/BD6)</f>
        <v>0</v>
      </c>
      <c r="BN6" s="126" t="str">
        <f>IFERROR(BF6,"")</f>
        <v/>
      </c>
      <c r="BO6" s="8">
        <f>IFERROR(BA6,"")</f>
        <v>0</v>
      </c>
      <c r="BP6" s="8">
        <f>IFERROR(AX6,"")</f>
        <v>0</v>
      </c>
      <c r="BQ6" s="8" t="str">
        <f>IFERROR(IF(BC6=0,"",BC6),"")</f>
        <v/>
      </c>
      <c r="CL6" s="139">
        <f>AK$64*(-1)</f>
        <v>-2E-3</v>
      </c>
      <c r="CM6" s="139">
        <f t="shared" ref="CM6:CR6" si="29">AL$64*(-1)</f>
        <v>-2E-3</v>
      </c>
      <c r="CN6" s="139">
        <f t="shared" si="29"/>
        <v>-2E-3</v>
      </c>
      <c r="CO6" s="139">
        <f t="shared" si="29"/>
        <v>-2E-3</v>
      </c>
      <c r="CP6" s="139">
        <f t="shared" si="29"/>
        <v>-2E-3</v>
      </c>
      <c r="CQ6" s="139">
        <f t="shared" si="29"/>
        <v>-2E-3</v>
      </c>
      <c r="CR6" s="139">
        <f t="shared" si="29"/>
        <v>0</v>
      </c>
      <c r="CS6" s="31">
        <f t="shared" si="28"/>
        <v>-1.2E-2</v>
      </c>
      <c r="CU6" s="83"/>
      <c r="CV6" s="5"/>
      <c r="CY6" s="9" t="s">
        <v>184</v>
      </c>
      <c r="CZ6" s="9"/>
      <c r="DA6" s="126">
        <v>1</v>
      </c>
      <c r="DB6" s="126">
        <v>0.01</v>
      </c>
      <c r="DC6" s="5"/>
      <c r="DD6" s="114"/>
      <c r="DE6" s="114"/>
      <c r="DN6" s="9" t="str">
        <f t="shared" si="14"/>
        <v/>
      </c>
      <c r="DO6" s="9" t="str" cm="1">
        <f t="array" ref="DO6">_xlfn.IFS(RIGHT(A_Budget2!AJ14,5)="Total","",A_Budget2!AJ14="","",A_Budget2!AJ14&lt;&gt;"",A_Budget2!AJ14)</f>
        <v/>
      </c>
      <c r="DP6" s="9" t="str">
        <f>IFERROR(GETPIVOTDATA("[Measures].["&amp;A_Budget2!$AK$7&amp;"]",A_Budget2!$AJ$7,"[DataBudget2].[Cat_2]","[DataBudget2].[Cat_2].&amp;["&amp;A_Budget2!$AJ$8&amp;"]","[DataBudget2].[Cat_3]","[DataBudget2].[Cat_3].&amp;["&amp;DO6&amp;"]")/GETPIVOTDATA("[Measures].[Sum of Montant_Extrap 4]",A_Budget2!$AF$7,"[DataBudget2].[Cat_2]","[DataBudget2].[Cat_2].&amp;["&amp;WB_Data!$J$2&amp;"]"),"")</f>
        <v/>
      </c>
      <c r="DQ6" s="9" t="str" cm="1">
        <f t="array" ref="DQ6">IFERROR(INDEX($DO$1:$DO$16,SMALL(IF($DP$1:$DP$16=DR6,ROW($DP$1:$DP$16)),COUNTIF($DR$1:DR6,DR6))),"")</f>
        <v/>
      </c>
      <c r="DR6" s="104" t="str">
        <f t="shared" si="1"/>
        <v/>
      </c>
      <c r="DS6" s="103" t="str">
        <f>IFERROR(GETPIVOTDATA("[Measures].["&amp;A_Budget2!$AK$7&amp;"]",A_Budget2!$AJ$7,"[DataBudget2].[Cat_2]","[DataBudget2].[Cat_2].&amp;["&amp;A_Budget2!$AJ$8&amp;"]","[DataBudget2].[Cat_3]","[DataBudget2].[Cat_3].&amp;["&amp;DQ6&amp;"]"),"")</f>
        <v/>
      </c>
      <c r="DT6" s="154" t="str">
        <f>IFERROR(GETPIVOTDATA("[Measures].["&amp;A_Budget2!$AL$7&amp;"]",A_Budget2!$AJ$7,"[DataBudget2].[Cat_2]","[DataBudget2].[Cat_2].&amp;["&amp;A_Budget2!$AJ$8&amp;"]","[DataBudget2].[Cat_3]","[DataBudget2].[Cat_3].&amp;["&amp;DQ6&amp;"]")/GETPIVOTDATA("[Measures].[Sum of Last_Montant 2]",A_Budget2!$AF$7,"[DataBudget2].[Cat_2]","[DataBudget2].[Cat_2].&amp;["&amp;WB_Data!$J$2&amp;"]"),"")</f>
        <v/>
      </c>
      <c r="DU6" s="155" t="str">
        <f>IFERROR(GETPIVOTDATA("[Measures].["&amp;A_Budget2!$AL$7&amp;"]",A_Budget2!$AJ$7,"[DataBudget2].[Cat_2]","[DataBudget2].[Cat_2].&amp;["&amp;A_Budget2!$AJ$8&amp;"]","[DataBudget2].[Cat_3]","[DataBudget2].[Cat_3].&amp;["&amp;DQ6&amp;"]"),"")</f>
        <v/>
      </c>
      <c r="DV6" s="9" t="str">
        <f t="shared" si="0"/>
        <v/>
      </c>
      <c r="DW6" s="9"/>
      <c r="DX6" s="9"/>
      <c r="DY6" s="97" t="str">
        <f t="shared" si="15"/>
        <v/>
      </c>
      <c r="DZ6" s="9" t="str" cm="1">
        <f t="array" ref="DZ6">_xlfn.IFS(RIGHT(A_Budget2!AJ14,5)="Total","",A_Budget2!AJ14="","",A_Budget2!AJ14&lt;&gt;"",A_Budget2!AJ14)</f>
        <v/>
      </c>
      <c r="EA6" s="9" t="str">
        <f>IFERROR(GETPIVOTDATA("[Measures].["&amp;A_Budget2!$AL$7&amp;"]",A_Budget2!$AJ$7,"[DataBudget2].[Cat_2]","[DataBudget2].[Cat_2].&amp;["&amp;A_Budget2!$AJ$8&amp;"]","[DataBudget2].[Cat_3]","[DataBudget2].[Cat_3].&amp;["&amp;DZ6&amp;"]")/GETPIVOTDATA("[Measures].[Sum of Last_Montant 2]",A_Budget2!$AF$7,"[DataBudget2].[Cat_2]","[DataBudget2].[Cat_2].&amp;["&amp;WB_Data!$J$2&amp;"]"),"")</f>
        <v/>
      </c>
      <c r="EB6" s="9" t="str" cm="1">
        <f t="array" ref="EB6">IFERROR(INDEX($DZ$1:$DZ$16,SMALL(IF($EA$1:$EA$16=EC6,ROW($EA$1:$EA$16)),COUNTIF($EC$1:EC6,EC6))),"")</f>
        <v/>
      </c>
      <c r="EC6" s="154" t="str">
        <f t="shared" si="2"/>
        <v/>
      </c>
      <c r="ED6" s="154" t="str">
        <f>IFERROR(GETPIVOTDATA("[Measures].["&amp;A_Budget2!$AL$7&amp;"]",A_Budget2!$AJ$7,"[DataBudget2].[Cat_2]","[DataBudget2].[Cat_2].&amp;["&amp;A_Budget2!$AJ$8&amp;"]","[DataBudget2].[Cat_3]","[DataBudget2].[Cat_3].&amp;["&amp;EB6&amp;"]"),"")</f>
        <v/>
      </c>
      <c r="EE6" s="139" t="str">
        <f>IFERROR(GETPIVOTDATA("[Measures].["&amp;A_Budget2!$AK$7&amp;"]",A_Budget2!$AJ$7,"[DataBudget2].[Cat_2]","[DataBudget2].[Cat_2].&amp;["&amp;A_Budget2!$AJ$8&amp;"]","[DataBudget2].[Cat_3]","[DataBudget2].[Cat_3].&amp;["&amp;EB6&amp;"]")/GETPIVOTDATA("[Measures].[Sum of Montant_Extrap 4]",A_Budget2!$AF$7,"[DataBudget2].[Cat_2]","[DataBudget2].[Cat_2].&amp;["&amp;WB_Data!$J$2&amp;"]"),"")</f>
        <v/>
      </c>
      <c r="EF6" s="105" t="str">
        <f>IFERROR(GETPIVOTDATA("[Measures].["&amp;A_Budget2!$AK$7&amp;"]",A_Budget2!$AJ$7,"[DataBudget2].[Cat_2]","[DataBudget2].[Cat_2].&amp;["&amp;A_Budget2!$AJ$8&amp;"]","[DataBudget2].[Cat_3]","[DataBudget2].[Cat_3].&amp;["&amp;EB6&amp;"]"),"")</f>
        <v/>
      </c>
      <c r="EL6" s="166">
        <f ca="1">IFERROR(GETPIVOTDATA("[Measures].["&amp;A_Budget2!$AS$7&amp;"]",A_Budget2!$AQ$7,"[DataBudget2].[Cat_3]","[DataBudget2].[Cat_3].&amp;["&amp;ControlChart_Budget2!$ER$1&amp;"]","[DataBudget2].[Mois (Month)]","[DataBudget2].[Mois (Month)].&amp;["&amp;EV6&amp;"]","[DataBudget2].[Mois (Year)]","[DataBudget2].[Mois (Year)].&amp;["&amp;$EL$1&amp;"]"),0)</f>
        <v>0</v>
      </c>
      <c r="EM6" s="165">
        <f ca="1">IFERROR(IF($EN$1=1,0,GETPIVOTDATA("[Measures].["&amp;A_Budget2!$AS$7&amp;"]",A_Budget2!$AQ$7,"[DataBudget2].[Cat_3]","[DataBudget2].[Cat_3].&amp;["&amp;ControlChart_Budget2!$ER$1&amp;"]","[DataBudget2].[Mois (Month)]","[DataBudget2].[Mois (Month)].&amp;["&amp;EV6&amp;"]","[DataBudget2].[Mois (Year)]","[DataBudget2].[Mois (Year)].&amp;["&amp;$EM$1&amp;"]")),0)</f>
        <v>0</v>
      </c>
      <c r="EN6" s="139">
        <f ca="1">IFERROR(GETPIVOTDATA("[Measures].["&amp;A_Budget2!$AT$7&amp;"]",A_Budget2!$AQ$7,"[DataBudget2].[Cat_3]","[DataBudget2].[Cat_3].&amp;["&amp;ControlChart_Budget2!$ER$1&amp;"]","[DataBudget2].[Mois (Month)]","[DataBudget2].[Mois (Month)].&amp;["&amp;EV6&amp;"]","[DataBudget2].[Mois (Year)]","[DataBudget2].[Mois (Year)].&amp;["&amp;$EL$1&amp;"]"),0)</f>
        <v>0</v>
      </c>
      <c r="EO6" s="139">
        <f ca="1">IFERROR(IF($EN$1=1,0,GETPIVOTDATA("[Measures].["&amp;A_Budget2!$AT$7&amp;"]",A_Budget2!$AQ$7,"[DataBudget2].[Cat_3]","[DataBudget2].[Cat_3].&amp;["&amp;ControlChart_Budget2!$ER$1&amp;"]","[DataBudget2].[Mois (Month)]","[DataBudget2].[Mois (Month)].&amp;["&amp;EV6&amp;"]","[DataBudget2].[Mois (Year)]","[DataBudget2].[Mois (Year)].&amp;["&amp;$EM$1&amp;"]")),0)</f>
        <v>0</v>
      </c>
      <c r="EP6" s="167">
        <f ca="1">IFERROR(GETPIVOTDATA("[Measures].["&amp;A_Budget2!$AU$7&amp;"]",A_Budget2!$AQ$7,"[DataBudget2].[Cat_3]","[DataBudget2].[Cat_3].&amp;["&amp;ControlChart_Budget2!$ER$1&amp;"]","[DataBudget2].[Mois (Month)]","[DataBudget2].[Mois (Month)].&amp;["&amp;EV6&amp;"]","[DataBudget2].[Mois (Year)]","[DataBudget2].[Mois (Year)].&amp;["&amp;$EL$1&amp;"]"),0)</f>
        <v>0</v>
      </c>
      <c r="EQ6" s="167">
        <f ca="1">IFERROR(IF($EN$1=1,0,GETPIVOTDATA("[Measures].["&amp;A_Budget2!$AU$7&amp;"]",A_Budget2!$AQ$7,"[DataBudget2].[Cat_3]","[DataBudget2].[Cat_3].&amp;["&amp;ControlChart_Budget2!$ER$1&amp;"]","[DataBudget2].[Mois (Month)]","[DataBudget2].[Mois (Month)].&amp;["&amp;EV6&amp;"]","[DataBudget2].[Mois (Year)]","[DataBudget2].[Mois (Year)].&amp;["&amp;$EM$1&amp;"]")),0)</f>
        <v>0</v>
      </c>
      <c r="ER6" s="9" t="str">
        <f>IFERROR(IF(A_Budget2!AR13=0,"",A_Budget2!AR13),"")</f>
        <v/>
      </c>
      <c r="ES6" s="312">
        <f t="shared" ca="1" si="3"/>
        <v>0</v>
      </c>
      <c r="ET6" s="313">
        <f t="shared" ca="1" si="4"/>
        <v>0</v>
      </c>
      <c r="EU6" s="314">
        <f t="shared" ca="1" si="5"/>
        <v>0</v>
      </c>
      <c r="EV6" t="str">
        <f ca="1">IFERROR(VLOOKUP(ER6,Library!$R$18:$S$29,2,FALSE),Library!S22)</f>
        <v>mai</v>
      </c>
      <c r="EY6" s="168"/>
      <c r="EZ6" s="168"/>
      <c r="FA6" s="168"/>
      <c r="FB6" s="168"/>
      <c r="FC6" s="168"/>
      <c r="FD6" s="168"/>
      <c r="FE6">
        <f t="shared" si="16"/>
        <v>6</v>
      </c>
      <c r="FF6" s="105">
        <f>GETPIVOTDATA("[Measures].[ABSB2ME]",A_Budget2!$AF$32,"[DataBudget2].[Cat_2]","[DataBudget2].[Cat_2].&amp;["&amp;ControlChart_Budget2!FH5&amp;"]")</f>
        <v>4.0000000000000001E-3</v>
      </c>
      <c r="FG6" s="172">
        <f>GETPIVOTDATA("[Measures].[ABSB2LM]",A_Budget2!$AF$32,"[DataBudget2].[Cat_2]","[DataBudget2].[Cat_2].&amp;["&amp;ControlChart_Budget2!FH5&amp;"]")</f>
        <v>4.0000000000000001E-3</v>
      </c>
      <c r="FH6" t="str">
        <f>A_Budget2!AF38</f>
        <v>Category6</v>
      </c>
      <c r="FI6" s="174">
        <f t="shared" si="6"/>
        <v>1</v>
      </c>
      <c r="FJ6" s="175">
        <f t="shared" si="7"/>
        <v>1</v>
      </c>
      <c r="FK6" t="str" cm="1">
        <f t="array" ref="FK6">IFERROR(INDEX($FH$1:$FH$18,SMALL(IF($FI$1:$FI$18=FL6,ROW($FI$1:$FI$18)),COUNTIF($FL$1:FL6,FL6))),"")</f>
        <v>Category6</v>
      </c>
      <c r="FL6" s="174">
        <f t="shared" si="8"/>
        <v>1</v>
      </c>
      <c r="FM6" s="176">
        <f t="shared" si="9"/>
        <v>1</v>
      </c>
      <c r="FN6" t="str" cm="1">
        <f t="array" ref="FN6">_xlfn.IFS(FK6=0,"",FK6=$A$1,"",FK6&lt;&gt;"",FK6)</f>
        <v>Category6</v>
      </c>
      <c r="FO6">
        <f t="shared" si="10"/>
        <v>-0.05</v>
      </c>
      <c r="FP6" s="177">
        <f t="shared" si="11"/>
        <v>1</v>
      </c>
      <c r="FQ6" s="178">
        <f t="shared" si="12"/>
        <v>1</v>
      </c>
    </row>
    <row r="7" spans="1:173" x14ac:dyDescent="0.25">
      <c r="C7" s="118" t="str">
        <f>A_Budget2!T12</f>
        <v>Category4</v>
      </c>
      <c r="D7" s="116">
        <f>GETPIVOTDATA("[Measures].[ABSB2ME]",A_Budget2!$T$8,"[DataBudget2].[Cat_2]","[DataBudget2].[Cat_2].&amp;["&amp;ControlChart_Budget2!C7&amp;"]")</f>
        <v>0.14285714285714277</v>
      </c>
      <c r="E7" s="212">
        <v>2</v>
      </c>
      <c r="F7" s="5">
        <f t="shared" ref="F7:F12" si="30">IF(ISNA(G7),100,(G7*10)+H7)</f>
        <v>11</v>
      </c>
      <c r="G7" cm="1">
        <f t="array" ref="G7">_xlfn.IFS(ROW(G7)&gt;$G$6,2,I7&lt;&gt;($I$6+1),COUNT(1))</f>
        <v>1</v>
      </c>
      <c r="H7" cm="1">
        <f t="array" ref="H7">_xlfn.IFS(ISNA(G7),"",G7=1,COUNTIF($G$7:G7,1),G7=2,COUNTIF($G$7:G7,2))</f>
        <v>1</v>
      </c>
      <c r="I7" s="5" t="str">
        <v>Qtr1</v>
      </c>
      <c r="J7" s="5">
        <v>2E-3</v>
      </c>
      <c r="K7" s="5">
        <v>2.0000000000000001E-4</v>
      </c>
      <c r="L7" s="5">
        <v>2E-3</v>
      </c>
      <c r="M7" s="5">
        <v>2.0000000000000001E-4</v>
      </c>
      <c r="N7" s="5">
        <v>2E-3</v>
      </c>
      <c r="O7" s="5">
        <v>2.0000000000000001E-4</v>
      </c>
      <c r="P7" s="5">
        <v>2E-3</v>
      </c>
      <c r="Q7" s="5">
        <v>2.0000000000000001E-4</v>
      </c>
      <c r="R7" s="5">
        <v>2E-3</v>
      </c>
      <c r="S7" s="5">
        <v>2.0000000000000001E-4</v>
      </c>
      <c r="T7" s="5">
        <v>2E-3</v>
      </c>
      <c r="U7" s="5">
        <v>2.0000000000000001E-4</v>
      </c>
      <c r="V7" s="5">
        <v>2E-3</v>
      </c>
      <c r="W7" s="5">
        <v>2.0000000000000001E-4</v>
      </c>
      <c r="X7" s="5">
        <v>1.4000000000000005E-2</v>
      </c>
      <c r="Y7" s="5">
        <v>1.4000000000000004E-3</v>
      </c>
      <c r="AA7">
        <f t="shared" si="18"/>
        <v>2</v>
      </c>
      <c r="AB7" s="195">
        <f>IF(OR(AA7=1,AA7=3),AN$42,0)</f>
        <v>0</v>
      </c>
      <c r="AC7" s="196">
        <f>IF(OR(AA7=1,AA7=3),0,IF(AJ7&lt;&gt;"",AN$42/$AC$15,0))</f>
        <v>0.25</v>
      </c>
      <c r="AD7" s="200">
        <f>IF(OR($AA7=1,AA7=3),AN$81,0)</f>
        <v>0</v>
      </c>
      <c r="AE7" s="201" t="e">
        <f>IF(OR($AA7=1,AA7=3),0,IF($AJ7&lt;&gt;"",AN$81/AE$15,0))</f>
        <v>#VALUE!</v>
      </c>
      <c r="AF7" s="37">
        <f>IF(OR($AA7=1,AA7=3),AN$117,0)</f>
        <v>0</v>
      </c>
      <c r="AG7" s="197" t="e">
        <f>IF(OR($AA7=1,AA7=3),0,IF($AJ7&lt;&gt;"",AN$117/AG$15,0))</f>
        <v>#DIV/0!</v>
      </c>
      <c r="AH7" s="199">
        <f>IF(OR($AA7=1,AA7=3),AN$150,0)</f>
        <v>0</v>
      </c>
      <c r="AI7" s="199" t="e">
        <f>IF(OR($AA7=1,AA7=3),0,IF($AJ7&lt;&gt;"",AN$150/AI$15,0))</f>
        <v>#DIV/0!</v>
      </c>
      <c r="AJ7" s="120" t="str">
        <f>IF(ISBLANK($C$7),"",$C$7)</f>
        <v>Category4</v>
      </c>
      <c r="AK7" s="120">
        <f t="shared" si="19"/>
        <v>0</v>
      </c>
      <c r="AL7" s="120">
        <f t="shared" si="20"/>
        <v>0</v>
      </c>
      <c r="AM7" s="120">
        <f t="shared" si="21"/>
        <v>0</v>
      </c>
      <c r="AN7" s="120">
        <f t="shared" si="22"/>
        <v>0</v>
      </c>
      <c r="AO7" s="120">
        <f t="shared" si="23"/>
        <v>0</v>
      </c>
      <c r="AP7" s="120">
        <f t="shared" si="24"/>
        <v>0</v>
      </c>
      <c r="AQ7" s="120">
        <f t="shared" si="25"/>
        <v>0</v>
      </c>
      <c r="AR7" s="202">
        <f t="shared" si="26"/>
        <v>0</v>
      </c>
      <c r="AT7" s="8"/>
      <c r="AU7" s="9"/>
      <c r="AV7" s="9"/>
      <c r="AW7" s="9"/>
      <c r="AX7" s="127">
        <f>J21</f>
        <v>0</v>
      </c>
      <c r="AY7" s="129">
        <f>ABS(AK151)</f>
        <v>0</v>
      </c>
      <c r="AZ7" s="132">
        <f>IFERROR(IF(AND($AT$4&gt;=5,ABS($AK$149)&lt;0),ABS($AK$149),0),NA())</f>
        <v>0</v>
      </c>
      <c r="BA7" s="180">
        <f>IFERROR(AY7+AZ7,NA())</f>
        <v>0</v>
      </c>
      <c r="BB7" s="127">
        <f>IFERROR(IF(AND($AT$4&gt;=5,$AK$148&gt;0),$AK$148,0),NA())</f>
        <v>0</v>
      </c>
      <c r="BC7" s="133">
        <f>IF(BB7-BA7&lt;0,0,BB7-BA7)</f>
        <v>0</v>
      </c>
      <c r="BD7" s="130">
        <f>BC7+AX7</f>
        <v>0</v>
      </c>
      <c r="BE7" s="130">
        <f>IF(BD7-BA7&lt;0,0,BD7-BA7)</f>
        <v>0</v>
      </c>
      <c r="BF7" s="131" t="e">
        <f>BE7/BD7</f>
        <v>#DIV/0!</v>
      </c>
      <c r="BG7" s="126" t="e">
        <f>IFERROR((0.1*BD7)/BD7,NA())</f>
        <v>#N/A</v>
      </c>
      <c r="BH7" s="126" t="e">
        <f>IFERROR((0.1*BD7)/BD7,NA())</f>
        <v>#N/A</v>
      </c>
      <c r="BI7" s="126" t="e">
        <f>IFERROR((0.2*BD7)/BD7,NA())</f>
        <v>#N/A</v>
      </c>
      <c r="BJ7" s="131" t="e">
        <f>IFERROR(IF($AT$4&gt;5,0,BF7),NA())</f>
        <v>#N/A</v>
      </c>
      <c r="BK7" s="131">
        <f>IFERROR(IF($AT$4&gt;5,BF7,0),NA())</f>
        <v>0</v>
      </c>
      <c r="BL7" s="128" t="e">
        <f>IF(BK7&gt;0,0,BC7/AX7)</f>
        <v>#DIV/0!</v>
      </c>
      <c r="BM7" s="135">
        <f>IF((BD7-BE7)=0,0,(BD7-BE7)/BD7)</f>
        <v>0</v>
      </c>
      <c r="BN7" s="126" t="str">
        <f>IFERROR(BF7,"")</f>
        <v/>
      </c>
      <c r="BO7" s="8">
        <f>IFERROR(BA7,"")</f>
        <v>0</v>
      </c>
      <c r="BP7" s="8">
        <f>IFERROR(AX7,"")</f>
        <v>0</v>
      </c>
      <c r="BQ7" s="8" t="str">
        <f>IFERROR(IF(BC7=0,"",BC7),"")</f>
        <v/>
      </c>
      <c r="CL7" s="139">
        <f>AK$95*(-1)</f>
        <v>0</v>
      </c>
      <c r="CM7" s="139">
        <f t="shared" ref="CM7:CR7" si="31">AL$95*(-1)</f>
        <v>0</v>
      </c>
      <c r="CN7" s="139">
        <f t="shared" si="31"/>
        <v>0</v>
      </c>
      <c r="CO7" s="139">
        <f t="shared" si="31"/>
        <v>0</v>
      </c>
      <c r="CP7" s="139">
        <f t="shared" si="31"/>
        <v>0</v>
      </c>
      <c r="CQ7" s="139">
        <f t="shared" si="31"/>
        <v>0</v>
      </c>
      <c r="CR7" s="139">
        <f t="shared" si="31"/>
        <v>0</v>
      </c>
      <c r="CS7" s="31">
        <f t="shared" si="28"/>
        <v>0</v>
      </c>
      <c r="CU7" s="83"/>
      <c r="CV7" s="5"/>
      <c r="CY7" s="9" t="s">
        <v>185</v>
      </c>
      <c r="CZ7" s="9"/>
      <c r="DA7" s="126">
        <v>0.1</v>
      </c>
      <c r="DB7" s="126">
        <f>(SUM(DA5:DA10)-DB5)+DB8</f>
        <v>3.1</v>
      </c>
      <c r="DC7" s="5"/>
      <c r="DD7" s="114"/>
      <c r="DE7" s="114"/>
      <c r="DN7" s="9" t="str">
        <f t="shared" si="14"/>
        <v/>
      </c>
      <c r="DO7" s="9" t="str" cm="1">
        <f t="array" ref="DO7">_xlfn.IFS(RIGHT(A_Budget2!AJ15,5)="Total","",A_Budget2!AJ15="","",A_Budget2!AJ15&lt;&gt;"",A_Budget2!AJ15)</f>
        <v/>
      </c>
      <c r="DP7" s="9" t="str">
        <f>IFERROR(GETPIVOTDATA("[Measures].["&amp;A_Budget2!$AK$7&amp;"]",A_Budget2!$AJ$7,"[DataBudget2].[Cat_2]","[DataBudget2].[Cat_2].&amp;["&amp;A_Budget2!$AJ$8&amp;"]","[DataBudget2].[Cat_3]","[DataBudget2].[Cat_3].&amp;["&amp;DO7&amp;"]")/GETPIVOTDATA("[Measures].[Sum of Montant_Extrap 4]",A_Budget2!$AF$7,"[DataBudget2].[Cat_2]","[DataBudget2].[Cat_2].&amp;["&amp;WB_Data!$J$2&amp;"]"),"")</f>
        <v/>
      </c>
      <c r="DQ7" s="9" t="str" cm="1">
        <f t="array" ref="DQ7">IFERROR(INDEX($DO$1:$DO$16,SMALL(IF($DP$1:$DP$16=DR7,ROW($DP$1:$DP$16)),COUNTIF($DR$1:DR7,DR7))),"")</f>
        <v/>
      </c>
      <c r="DR7" s="104" t="str">
        <f t="shared" si="1"/>
        <v/>
      </c>
      <c r="DS7" s="103" t="str">
        <f>IFERROR(GETPIVOTDATA("[Measures].["&amp;A_Budget2!$AK$7&amp;"]",A_Budget2!$AJ$7,"[DataBudget2].[Cat_2]","[DataBudget2].[Cat_2].&amp;["&amp;A_Budget2!$AJ$8&amp;"]","[DataBudget2].[Cat_3]","[DataBudget2].[Cat_3].&amp;["&amp;DQ7&amp;"]"),"")</f>
        <v/>
      </c>
      <c r="DT7" s="154" t="str">
        <f>IFERROR(GETPIVOTDATA("[Measures].["&amp;A_Budget2!$AL$7&amp;"]",A_Budget2!$AJ$7,"[DataBudget2].[Cat_2]","[DataBudget2].[Cat_2].&amp;["&amp;A_Budget2!$AJ$8&amp;"]","[DataBudget2].[Cat_3]","[DataBudget2].[Cat_3].&amp;["&amp;DQ7&amp;"]")/GETPIVOTDATA("[Measures].[Sum of Last_Montant 2]",A_Budget2!$AF$7,"[DataBudget2].[Cat_2]","[DataBudget2].[Cat_2].&amp;["&amp;WB_Data!$J$2&amp;"]"),"")</f>
        <v/>
      </c>
      <c r="DU7" s="155" t="str">
        <f>IFERROR(GETPIVOTDATA("[Measures].["&amp;A_Budget2!$AL$7&amp;"]",A_Budget2!$AJ$7,"[DataBudget2].[Cat_2]","[DataBudget2].[Cat_2].&amp;["&amp;A_Budget2!$AJ$8&amp;"]","[DataBudget2].[Cat_3]","[DataBudget2].[Cat_3].&amp;["&amp;DQ7&amp;"]"),"")</f>
        <v/>
      </c>
      <c r="DV7" s="9" t="str">
        <f t="shared" si="0"/>
        <v/>
      </c>
      <c r="DW7" s="9"/>
      <c r="DX7" s="9"/>
      <c r="DY7" s="97" t="str">
        <f t="shared" si="15"/>
        <v/>
      </c>
      <c r="DZ7" s="9" t="str" cm="1">
        <f t="array" ref="DZ7">_xlfn.IFS(RIGHT(A_Budget2!AJ15,5)="Total","",A_Budget2!AJ15="","",A_Budget2!AJ15&lt;&gt;"",A_Budget2!AJ15)</f>
        <v/>
      </c>
      <c r="EA7" s="9" t="str">
        <f>IFERROR(GETPIVOTDATA("[Measures].["&amp;A_Budget2!$AL$7&amp;"]",A_Budget2!$AJ$7,"[DataBudget2].[Cat_2]","[DataBudget2].[Cat_2].&amp;["&amp;A_Budget2!$AJ$8&amp;"]","[DataBudget2].[Cat_3]","[DataBudget2].[Cat_3].&amp;["&amp;DZ7&amp;"]")/GETPIVOTDATA("[Measures].[Sum of Last_Montant 2]",A_Budget2!$AF$7,"[DataBudget2].[Cat_2]","[DataBudget2].[Cat_2].&amp;["&amp;WB_Data!$J$2&amp;"]"),"")</f>
        <v/>
      </c>
      <c r="EB7" s="9" t="str" cm="1">
        <f t="array" ref="EB7">IFERROR(INDEX($DZ$1:$DZ$16,SMALL(IF($EA$1:$EA$16=EC7,ROW($EA$1:$EA$16)),COUNTIF($EC$1:EC7,EC7))),"")</f>
        <v/>
      </c>
      <c r="EC7" s="154" t="str">
        <f t="shared" si="2"/>
        <v/>
      </c>
      <c r="ED7" s="154" t="str">
        <f>IFERROR(GETPIVOTDATA("[Measures].["&amp;A_Budget2!$AL$7&amp;"]",A_Budget2!$AJ$7,"[DataBudget2].[Cat_2]","[DataBudget2].[Cat_2].&amp;["&amp;A_Budget2!$AJ$8&amp;"]","[DataBudget2].[Cat_3]","[DataBudget2].[Cat_3].&amp;["&amp;EB7&amp;"]"),"")</f>
        <v/>
      </c>
      <c r="EE7" s="139" t="str">
        <f>IFERROR(GETPIVOTDATA("[Measures].["&amp;A_Budget2!$AK$7&amp;"]",A_Budget2!$AJ$7,"[DataBudget2].[Cat_2]","[DataBudget2].[Cat_2].&amp;["&amp;A_Budget2!$AJ$8&amp;"]","[DataBudget2].[Cat_3]","[DataBudget2].[Cat_3].&amp;["&amp;EB7&amp;"]")/GETPIVOTDATA("[Measures].[Sum of Montant_Extrap 4]",A_Budget2!$AF$7,"[DataBudget2].[Cat_2]","[DataBudget2].[Cat_2].&amp;["&amp;WB_Data!$J$2&amp;"]"),"")</f>
        <v/>
      </c>
      <c r="EF7" s="105" t="str">
        <f>IFERROR(GETPIVOTDATA("[Measures].["&amp;A_Budget2!$AK$7&amp;"]",A_Budget2!$AJ$7,"[DataBudget2].[Cat_2]","[DataBudget2].[Cat_2].&amp;["&amp;A_Budget2!$AJ$8&amp;"]","[DataBudget2].[Cat_3]","[DataBudget2].[Cat_3].&amp;["&amp;EB7&amp;"]"),"")</f>
        <v/>
      </c>
      <c r="EL7" s="166">
        <f ca="1">IFERROR(GETPIVOTDATA("[Measures].["&amp;A_Budget2!$AS$7&amp;"]",A_Budget2!$AQ$7,"[DataBudget2].[Cat_3]","[DataBudget2].[Cat_3].&amp;["&amp;ControlChart_Budget2!$ER$1&amp;"]","[DataBudget2].[Mois (Month)]","[DataBudget2].[Mois (Month)].&amp;["&amp;EV7&amp;"]","[DataBudget2].[Mois (Year)]","[DataBudget2].[Mois (Year)].&amp;["&amp;$EL$1&amp;"]"),0)</f>
        <v>0</v>
      </c>
      <c r="EM7" s="165">
        <f ca="1">IFERROR(IF($EN$1=1,0,GETPIVOTDATA("[Measures].["&amp;A_Budget2!$AS$7&amp;"]",A_Budget2!$AQ$7,"[DataBudget2].[Cat_3]","[DataBudget2].[Cat_3].&amp;["&amp;ControlChart_Budget2!$ER$1&amp;"]","[DataBudget2].[Mois (Month)]","[DataBudget2].[Mois (Month)].&amp;["&amp;EV7&amp;"]","[DataBudget2].[Mois (Year)]","[DataBudget2].[Mois (Year)].&amp;["&amp;$EM$1&amp;"]")),0)</f>
        <v>0</v>
      </c>
      <c r="EN7" s="139">
        <f ca="1">IFERROR(GETPIVOTDATA("[Measures].["&amp;A_Budget2!$AT$7&amp;"]",A_Budget2!$AQ$7,"[DataBudget2].[Cat_3]","[DataBudget2].[Cat_3].&amp;["&amp;ControlChart_Budget2!$ER$1&amp;"]","[DataBudget2].[Mois (Month)]","[DataBudget2].[Mois (Month)].&amp;["&amp;EV7&amp;"]","[DataBudget2].[Mois (Year)]","[DataBudget2].[Mois (Year)].&amp;["&amp;$EL$1&amp;"]"),0)</f>
        <v>0</v>
      </c>
      <c r="EO7" s="139">
        <f ca="1">IFERROR(IF($EN$1=1,0,GETPIVOTDATA("[Measures].["&amp;A_Budget2!$AT$7&amp;"]",A_Budget2!$AQ$7,"[DataBudget2].[Cat_3]","[DataBudget2].[Cat_3].&amp;["&amp;ControlChart_Budget2!$ER$1&amp;"]","[DataBudget2].[Mois (Month)]","[DataBudget2].[Mois (Month)].&amp;["&amp;EV7&amp;"]","[DataBudget2].[Mois (Year)]","[DataBudget2].[Mois (Year)].&amp;["&amp;$EM$1&amp;"]")),0)</f>
        <v>0</v>
      </c>
      <c r="EP7" s="167">
        <f ca="1">IFERROR(GETPIVOTDATA("[Measures].["&amp;A_Budget2!$AU$7&amp;"]",A_Budget2!$AQ$7,"[DataBudget2].[Cat_3]","[DataBudget2].[Cat_3].&amp;["&amp;ControlChart_Budget2!$ER$1&amp;"]","[DataBudget2].[Mois (Month)]","[DataBudget2].[Mois (Month)].&amp;["&amp;EV7&amp;"]","[DataBudget2].[Mois (Year)]","[DataBudget2].[Mois (Year)].&amp;["&amp;$EL$1&amp;"]"),0)</f>
        <v>0</v>
      </c>
      <c r="EQ7" s="167">
        <f ca="1">IFERROR(IF($EN$1=1,0,GETPIVOTDATA("[Measures].["&amp;A_Budget2!$AU$7&amp;"]",A_Budget2!$AQ$7,"[DataBudget2].[Cat_3]","[DataBudget2].[Cat_3].&amp;["&amp;ControlChart_Budget2!$ER$1&amp;"]","[DataBudget2].[Mois (Month)]","[DataBudget2].[Mois (Month)].&amp;["&amp;EV7&amp;"]","[DataBudget2].[Mois (Year)]","[DataBudget2].[Mois (Year)].&amp;["&amp;$EM$1&amp;"]")),0)</f>
        <v>0</v>
      </c>
      <c r="ER7" s="9" t="str">
        <f>IFERROR(IF(A_Budget2!AR14=0,"",A_Budget2!AR14),"")</f>
        <v/>
      </c>
      <c r="ES7" s="312">
        <f t="shared" ca="1" si="3"/>
        <v>0</v>
      </c>
      <c r="ET7" s="313">
        <f t="shared" ca="1" si="4"/>
        <v>0</v>
      </c>
      <c r="EU7" s="314">
        <f t="shared" ca="1" si="5"/>
        <v>0</v>
      </c>
      <c r="EV7" t="str">
        <f ca="1">IFERROR(VLOOKUP(ER7,Library!$R$18:$S$29,2,FALSE),Library!S23)</f>
        <v>juin</v>
      </c>
      <c r="EY7" s="168"/>
      <c r="EZ7" s="168"/>
      <c r="FA7" s="168"/>
      <c r="FB7" s="168"/>
      <c r="FC7" s="168"/>
      <c r="FD7" s="168"/>
      <c r="FE7">
        <f t="shared" si="16"/>
        <v>7</v>
      </c>
      <c r="FF7" s="105">
        <f>GETPIVOTDATA("[Measures].[ABSB2ME]",A_Budget2!$AF$32,"[DataBudget2].[Cat_2]","[DataBudget2].[Cat_2].&amp;["&amp;ControlChart_Budget2!FH6&amp;"]")</f>
        <v>4.0000000000000001E-3</v>
      </c>
      <c r="FG7" s="172">
        <f>GETPIVOTDATA("[Measures].[ABSB2LM]",A_Budget2!$AF$32,"[DataBudget2].[Cat_2]","[DataBudget2].[Cat_2].&amp;["&amp;ControlChart_Budget2!FH6&amp;"]")</f>
        <v>4.0000000000000001E-3</v>
      </c>
      <c r="FH7" t="str">
        <f>A_Budget2!AF39</f>
        <v>Category7</v>
      </c>
      <c r="FI7" s="174">
        <f t="shared" si="6"/>
        <v>1</v>
      </c>
      <c r="FJ7" s="175">
        <f t="shared" si="7"/>
        <v>1</v>
      </c>
      <c r="FK7" t="str" cm="1">
        <f t="array" ref="FK7">IFERROR(INDEX($FH$1:$FH$18,SMALL(IF($FI$1:$FI$18=FL7,ROW($FI$1:$FI$18)),COUNTIF($FL$1:FL7,FL7))),"")</f>
        <v>Category7</v>
      </c>
      <c r="FL7" s="174">
        <f t="shared" si="8"/>
        <v>1</v>
      </c>
      <c r="FM7" s="176">
        <f t="shared" si="9"/>
        <v>1</v>
      </c>
      <c r="FN7" t="str" cm="1">
        <f t="array" ref="FN7">_xlfn.IFS(FK7=0,"",FK7=$A$1,"",FK7&lt;&gt;"",FK7)</f>
        <v>Category7</v>
      </c>
      <c r="FO7">
        <f t="shared" si="10"/>
        <v>-0.05</v>
      </c>
      <c r="FP7" s="177">
        <f t="shared" si="11"/>
        <v>1</v>
      </c>
      <c r="FQ7" s="178">
        <f t="shared" si="12"/>
        <v>1</v>
      </c>
    </row>
    <row r="8" spans="1:173" x14ac:dyDescent="0.25">
      <c r="C8" s="118" t="str">
        <f>A_Budget2!T13</f>
        <v>Category5</v>
      </c>
      <c r="D8" s="116">
        <f>GETPIVOTDATA("[Measures].[ABSB2ME]",A_Budget2!$T$8,"[DataBudget2].[Cat_2]","[DataBudget2].[Cat_2].&amp;["&amp;ControlChart_Budget2!C8&amp;"]")</f>
        <v>0.14285714285714277</v>
      </c>
      <c r="E8" s="212">
        <v>2</v>
      </c>
      <c r="F8" s="5">
        <f t="shared" si="30"/>
        <v>100</v>
      </c>
      <c r="G8" s="5" t="e" cm="1">
        <f t="array" ref="G8">_xlfn.IFS(ROW(G8)&gt;$G$6,2,I8&lt;&gt;($I$6+1),COUNT(1))</f>
        <v>#N/A</v>
      </c>
      <c r="H8" t="str" cm="1">
        <f t="array" ref="H8">_xlfn.IFS(ISNA(G8),"",G8=1,COUNTIF($G$7:G8,1),G8=2,COUNTIF($G$7:G8,2))</f>
        <v/>
      </c>
      <c r="I8" s="5">
        <v>2026</v>
      </c>
      <c r="J8" s="5">
        <v>0</v>
      </c>
      <c r="K8" s="5">
        <v>0</v>
      </c>
      <c r="L8" s="5">
        <v>0</v>
      </c>
      <c r="M8" s="5">
        <v>0</v>
      </c>
      <c r="N8" s="5">
        <v>0</v>
      </c>
      <c r="O8" s="5">
        <v>0</v>
      </c>
      <c r="P8" s="5">
        <v>0</v>
      </c>
      <c r="Q8" s="5">
        <v>0</v>
      </c>
      <c r="R8" s="5">
        <v>0</v>
      </c>
      <c r="S8" s="5">
        <v>0</v>
      </c>
      <c r="T8" s="5">
        <v>0</v>
      </c>
      <c r="U8" s="5">
        <v>0</v>
      </c>
      <c r="V8" s="5">
        <v>0</v>
      </c>
      <c r="W8" s="5">
        <v>0</v>
      </c>
      <c r="X8" s="5">
        <v>0</v>
      </c>
      <c r="Y8" s="5">
        <v>0</v>
      </c>
      <c r="AA8">
        <f t="shared" si="18"/>
        <v>2</v>
      </c>
      <c r="AB8" s="195">
        <f>IF(OR(AA8=1,AA8=3),AO$42,0)</f>
        <v>0</v>
      </c>
      <c r="AC8" s="196">
        <f>IF(OR(AA8=1,AA8=3),0,IF(AJ8&lt;&gt;"",AO$42/$AC$15,0))</f>
        <v>0.25</v>
      </c>
      <c r="AD8" s="200">
        <f>IF(OR($AA8=1,AA8=3),AO$81,0)</f>
        <v>0</v>
      </c>
      <c r="AE8" s="201" t="e">
        <f>IF(OR($AA8=1,AA8=3),0,IF($AJ8&lt;&gt;"",AO$81/AE$15,0))</f>
        <v>#VALUE!</v>
      </c>
      <c r="AF8" s="37">
        <f>IF(OR($AA8=1,AA8=3),AO$117,0)</f>
        <v>0</v>
      </c>
      <c r="AG8" s="197" t="e">
        <f>IF(OR($AA8=1,AA8=3),0,IF($AJ8&lt;&gt;"",AO$117/AG$15,0))</f>
        <v>#DIV/0!</v>
      </c>
      <c r="AH8" s="199">
        <f>IF(OR($AA8=1,AA8=3),AO$150,0)</f>
        <v>0</v>
      </c>
      <c r="AI8" s="199" t="e">
        <f>IF(OR($AA8=1,AA8=3),0,IF($AJ8&lt;&gt;"",AO$150/AI$15,0))</f>
        <v>#DIV/0!</v>
      </c>
      <c r="AJ8" s="120" t="str">
        <f>IF(ISBLANK($C$8),"",$C$8)</f>
        <v>Category5</v>
      </c>
      <c r="AK8" s="120">
        <f t="shared" si="19"/>
        <v>0</v>
      </c>
      <c r="AL8" s="120">
        <f t="shared" si="20"/>
        <v>0</v>
      </c>
      <c r="AM8" s="120">
        <f t="shared" si="21"/>
        <v>0</v>
      </c>
      <c r="AN8" s="120">
        <f t="shared" si="22"/>
        <v>0</v>
      </c>
      <c r="AO8" s="120">
        <f t="shared" si="23"/>
        <v>0</v>
      </c>
      <c r="AP8" s="120">
        <f t="shared" si="24"/>
        <v>0</v>
      </c>
      <c r="AQ8" s="120">
        <f t="shared" si="25"/>
        <v>0</v>
      </c>
      <c r="AR8" s="202">
        <f t="shared" si="26"/>
        <v>0</v>
      </c>
      <c r="AT8" s="304" cm="1">
        <f t="array" ref="AT8">_xlfn.IFS($AT$4=1,BO3,$AT$4=2,BO4,$AT$4=3,BO5,$AT$4=4,BO6,$AT$4=5,BO7)</f>
        <v>2.0000000000000001E-4</v>
      </c>
      <c r="AU8" s="304" cm="1">
        <f t="array" ref="AU8">_xlfn.IFS($AT$4=1,BP3,$AT$4=2,BP4,$AT$4=3,BP5,$AT$4=4,BP6,$AT$4=5,BP7)</f>
        <v>2E-3</v>
      </c>
      <c r="AV8" s="8" t="str">
        <f>IF(AU8&lt;&gt;"","/ "&amp;AU8&amp;WB_Data!EJ2,"")</f>
        <v>/ 0.002$</v>
      </c>
      <c r="AW8" s="303" cm="1">
        <f t="array" ref="AW8">_xlfn.IFS($AT$4=1,BQ3,$AT$4=2,BQ4,$AT$4=3,BQ5,$AT$4=4,BQ6,$AT$4=5,BQ7)</f>
        <v>0</v>
      </c>
      <c r="AX8" s="85" t="str">
        <f>IF(AW8="","","Extra")</f>
        <v>Extra</v>
      </c>
      <c r="BG8" s="181"/>
      <c r="BH8" s="181"/>
      <c r="BI8" s="181"/>
      <c r="CL8" s="139">
        <f>AK$126*(-1)</f>
        <v>0</v>
      </c>
      <c r="CM8" s="139">
        <f t="shared" ref="CM8:CR8" si="32">AL$126*(-1)</f>
        <v>0</v>
      </c>
      <c r="CN8" s="139">
        <f t="shared" si="32"/>
        <v>0</v>
      </c>
      <c r="CO8" s="139">
        <f t="shared" si="32"/>
        <v>0</v>
      </c>
      <c r="CP8" s="139">
        <f t="shared" si="32"/>
        <v>0</v>
      </c>
      <c r="CQ8" s="139">
        <f t="shared" si="32"/>
        <v>0</v>
      </c>
      <c r="CR8" s="139">
        <f t="shared" si="32"/>
        <v>0</v>
      </c>
      <c r="CS8" s="31">
        <f t="shared" si="28"/>
        <v>0</v>
      </c>
      <c r="CU8" s="83"/>
      <c r="CV8" s="5"/>
      <c r="CY8" s="9" t="s">
        <v>186</v>
      </c>
      <c r="CZ8" s="9"/>
      <c r="DA8" s="126">
        <v>0.2</v>
      </c>
      <c r="DB8" s="9" t="b">
        <f>IF(DB5&gt;1.1,(1-DB5))</f>
        <v>0</v>
      </c>
      <c r="DC8" s="5"/>
      <c r="DD8" s="114"/>
      <c r="DE8" s="114"/>
      <c r="DN8" s="9" t="str">
        <f t="shared" si="14"/>
        <v/>
      </c>
      <c r="DO8" s="9" t="str" cm="1">
        <f t="array" ref="DO8">_xlfn.IFS(RIGHT(A_Budget2!AJ16,5)="Total","",A_Budget2!AJ16="","",A_Budget2!AJ16&lt;&gt;"",A_Budget2!AJ16)</f>
        <v/>
      </c>
      <c r="DP8" s="9" t="str">
        <f>IFERROR(GETPIVOTDATA("[Measures].["&amp;A_Budget2!$AK$7&amp;"]",A_Budget2!$AJ$7,"[DataBudget2].[Cat_2]","[DataBudget2].[Cat_2].&amp;["&amp;A_Budget2!$AJ$8&amp;"]","[DataBudget2].[Cat_3]","[DataBudget2].[Cat_3].&amp;["&amp;DO8&amp;"]")/GETPIVOTDATA("[Measures].[Sum of Montant_Extrap 4]",A_Budget2!$AF$7,"[DataBudget2].[Cat_2]","[DataBudget2].[Cat_2].&amp;["&amp;WB_Data!$J$2&amp;"]"),"")</f>
        <v/>
      </c>
      <c r="DQ8" s="9" t="str" cm="1">
        <f t="array" ref="DQ8">IFERROR(INDEX($DO$1:$DO$16,SMALL(IF($DP$1:$DP$16=DR8,ROW($DP$1:$DP$16)),COUNTIF($DR$1:DR8,DR8))),"")</f>
        <v/>
      </c>
      <c r="DR8" s="104" t="str">
        <f t="shared" si="1"/>
        <v/>
      </c>
      <c r="DS8" s="103" t="str">
        <f>IFERROR(GETPIVOTDATA("[Measures].["&amp;A_Budget2!$AK$7&amp;"]",A_Budget2!$AJ$7,"[DataBudget2].[Cat_2]","[DataBudget2].[Cat_2].&amp;["&amp;A_Budget2!$AJ$8&amp;"]","[DataBudget2].[Cat_3]","[DataBudget2].[Cat_3].&amp;["&amp;DQ8&amp;"]"),"")</f>
        <v/>
      </c>
      <c r="DT8" s="154" t="str">
        <f>IFERROR(GETPIVOTDATA("[Measures].["&amp;A_Budget2!$AL$7&amp;"]",A_Budget2!$AJ$7,"[DataBudget2].[Cat_2]","[DataBudget2].[Cat_2].&amp;["&amp;A_Budget2!$AJ$8&amp;"]","[DataBudget2].[Cat_3]","[DataBudget2].[Cat_3].&amp;["&amp;DQ8&amp;"]")/GETPIVOTDATA("[Measures].[Sum of Last_Montant 2]",A_Budget2!$AF$7,"[DataBudget2].[Cat_2]","[DataBudget2].[Cat_2].&amp;["&amp;WB_Data!$J$2&amp;"]"),"")</f>
        <v/>
      </c>
      <c r="DU8" s="155" t="str">
        <f>IFERROR(GETPIVOTDATA("[Measures].["&amp;A_Budget2!$AL$7&amp;"]",A_Budget2!$AJ$7,"[DataBudget2].[Cat_2]","[DataBudget2].[Cat_2].&amp;["&amp;A_Budget2!$AJ$8&amp;"]","[DataBudget2].[Cat_3]","[DataBudget2].[Cat_3].&amp;["&amp;DQ8&amp;"]"),"")</f>
        <v/>
      </c>
      <c r="DV8" s="9" t="str">
        <f t="shared" si="0"/>
        <v/>
      </c>
      <c r="DW8" s="9"/>
      <c r="DX8" s="9"/>
      <c r="DY8" s="97" t="str">
        <f t="shared" si="15"/>
        <v/>
      </c>
      <c r="DZ8" s="9" t="str" cm="1">
        <f t="array" ref="DZ8">_xlfn.IFS(RIGHT(A_Budget2!AJ16,5)="Total","",A_Budget2!AJ16="","",A_Budget2!AJ16&lt;&gt;"",A_Budget2!AJ16)</f>
        <v/>
      </c>
      <c r="EA8" s="9" t="str">
        <f>IFERROR(GETPIVOTDATA("[Measures].["&amp;A_Budget2!$AL$7&amp;"]",A_Budget2!$AJ$7,"[DataBudget2].[Cat_2]","[DataBudget2].[Cat_2].&amp;["&amp;A_Budget2!$AJ$8&amp;"]","[DataBudget2].[Cat_3]","[DataBudget2].[Cat_3].&amp;["&amp;DZ8&amp;"]")/GETPIVOTDATA("[Measures].[Sum of Last_Montant 2]",A_Budget2!$AF$7,"[DataBudget2].[Cat_2]","[DataBudget2].[Cat_2].&amp;["&amp;WB_Data!$J$2&amp;"]"),"")</f>
        <v/>
      </c>
      <c r="EB8" s="9" t="str" cm="1">
        <f t="array" ref="EB8">IFERROR(INDEX($DZ$1:$DZ$16,SMALL(IF($EA$1:$EA$16=EC8,ROW($EA$1:$EA$16)),COUNTIF($EC$1:EC8,EC8))),"")</f>
        <v/>
      </c>
      <c r="EC8" s="154" t="str">
        <f t="shared" si="2"/>
        <v/>
      </c>
      <c r="ED8" s="154" t="str">
        <f>IFERROR(GETPIVOTDATA("[Measures].["&amp;A_Budget2!$AL$7&amp;"]",A_Budget2!$AJ$7,"[DataBudget2].[Cat_2]","[DataBudget2].[Cat_2].&amp;["&amp;A_Budget2!$AJ$8&amp;"]","[DataBudget2].[Cat_3]","[DataBudget2].[Cat_3].&amp;["&amp;EB8&amp;"]"),"")</f>
        <v/>
      </c>
      <c r="EE8" s="139" t="str">
        <f>IFERROR(GETPIVOTDATA("[Measures].["&amp;A_Budget2!$AK$7&amp;"]",A_Budget2!$AJ$7,"[DataBudget2].[Cat_2]","[DataBudget2].[Cat_2].&amp;["&amp;A_Budget2!$AJ$8&amp;"]","[DataBudget2].[Cat_3]","[DataBudget2].[Cat_3].&amp;["&amp;EB8&amp;"]")/GETPIVOTDATA("[Measures].[Sum of Montant_Extrap 4]",A_Budget2!$AF$7,"[DataBudget2].[Cat_2]","[DataBudget2].[Cat_2].&amp;["&amp;WB_Data!$J$2&amp;"]"),"")</f>
        <v/>
      </c>
      <c r="EF8" s="105" t="str">
        <f>IFERROR(GETPIVOTDATA("[Measures].["&amp;A_Budget2!$AK$7&amp;"]",A_Budget2!$AJ$7,"[DataBudget2].[Cat_2]","[DataBudget2].[Cat_2].&amp;["&amp;A_Budget2!$AJ$8&amp;"]","[DataBudget2].[Cat_3]","[DataBudget2].[Cat_3].&amp;["&amp;EB8&amp;"]"),"")</f>
        <v/>
      </c>
      <c r="EL8" s="166">
        <f ca="1">IFERROR(GETPIVOTDATA("[Measures].["&amp;A_Budget2!$AS$7&amp;"]",A_Budget2!$AQ$7,"[DataBudget2].[Cat_3]","[DataBudget2].[Cat_3].&amp;["&amp;ControlChart_Budget2!$ER$1&amp;"]","[DataBudget2].[Mois (Month)]","[DataBudget2].[Mois (Month)].&amp;["&amp;EV8&amp;"]","[DataBudget2].[Mois (Year)]","[DataBudget2].[Mois (Year)].&amp;["&amp;$EL$1&amp;"]"),0)</f>
        <v>0</v>
      </c>
      <c r="EM8" s="165">
        <f ca="1">IFERROR(IF($EN$1=1,0,GETPIVOTDATA("[Measures].["&amp;A_Budget2!$AS$7&amp;"]",A_Budget2!$AQ$7,"[DataBudget2].[Cat_3]","[DataBudget2].[Cat_3].&amp;["&amp;ControlChart_Budget2!$ER$1&amp;"]","[DataBudget2].[Mois (Month)]","[DataBudget2].[Mois (Month)].&amp;["&amp;EV8&amp;"]","[DataBudget2].[Mois (Year)]","[DataBudget2].[Mois (Year)].&amp;["&amp;$EM$1&amp;"]")),0)</f>
        <v>0</v>
      </c>
      <c r="EN8" s="139">
        <f ca="1">IFERROR(GETPIVOTDATA("[Measures].["&amp;A_Budget2!$AT$7&amp;"]",A_Budget2!$AQ$7,"[DataBudget2].[Cat_3]","[DataBudget2].[Cat_3].&amp;["&amp;ControlChart_Budget2!$ER$1&amp;"]","[DataBudget2].[Mois (Month)]","[DataBudget2].[Mois (Month)].&amp;["&amp;EV8&amp;"]","[DataBudget2].[Mois (Year)]","[DataBudget2].[Mois (Year)].&amp;["&amp;$EL$1&amp;"]"),0)</f>
        <v>0</v>
      </c>
      <c r="EO8" s="139">
        <f ca="1">IFERROR(IF($EN$1=1,0,GETPIVOTDATA("[Measures].["&amp;A_Budget2!$AT$7&amp;"]",A_Budget2!$AQ$7,"[DataBudget2].[Cat_3]","[DataBudget2].[Cat_3].&amp;["&amp;ControlChart_Budget2!$ER$1&amp;"]","[DataBudget2].[Mois (Month)]","[DataBudget2].[Mois (Month)].&amp;["&amp;EV8&amp;"]","[DataBudget2].[Mois (Year)]","[DataBudget2].[Mois (Year)].&amp;["&amp;$EM$1&amp;"]")),0)</f>
        <v>0</v>
      </c>
      <c r="EP8" s="167">
        <f ca="1">IFERROR(GETPIVOTDATA("[Measures].["&amp;A_Budget2!$AU$7&amp;"]",A_Budget2!$AQ$7,"[DataBudget2].[Cat_3]","[DataBudget2].[Cat_3].&amp;["&amp;ControlChart_Budget2!$ER$1&amp;"]","[DataBudget2].[Mois (Month)]","[DataBudget2].[Mois (Month)].&amp;["&amp;EV8&amp;"]","[DataBudget2].[Mois (Year)]","[DataBudget2].[Mois (Year)].&amp;["&amp;$EL$1&amp;"]"),0)</f>
        <v>0</v>
      </c>
      <c r="EQ8" s="167">
        <f ca="1">IFERROR(IF($EN$1=1,0,GETPIVOTDATA("[Measures].["&amp;A_Budget2!$AU$7&amp;"]",A_Budget2!$AQ$7,"[DataBudget2].[Cat_3]","[DataBudget2].[Cat_3].&amp;["&amp;ControlChart_Budget2!$ER$1&amp;"]","[DataBudget2].[Mois (Month)]","[DataBudget2].[Mois (Month)].&amp;["&amp;EV8&amp;"]","[DataBudget2].[Mois (Year)]","[DataBudget2].[Mois (Year)].&amp;["&amp;$EM$1&amp;"]")),0)</f>
        <v>0</v>
      </c>
      <c r="ER8" s="9" t="str">
        <f>IFERROR(IF(A_Budget2!AR15=0,"",A_Budget2!AR15),"")</f>
        <v/>
      </c>
      <c r="ES8" s="312">
        <f t="shared" ca="1" si="3"/>
        <v>0</v>
      </c>
      <c r="ET8" s="313">
        <f t="shared" ca="1" si="4"/>
        <v>0</v>
      </c>
      <c r="EU8" s="314">
        <f t="shared" ca="1" si="5"/>
        <v>0</v>
      </c>
      <c r="EV8" t="str">
        <f ca="1">IFERROR(VLOOKUP(ER8,Library!$R$18:$S$29,2,FALSE),Library!S24)</f>
        <v>juil</v>
      </c>
      <c r="EY8" s="168"/>
      <c r="EZ8" s="168"/>
      <c r="FA8" s="168"/>
      <c r="FB8" s="168"/>
      <c r="FC8" s="168"/>
      <c r="FD8" s="168"/>
      <c r="FE8">
        <f t="shared" si="16"/>
        <v>8</v>
      </c>
      <c r="FF8" s="105">
        <f>GETPIVOTDATA("[Measures].[ABSB2ME]",A_Budget2!$AF$32,"[DataBudget2].[Cat_2]","[DataBudget2].[Cat_2].&amp;["&amp;ControlChart_Budget2!FH7&amp;"]")</f>
        <v>4.0000000000000001E-3</v>
      </c>
      <c r="FG8" s="172">
        <f>GETPIVOTDATA("[Measures].[ABSB2LM]",A_Budget2!$AF$32,"[DataBudget2].[Cat_2]","[DataBudget2].[Cat_2].&amp;["&amp;ControlChart_Budget2!FH7&amp;"]")</f>
        <v>4.0000000000000001E-3</v>
      </c>
      <c r="FH8" t="str">
        <f>A_Budget2!AF40</f>
        <v>Grand Total</v>
      </c>
      <c r="FI8" s="174">
        <f t="shared" si="6"/>
        <v>0</v>
      </c>
      <c r="FJ8" s="175">
        <f t="shared" si="7"/>
        <v>0</v>
      </c>
      <c r="FK8" t="str" cm="1">
        <f t="array" ref="FK8">IFERROR(INDEX($FH$1:$FH$18,SMALL(IF($FI$1:$FI$18=FL8,ROW($FI$1:$FI$18)),COUNTIF($FL$1:FL8,FL8))),"")</f>
        <v>Grand Total</v>
      </c>
      <c r="FL8" s="174">
        <f t="shared" si="8"/>
        <v>0</v>
      </c>
      <c r="FM8" s="176">
        <f t="shared" si="9"/>
        <v>0</v>
      </c>
      <c r="FN8" t="str" cm="1">
        <f t="array" ref="FN8">_xlfn.IFS(FK8=0,"",FK8=$A$1,"",FK8&lt;&gt;"",FK8)</f>
        <v/>
      </c>
      <c r="FO8" t="str">
        <f t="shared" si="10"/>
        <v/>
      </c>
      <c r="FP8" s="177" t="str">
        <f t="shared" si="11"/>
        <v/>
      </c>
      <c r="FQ8" s="178" t="str">
        <f t="shared" si="12"/>
        <v/>
      </c>
    </row>
    <row r="9" spans="1:173" x14ac:dyDescent="0.25">
      <c r="C9" s="118" t="str">
        <f>A_Budget2!T14</f>
        <v>Category6</v>
      </c>
      <c r="D9" s="116">
        <f>GETPIVOTDATA("[Measures].[ABSB2ME]",A_Budget2!$T$8,"[DataBudget2].[Cat_2]","[DataBudget2].[Cat_2].&amp;["&amp;ControlChart_Budget2!C9&amp;"]")</f>
        <v>0.14285714285714277</v>
      </c>
      <c r="E9" s="212">
        <v>2</v>
      </c>
      <c r="F9" s="5">
        <f t="shared" si="30"/>
        <v>21</v>
      </c>
      <c r="G9" cm="1">
        <f t="array" ref="G9">_xlfn.IFS(ROW(G9)&gt;$G$6,2,I9&lt;&gt;($I$6+1),COUNT(1))</f>
        <v>2</v>
      </c>
      <c r="H9" cm="1">
        <f t="array" ref="H9">_xlfn.IFS(ISNA(G9),"",G9=1,COUNTIF($G$7:G9,1),G9=2,COUNTIF($G$7:G9,2))</f>
        <v>1</v>
      </c>
      <c r="I9" s="5" t="str">
        <v>Qtr1</v>
      </c>
      <c r="J9" s="5">
        <v>2E-3</v>
      </c>
      <c r="K9" s="5">
        <v>2.0000000000000001E-4</v>
      </c>
      <c r="L9" s="5">
        <v>2E-3</v>
      </c>
      <c r="M9" s="5">
        <v>2.0000000000000001E-4</v>
      </c>
      <c r="N9" s="5">
        <v>2E-3</v>
      </c>
      <c r="O9" s="5">
        <v>2.0000000000000001E-4</v>
      </c>
      <c r="P9" s="5">
        <v>2E-3</v>
      </c>
      <c r="Q9" s="5">
        <v>2.0000000000000001E-4</v>
      </c>
      <c r="R9" s="5">
        <v>2E-3</v>
      </c>
      <c r="S9" s="5">
        <v>2.0000000000000001E-4</v>
      </c>
      <c r="T9" s="5">
        <v>2E-3</v>
      </c>
      <c r="U9" s="5">
        <v>2.0000000000000001E-4</v>
      </c>
      <c r="V9" s="5">
        <v>2E-3</v>
      </c>
      <c r="W9" s="5">
        <v>2.0000000000000001E-4</v>
      </c>
      <c r="X9" s="5">
        <v>1.4000000000000005E-2</v>
      </c>
      <c r="Y9" s="5">
        <v>1.4000000000000004E-3</v>
      </c>
      <c r="AA9">
        <f t="shared" si="18"/>
        <v>2</v>
      </c>
      <c r="AB9" s="195">
        <f>IF(OR(AA9=1,AA9=3),AP$42,0)</f>
        <v>0</v>
      </c>
      <c r="AC9" s="196">
        <f>IF(OR(AA9=1,AA9=3),0,IF(AJ9&lt;&gt;"",AP$42/$AC$15,0))</f>
        <v>0.25</v>
      </c>
      <c r="AD9" s="200">
        <f>IF(OR($AA9=1,AA9=3),AP$81,0)</f>
        <v>0</v>
      </c>
      <c r="AE9" s="201" t="e">
        <f>IF(OR($AA9=1,AA9=3),0,IF($AJ9&lt;&gt;"",AP$81/AE$15,0))</f>
        <v>#VALUE!</v>
      </c>
      <c r="AF9" s="37">
        <f>IF(OR($AA9=1,AA9=3),AP$117,0)</f>
        <v>0</v>
      </c>
      <c r="AG9" s="197" t="e">
        <f>IF(OR($AA9=1,AA9=3),0,IF($AJ9&lt;&gt;"",AP$117/AG$15,0))</f>
        <v>#DIV/0!</v>
      </c>
      <c r="AH9" s="199">
        <f>IF(OR($AA9=1,AA9=3),AP$150,0)</f>
        <v>0</v>
      </c>
      <c r="AI9" s="199" t="e">
        <f>IF(OR($AA9=1,AA9=3),0,IF($AJ9&lt;&gt;"",AP$150/AI$15,0))</f>
        <v>#DIV/0!</v>
      </c>
      <c r="AJ9" s="120" t="str">
        <f>IF(ISBLANK($C$9),"",$C$9)</f>
        <v>Category6</v>
      </c>
      <c r="AK9" s="120">
        <f t="shared" si="19"/>
        <v>0</v>
      </c>
      <c r="AL9" s="120">
        <f t="shared" si="20"/>
        <v>0</v>
      </c>
      <c r="AM9" s="120">
        <f t="shared" si="21"/>
        <v>0</v>
      </c>
      <c r="AN9" s="120">
        <f t="shared" si="22"/>
        <v>0</v>
      </c>
      <c r="AO9" s="120">
        <f t="shared" si="23"/>
        <v>0</v>
      </c>
      <c r="AP9" s="120">
        <f t="shared" si="24"/>
        <v>0</v>
      </c>
      <c r="AQ9" s="120">
        <f t="shared" si="25"/>
        <v>0</v>
      </c>
      <c r="AR9" s="202">
        <f t="shared" si="26"/>
        <v>0</v>
      </c>
      <c r="CL9" s="38">
        <f>AK$30</f>
        <v>0</v>
      </c>
      <c r="CM9" s="38">
        <f t="shared" ref="CM9:CR9" si="33">AL$30</f>
        <v>0</v>
      </c>
      <c r="CN9" s="38">
        <f t="shared" si="33"/>
        <v>0</v>
      </c>
      <c r="CO9" s="38">
        <f t="shared" si="33"/>
        <v>0</v>
      </c>
      <c r="CP9" s="38">
        <f t="shared" si="33"/>
        <v>0</v>
      </c>
      <c r="CQ9" s="38">
        <f t="shared" si="33"/>
        <v>0</v>
      </c>
      <c r="CR9" s="38">
        <f t="shared" si="33"/>
        <v>0</v>
      </c>
      <c r="CS9" s="40">
        <f t="shared" si="28"/>
        <v>0</v>
      </c>
      <c r="CY9" s="9" t="s">
        <v>187</v>
      </c>
      <c r="CZ9" s="9"/>
      <c r="DA9" s="126">
        <v>0.3</v>
      </c>
      <c r="DB9" s="9"/>
      <c r="DC9" s="5"/>
      <c r="DD9" s="5"/>
      <c r="DE9" s="114"/>
      <c r="DN9" s="9" t="str">
        <f t="shared" si="14"/>
        <v/>
      </c>
      <c r="DO9" s="9" t="str" cm="1">
        <f t="array" ref="DO9">_xlfn.IFS(RIGHT(A_Budget2!AJ17,5)="Total","",A_Budget2!AJ17="","",A_Budget2!AJ17&lt;&gt;"",A_Budget2!AJ17)</f>
        <v/>
      </c>
      <c r="DP9" s="9" t="str">
        <f>IFERROR(GETPIVOTDATA("[Measures].["&amp;A_Budget2!$AK$7&amp;"]",A_Budget2!$AJ$7,"[DataBudget2].[Cat_2]","[DataBudget2].[Cat_2].&amp;["&amp;A_Budget2!$AJ$8&amp;"]","[DataBudget2].[Cat_3]","[DataBudget2].[Cat_3].&amp;["&amp;DO9&amp;"]")/GETPIVOTDATA("[Measures].[Sum of Montant_Extrap 4]",A_Budget2!$AF$7,"[DataBudget2].[Cat_2]","[DataBudget2].[Cat_2].&amp;["&amp;WB_Data!$J$2&amp;"]"),"")</f>
        <v/>
      </c>
      <c r="DQ9" s="9" t="str" cm="1">
        <f t="array" ref="DQ9">IFERROR(INDEX($DO$1:$DO$16,SMALL(IF($DP$1:$DP$16=DR9,ROW($DP$1:$DP$16)),COUNTIF($DR$1:DR9,DR9))),"")</f>
        <v/>
      </c>
      <c r="DR9" s="104" t="str">
        <f t="shared" si="1"/>
        <v/>
      </c>
      <c r="DS9" s="103" t="str">
        <f>IFERROR(GETPIVOTDATA("[Measures].["&amp;A_Budget2!$AK$7&amp;"]",A_Budget2!$AJ$7,"[DataBudget2].[Cat_2]","[DataBudget2].[Cat_2].&amp;["&amp;A_Budget2!$AJ$8&amp;"]","[DataBudget2].[Cat_3]","[DataBudget2].[Cat_3].&amp;["&amp;DQ9&amp;"]"),"")</f>
        <v/>
      </c>
      <c r="DT9" s="154" t="str">
        <f>IFERROR(GETPIVOTDATA("[Measures].["&amp;A_Budget2!$AL$7&amp;"]",A_Budget2!$AJ$7,"[DataBudget2].[Cat_2]","[DataBudget2].[Cat_2].&amp;["&amp;A_Budget2!$AJ$8&amp;"]","[DataBudget2].[Cat_3]","[DataBudget2].[Cat_3].&amp;["&amp;DQ9&amp;"]")/GETPIVOTDATA("[Measures].[Sum of Last_Montant 2]",A_Budget2!$AF$7,"[DataBudget2].[Cat_2]","[DataBudget2].[Cat_2].&amp;["&amp;WB_Data!$J$2&amp;"]"),"")</f>
        <v/>
      </c>
      <c r="DU9" s="155" t="str">
        <f>IFERROR(GETPIVOTDATA("[Measures].["&amp;A_Budget2!$AL$7&amp;"]",A_Budget2!$AJ$7,"[DataBudget2].[Cat_2]","[DataBudget2].[Cat_2].&amp;["&amp;A_Budget2!$AJ$8&amp;"]","[DataBudget2].[Cat_3]","[DataBudget2].[Cat_3].&amp;["&amp;DQ9&amp;"]"),"")</f>
        <v/>
      </c>
      <c r="DV9" s="9" t="str">
        <f t="shared" si="0"/>
        <v/>
      </c>
      <c r="DW9" s="9"/>
      <c r="DX9" s="9"/>
      <c r="DY9" s="97" t="str">
        <f t="shared" si="15"/>
        <v/>
      </c>
      <c r="DZ9" s="9" t="str" cm="1">
        <f t="array" ref="DZ9">_xlfn.IFS(RIGHT(A_Budget2!AJ17,5)="Total","",A_Budget2!AJ17="","",A_Budget2!AJ17&lt;&gt;"",A_Budget2!AJ17)</f>
        <v/>
      </c>
      <c r="EA9" s="9" t="str">
        <f>IFERROR(GETPIVOTDATA("[Measures].["&amp;A_Budget2!$AL$7&amp;"]",A_Budget2!$AJ$7,"[DataBudget2].[Cat_2]","[DataBudget2].[Cat_2].&amp;["&amp;A_Budget2!$AJ$8&amp;"]","[DataBudget2].[Cat_3]","[DataBudget2].[Cat_3].&amp;["&amp;DZ9&amp;"]")/GETPIVOTDATA("[Measures].[Sum of Last_Montant 2]",A_Budget2!$AF$7,"[DataBudget2].[Cat_2]","[DataBudget2].[Cat_2].&amp;["&amp;WB_Data!$J$2&amp;"]"),"")</f>
        <v/>
      </c>
      <c r="EB9" s="9" t="str" cm="1">
        <f t="array" ref="EB9">IFERROR(INDEX($DZ$1:$DZ$16,SMALL(IF($EA$1:$EA$16=EC9,ROW($EA$1:$EA$16)),COUNTIF($EC$1:EC9,EC9))),"")</f>
        <v/>
      </c>
      <c r="EC9" s="154" t="str">
        <f t="shared" si="2"/>
        <v/>
      </c>
      <c r="ED9" s="154" t="str">
        <f>IFERROR(GETPIVOTDATA("[Measures].["&amp;A_Budget2!$AL$7&amp;"]",A_Budget2!$AJ$7,"[DataBudget2].[Cat_2]","[DataBudget2].[Cat_2].&amp;["&amp;A_Budget2!$AJ$8&amp;"]","[DataBudget2].[Cat_3]","[DataBudget2].[Cat_3].&amp;["&amp;EB9&amp;"]"),"")</f>
        <v/>
      </c>
      <c r="EE9" s="139" t="str">
        <f>IFERROR(GETPIVOTDATA("[Measures].["&amp;A_Budget2!$AK$7&amp;"]",A_Budget2!$AJ$7,"[DataBudget2].[Cat_2]","[DataBudget2].[Cat_2].&amp;["&amp;A_Budget2!$AJ$8&amp;"]","[DataBudget2].[Cat_3]","[DataBudget2].[Cat_3].&amp;["&amp;EB9&amp;"]")/GETPIVOTDATA("[Measures].[Sum of Montant_Extrap 4]",A_Budget2!$AF$7,"[DataBudget2].[Cat_2]","[DataBudget2].[Cat_2].&amp;["&amp;WB_Data!$J$2&amp;"]"),"")</f>
        <v/>
      </c>
      <c r="EF9" s="105" t="str">
        <f>IFERROR(GETPIVOTDATA("[Measures].["&amp;A_Budget2!$AK$7&amp;"]",A_Budget2!$AJ$7,"[DataBudget2].[Cat_2]","[DataBudget2].[Cat_2].&amp;["&amp;A_Budget2!$AJ$8&amp;"]","[DataBudget2].[Cat_3]","[DataBudget2].[Cat_3].&amp;["&amp;EB9&amp;"]"),"")</f>
        <v/>
      </c>
      <c r="EL9" s="166">
        <f ca="1">IFERROR(GETPIVOTDATA("[Measures].["&amp;A_Budget2!$AS$7&amp;"]",A_Budget2!$AQ$7,"[DataBudget2].[Cat_3]","[DataBudget2].[Cat_3].&amp;["&amp;ControlChart_Budget2!$ER$1&amp;"]","[DataBudget2].[Mois (Month)]","[DataBudget2].[Mois (Month)].&amp;["&amp;EV9&amp;"]","[DataBudget2].[Mois (Year)]","[DataBudget2].[Mois (Year)].&amp;["&amp;$EL$1&amp;"]"),0)</f>
        <v>0</v>
      </c>
      <c r="EM9" s="165">
        <f ca="1">IFERROR(IF($EN$1=1,0,GETPIVOTDATA("[Measures].["&amp;A_Budget2!$AS$7&amp;"]",A_Budget2!$AQ$7,"[DataBudget2].[Cat_3]","[DataBudget2].[Cat_3].&amp;["&amp;ControlChart_Budget2!$ER$1&amp;"]","[DataBudget2].[Mois (Month)]","[DataBudget2].[Mois (Month)].&amp;["&amp;EV9&amp;"]","[DataBudget2].[Mois (Year)]","[DataBudget2].[Mois (Year)].&amp;["&amp;$EM$1&amp;"]")),0)</f>
        <v>0</v>
      </c>
      <c r="EN9" s="139">
        <f ca="1">IFERROR(GETPIVOTDATA("[Measures].["&amp;A_Budget2!$AT$7&amp;"]",A_Budget2!$AQ$7,"[DataBudget2].[Cat_3]","[DataBudget2].[Cat_3].&amp;["&amp;ControlChart_Budget2!$ER$1&amp;"]","[DataBudget2].[Mois (Month)]","[DataBudget2].[Mois (Month)].&amp;["&amp;EV9&amp;"]","[DataBudget2].[Mois (Year)]","[DataBudget2].[Mois (Year)].&amp;["&amp;$EL$1&amp;"]"),0)</f>
        <v>0</v>
      </c>
      <c r="EO9" s="139">
        <f ca="1">IFERROR(IF($EN$1=1,0,GETPIVOTDATA("[Measures].["&amp;A_Budget2!$AT$7&amp;"]",A_Budget2!$AQ$7,"[DataBudget2].[Cat_3]","[DataBudget2].[Cat_3].&amp;["&amp;ControlChart_Budget2!$ER$1&amp;"]","[DataBudget2].[Mois (Month)]","[DataBudget2].[Mois (Month)].&amp;["&amp;EV9&amp;"]","[DataBudget2].[Mois (Year)]","[DataBudget2].[Mois (Year)].&amp;["&amp;$EM$1&amp;"]")),0)</f>
        <v>0</v>
      </c>
      <c r="EP9" s="167">
        <f ca="1">IFERROR(GETPIVOTDATA("[Measures].["&amp;A_Budget2!$AU$7&amp;"]",A_Budget2!$AQ$7,"[DataBudget2].[Cat_3]","[DataBudget2].[Cat_3].&amp;["&amp;ControlChart_Budget2!$ER$1&amp;"]","[DataBudget2].[Mois (Month)]","[DataBudget2].[Mois (Month)].&amp;["&amp;EV9&amp;"]","[DataBudget2].[Mois (Year)]","[DataBudget2].[Mois (Year)].&amp;["&amp;$EL$1&amp;"]"),0)</f>
        <v>0</v>
      </c>
      <c r="EQ9" s="167">
        <f ca="1">IFERROR(IF($EN$1=1,0,GETPIVOTDATA("[Measures].["&amp;A_Budget2!$AU$7&amp;"]",A_Budget2!$AQ$7,"[DataBudget2].[Cat_3]","[DataBudget2].[Cat_3].&amp;["&amp;ControlChart_Budget2!$ER$1&amp;"]","[DataBudget2].[Mois (Month)]","[DataBudget2].[Mois (Month)].&amp;["&amp;EV9&amp;"]","[DataBudget2].[Mois (Year)]","[DataBudget2].[Mois (Year)].&amp;["&amp;$EM$1&amp;"]")),0)</f>
        <v>0</v>
      </c>
      <c r="ER9" s="9" t="str">
        <f>IFERROR(IF(A_Budget2!AR16=0,"",A_Budget2!AR16),"")</f>
        <v/>
      </c>
      <c r="ES9" s="312">
        <f t="shared" ca="1" si="3"/>
        <v>0</v>
      </c>
      <c r="ET9" s="313">
        <f t="shared" ca="1" si="4"/>
        <v>0</v>
      </c>
      <c r="EU9" s="314">
        <f t="shared" ca="1" si="5"/>
        <v>0</v>
      </c>
      <c r="EV9" t="str">
        <f ca="1">IFERROR(VLOOKUP(ER9,Library!$R$18:$S$29,2,FALSE),Library!S25)</f>
        <v>août</v>
      </c>
      <c r="EY9" s="168"/>
      <c r="EZ9" s="168"/>
      <c r="FA9" s="168"/>
      <c r="FB9" s="168"/>
      <c r="FC9" s="168"/>
      <c r="FD9" s="168"/>
      <c r="FE9" t="str">
        <f t="shared" si="16"/>
        <v/>
      </c>
      <c r="FF9" s="105" t="e">
        <f>GETPIVOTDATA("[Measures].[ABSB2ME]",A_Budget2!$AF$32,"[DataBudget2].[Cat_2]","[DataBudget2].[Cat_2].&amp;["&amp;ControlChart_Budget2!FH8&amp;"]")</f>
        <v>#REF!</v>
      </c>
      <c r="FG9" s="172" t="e">
        <f>GETPIVOTDATA("[Measures].[ABSB2LM]",A_Budget2!$AF$32,"[DataBudget2].[Cat_2]","[DataBudget2].[Cat_2].&amp;["&amp;ControlChart_Budget2!FH8&amp;"]")</f>
        <v>#REF!</v>
      </c>
      <c r="FH9">
        <f>A_Budget2!AF41</f>
        <v>0</v>
      </c>
      <c r="FI9" s="174">
        <f t="shared" si="6"/>
        <v>0</v>
      </c>
      <c r="FJ9" s="175">
        <f t="shared" si="7"/>
        <v>0</v>
      </c>
      <c r="FK9" cm="1">
        <f t="array" ref="FK9">IFERROR(INDEX($FH$1:$FH$18,SMALL(IF($FI$1:$FI$18=FL9,ROW($FI$1:$FI$18)),COUNTIF($FL$1:FL9,FL9))),"")</f>
        <v>0</v>
      </c>
      <c r="FL9" s="174">
        <f t="shared" si="8"/>
        <v>0</v>
      </c>
      <c r="FM9" s="176">
        <f t="shared" si="9"/>
        <v>0</v>
      </c>
      <c r="FN9" t="str" cm="1">
        <f t="array" ref="FN9">_xlfn.IFS(FK9=0,"",FK9=$A$1,"",FK9&lt;&gt;"",FK9)</f>
        <v/>
      </c>
      <c r="FO9" t="str">
        <f t="shared" si="10"/>
        <v/>
      </c>
      <c r="FP9" s="177" t="str">
        <f t="shared" si="11"/>
        <v/>
      </c>
      <c r="FQ9" s="178" t="str">
        <f t="shared" si="12"/>
        <v/>
      </c>
    </row>
    <row r="10" spans="1:173" x14ac:dyDescent="0.25">
      <c r="C10" s="118" t="str">
        <f>A_Budget2!T15</f>
        <v>Category7</v>
      </c>
      <c r="D10" s="116">
        <f>GETPIVOTDATA("[Measures].[ABSB2ME]",A_Budget2!$T$8,"[DataBudget2].[Cat_2]","[DataBudget2].[Cat_2].&amp;["&amp;ControlChart_Budget2!C10&amp;"]")</f>
        <v>0.14285714285714277</v>
      </c>
      <c r="E10" s="212">
        <v>3</v>
      </c>
      <c r="F10" s="5">
        <f t="shared" si="30"/>
        <v>22</v>
      </c>
      <c r="G10" cm="1">
        <f t="array" ref="G10">_xlfn.IFS(ROW(G10)&gt;$G$6,2,I10&lt;&gt;($I$6+1),COUNT(1))</f>
        <v>2</v>
      </c>
      <c r="H10" cm="1">
        <f t="array" ref="H10">_xlfn.IFS(ISNA(G10),"",G10=1,COUNTIF($G$7:G10,1),G10=2,COUNTIF($G$7:G10,2))</f>
        <v>2</v>
      </c>
      <c r="I10" s="5" t="str">
        <v>Grand Total</v>
      </c>
      <c r="J10" s="5">
        <v>4.0000000000000001E-3</v>
      </c>
      <c r="K10" s="5">
        <v>4.0000000000000002E-4</v>
      </c>
      <c r="L10" s="5">
        <v>4.0000000000000001E-3</v>
      </c>
      <c r="M10" s="5">
        <v>4.0000000000000002E-4</v>
      </c>
      <c r="N10" s="5">
        <v>4.0000000000000001E-3</v>
      </c>
      <c r="O10" s="5">
        <v>4.0000000000000002E-4</v>
      </c>
      <c r="P10" s="5">
        <v>4.0000000000000001E-3</v>
      </c>
      <c r="Q10" s="5">
        <v>4.0000000000000002E-4</v>
      </c>
      <c r="R10" s="5">
        <v>4.0000000000000001E-3</v>
      </c>
      <c r="S10" s="5">
        <v>4.0000000000000002E-4</v>
      </c>
      <c r="T10" s="5">
        <v>4.0000000000000001E-3</v>
      </c>
      <c r="U10" s="5">
        <v>4.0000000000000002E-4</v>
      </c>
      <c r="V10" s="5">
        <v>4.0000000000000001E-3</v>
      </c>
      <c r="W10" s="5">
        <v>4.0000000000000002E-4</v>
      </c>
      <c r="X10" s="5">
        <v>2.8000000000000018E-2</v>
      </c>
      <c r="Y10" s="5">
        <v>2.7999999999999991E-3</v>
      </c>
      <c r="AA10">
        <f t="shared" si="18"/>
        <v>3</v>
      </c>
      <c r="AB10" s="195">
        <f>IF(OR(AA10=1,AA10=3),AQ$42,0)</f>
        <v>2E-3</v>
      </c>
      <c r="AC10" s="196">
        <f>IF(OR(AA10=1,AA10=3),0,IF(AJ10&lt;&gt;"",AQ$42/$AC$15,0))</f>
        <v>0</v>
      </c>
      <c r="AD10" s="200" t="str">
        <f>IF(OR($AA10=1,AA10=3),AQ$81,0)</f>
        <v/>
      </c>
      <c r="AE10" s="201">
        <f>IF(OR($AA10=1,AA10=3),0,IF($AJ10&lt;&gt;"",AQ$81/AE$15,0))</f>
        <v>0</v>
      </c>
      <c r="AF10" s="37">
        <f>IF(OR($AA10=1,AA10=3),AQ$117,0)</f>
        <v>0</v>
      </c>
      <c r="AG10" s="197">
        <f>IF(OR($AA10=1,AA10=3),0,IF($AJ10&lt;&gt;"",AQ$117/AG$15,0))</f>
        <v>0</v>
      </c>
      <c r="AH10" s="199">
        <f>IF(OR($AA10=1,AA10=3),AQ$150,0)</f>
        <v>0</v>
      </c>
      <c r="AI10" s="199">
        <f>IF(OR($AA10=1,AA10=3),0,IF($AJ10&lt;&gt;"",AQ$150/AI$15,0))</f>
        <v>0</v>
      </c>
      <c r="AJ10" s="120" t="str">
        <f>IF(ISBLANK($C$10),"",$C$10)</f>
        <v>Category7</v>
      </c>
      <c r="AK10" s="120">
        <f t="shared" si="19"/>
        <v>0</v>
      </c>
      <c r="AL10" s="120">
        <f t="shared" si="20"/>
        <v>0</v>
      </c>
      <c r="AM10" s="120">
        <f t="shared" si="21"/>
        <v>0</v>
      </c>
      <c r="AN10" s="120">
        <f t="shared" si="22"/>
        <v>0</v>
      </c>
      <c r="AO10" s="120">
        <f t="shared" si="23"/>
        <v>0</v>
      </c>
      <c r="AP10" s="120">
        <f t="shared" si="24"/>
        <v>0</v>
      </c>
      <c r="AQ10" s="120">
        <f t="shared" si="25"/>
        <v>0</v>
      </c>
      <c r="AR10" s="202">
        <f t="shared" si="26"/>
        <v>0</v>
      </c>
      <c r="CL10" s="38">
        <f>AK$61</f>
        <v>2E-3</v>
      </c>
      <c r="CM10" s="38">
        <f t="shared" ref="CM10:CR10" si="34">AL$61</f>
        <v>2E-3</v>
      </c>
      <c r="CN10" s="38">
        <f t="shared" si="34"/>
        <v>2E-3</v>
      </c>
      <c r="CO10" s="38">
        <f t="shared" si="34"/>
        <v>2E-3</v>
      </c>
      <c r="CP10" s="38">
        <f t="shared" si="34"/>
        <v>2E-3</v>
      </c>
      <c r="CQ10" s="38">
        <f t="shared" si="34"/>
        <v>2E-3</v>
      </c>
      <c r="CR10" s="38">
        <f t="shared" si="34"/>
        <v>0</v>
      </c>
      <c r="CS10" s="40">
        <f t="shared" si="28"/>
        <v>1.2E-2</v>
      </c>
      <c r="CX10" s="5"/>
      <c r="CY10" s="9" t="str" cm="1">
        <f t="array" ref="CY10">_xlfn.IFS(DB5&lt;=1,CY6,DB5&lt;=1.1,CY7,DB5&lt;=1.2,CY8,DB5&lt;=1.4,CY9,DB5&gt;=1.4,CY9)</f>
        <v>Good</v>
      </c>
      <c r="CZ10" s="9"/>
      <c r="DA10" s="126">
        <f>SUM(DA5:DA9)</f>
        <v>1.6</v>
      </c>
      <c r="DB10" s="9"/>
      <c r="DC10" s="5"/>
      <c r="DD10" s="5"/>
      <c r="DE10" s="5"/>
      <c r="DN10" s="9" t="str">
        <f t="shared" si="14"/>
        <v/>
      </c>
      <c r="DO10" s="9" t="str" cm="1">
        <f t="array" ref="DO10">_xlfn.IFS(RIGHT(A_Budget2!AJ18,5)="Total","",A_Budget2!AJ18="","",A_Budget2!AJ18&lt;&gt;"",A_Budget2!AJ18)</f>
        <v/>
      </c>
      <c r="DP10" s="9" t="str">
        <f>IFERROR(GETPIVOTDATA("[Measures].["&amp;A_Budget2!$AK$7&amp;"]",A_Budget2!$AJ$7,"[DataBudget2].[Cat_2]","[DataBudget2].[Cat_2].&amp;["&amp;A_Budget2!$AJ$8&amp;"]","[DataBudget2].[Cat_3]","[DataBudget2].[Cat_3].&amp;["&amp;DO10&amp;"]")/GETPIVOTDATA("[Measures].[Sum of Montant_Extrap 4]",A_Budget2!$AF$7,"[DataBudget2].[Cat_2]","[DataBudget2].[Cat_2].&amp;["&amp;WB_Data!$J$2&amp;"]"),"")</f>
        <v/>
      </c>
      <c r="DQ10" s="9" t="str" cm="1">
        <f t="array" ref="DQ10">IFERROR(INDEX($DO$1:$DO$16,SMALL(IF($DP$1:$DP$16=DR10,ROW($DP$1:$DP$16)),COUNTIF($DR$1:DR10,DR10))),"")</f>
        <v/>
      </c>
      <c r="DR10" s="104" t="str">
        <f t="shared" si="1"/>
        <v/>
      </c>
      <c r="DS10" s="103" t="str">
        <f>IFERROR(GETPIVOTDATA("[Measures].["&amp;A_Budget2!$AK$7&amp;"]",A_Budget2!$AJ$7,"[DataBudget2].[Cat_2]","[DataBudget2].[Cat_2].&amp;["&amp;A_Budget2!$AJ$8&amp;"]","[DataBudget2].[Cat_3]","[DataBudget2].[Cat_3].&amp;["&amp;DQ10&amp;"]"),"")</f>
        <v/>
      </c>
      <c r="DT10" s="154" t="str">
        <f>IFERROR(GETPIVOTDATA("[Measures].["&amp;A_Budget2!$AL$7&amp;"]",A_Budget2!$AJ$7,"[DataBudget2].[Cat_2]","[DataBudget2].[Cat_2].&amp;["&amp;A_Budget2!$AJ$8&amp;"]","[DataBudget2].[Cat_3]","[DataBudget2].[Cat_3].&amp;["&amp;DQ10&amp;"]")/GETPIVOTDATA("[Measures].[Sum of Last_Montant 2]",A_Budget2!$AF$7,"[DataBudget2].[Cat_2]","[DataBudget2].[Cat_2].&amp;["&amp;WB_Data!$J$2&amp;"]"),"")</f>
        <v/>
      </c>
      <c r="DU10" s="155" t="str">
        <f>IFERROR(GETPIVOTDATA("[Measures].["&amp;A_Budget2!$AL$7&amp;"]",A_Budget2!$AJ$7,"[DataBudget2].[Cat_2]","[DataBudget2].[Cat_2].&amp;["&amp;A_Budget2!$AJ$8&amp;"]","[DataBudget2].[Cat_3]","[DataBudget2].[Cat_3].&amp;["&amp;DQ10&amp;"]"),"")</f>
        <v/>
      </c>
      <c r="DV10" s="9" t="str">
        <f t="shared" si="0"/>
        <v/>
      </c>
      <c r="DW10" s="9"/>
      <c r="DX10" s="9"/>
      <c r="DY10" s="97" t="str">
        <f t="shared" si="15"/>
        <v/>
      </c>
      <c r="DZ10" s="9" t="str" cm="1">
        <f t="array" ref="DZ10">_xlfn.IFS(RIGHT(A_Budget2!AJ18,5)="Total","",A_Budget2!AJ18="","",A_Budget2!AJ18&lt;&gt;"",A_Budget2!AJ18)</f>
        <v/>
      </c>
      <c r="EA10" s="9" t="str">
        <f>IFERROR(GETPIVOTDATA("[Measures].["&amp;A_Budget2!$AL$7&amp;"]",A_Budget2!$AJ$7,"[DataBudget2].[Cat_2]","[DataBudget2].[Cat_2].&amp;["&amp;A_Budget2!$AJ$8&amp;"]","[DataBudget2].[Cat_3]","[DataBudget2].[Cat_3].&amp;["&amp;DZ10&amp;"]")/GETPIVOTDATA("[Measures].[Sum of Last_Montant 2]",A_Budget2!$AF$7,"[DataBudget2].[Cat_2]","[DataBudget2].[Cat_2].&amp;["&amp;WB_Data!$J$2&amp;"]"),"")</f>
        <v/>
      </c>
      <c r="EB10" s="9" t="str" cm="1">
        <f t="array" ref="EB10">IFERROR(INDEX($DZ$1:$DZ$16,SMALL(IF($EA$1:$EA$16=EC10,ROW($EA$1:$EA$16)),COUNTIF($EC$1:EC10,EC10))),"")</f>
        <v/>
      </c>
      <c r="EC10" s="154" t="str">
        <f t="shared" si="2"/>
        <v/>
      </c>
      <c r="ED10" s="154" t="str">
        <f>IFERROR(GETPIVOTDATA("[Measures].["&amp;A_Budget2!$AL$7&amp;"]",A_Budget2!$AJ$7,"[DataBudget2].[Cat_2]","[DataBudget2].[Cat_2].&amp;["&amp;A_Budget2!$AJ$8&amp;"]","[DataBudget2].[Cat_3]","[DataBudget2].[Cat_3].&amp;["&amp;EB10&amp;"]"),"")</f>
        <v/>
      </c>
      <c r="EE10" s="139" t="str">
        <f>IFERROR(GETPIVOTDATA("[Measures].["&amp;A_Budget2!$AK$7&amp;"]",A_Budget2!$AJ$7,"[DataBudget2].[Cat_2]","[DataBudget2].[Cat_2].&amp;["&amp;A_Budget2!$AJ$8&amp;"]","[DataBudget2].[Cat_3]","[DataBudget2].[Cat_3].&amp;["&amp;EB10&amp;"]")/GETPIVOTDATA("[Measures].[Sum of Montant_Extrap 4]",A_Budget2!$AF$7,"[DataBudget2].[Cat_2]","[DataBudget2].[Cat_2].&amp;["&amp;WB_Data!$J$2&amp;"]"),"")</f>
        <v/>
      </c>
      <c r="EF10" s="105" t="str">
        <f>IFERROR(GETPIVOTDATA("[Measures].["&amp;A_Budget2!$AK$7&amp;"]",A_Budget2!$AJ$7,"[DataBudget2].[Cat_2]","[DataBudget2].[Cat_2].&amp;["&amp;A_Budget2!$AJ$8&amp;"]","[DataBudget2].[Cat_3]","[DataBudget2].[Cat_3].&amp;["&amp;EB10&amp;"]"),"")</f>
        <v/>
      </c>
      <c r="EL10" s="166">
        <f ca="1">IFERROR(GETPIVOTDATA("[Measures].["&amp;A_Budget2!$AS$7&amp;"]",A_Budget2!$AQ$7,"[DataBudget2].[Cat_3]","[DataBudget2].[Cat_3].&amp;["&amp;ControlChart_Budget2!$ER$1&amp;"]","[DataBudget2].[Mois (Month)]","[DataBudget2].[Mois (Month)].&amp;["&amp;EV10&amp;"]","[DataBudget2].[Mois (Year)]","[DataBudget2].[Mois (Year)].&amp;["&amp;$EL$1&amp;"]"),0)</f>
        <v>0</v>
      </c>
      <c r="EM10" s="165">
        <f ca="1">IFERROR(IF($EN$1=1,0,GETPIVOTDATA("[Measures].["&amp;A_Budget2!$AS$7&amp;"]",A_Budget2!$AQ$7,"[DataBudget2].[Cat_3]","[DataBudget2].[Cat_3].&amp;["&amp;ControlChart_Budget2!$ER$1&amp;"]","[DataBudget2].[Mois (Month)]","[DataBudget2].[Mois (Month)].&amp;["&amp;EV10&amp;"]","[DataBudget2].[Mois (Year)]","[DataBudget2].[Mois (Year)].&amp;["&amp;$EM$1&amp;"]")),0)</f>
        <v>0</v>
      </c>
      <c r="EN10" s="139">
        <f ca="1">IFERROR(GETPIVOTDATA("[Measures].["&amp;A_Budget2!$AT$7&amp;"]",A_Budget2!$AQ$7,"[DataBudget2].[Cat_3]","[DataBudget2].[Cat_3].&amp;["&amp;ControlChart_Budget2!$ER$1&amp;"]","[DataBudget2].[Mois (Month)]","[DataBudget2].[Mois (Month)].&amp;["&amp;EV10&amp;"]","[DataBudget2].[Mois (Year)]","[DataBudget2].[Mois (Year)].&amp;["&amp;$EL$1&amp;"]"),0)</f>
        <v>0</v>
      </c>
      <c r="EO10" s="139">
        <f ca="1">IFERROR(IF($EN$1=1,0,GETPIVOTDATA("[Measures].["&amp;A_Budget2!$AT$7&amp;"]",A_Budget2!$AQ$7,"[DataBudget2].[Cat_3]","[DataBudget2].[Cat_3].&amp;["&amp;ControlChart_Budget2!$ER$1&amp;"]","[DataBudget2].[Mois (Month)]","[DataBudget2].[Mois (Month)].&amp;["&amp;EV10&amp;"]","[DataBudget2].[Mois (Year)]","[DataBudget2].[Mois (Year)].&amp;["&amp;$EM$1&amp;"]")),0)</f>
        <v>0</v>
      </c>
      <c r="EP10" s="167">
        <f ca="1">IFERROR(GETPIVOTDATA("[Measures].["&amp;A_Budget2!$AU$7&amp;"]",A_Budget2!$AQ$7,"[DataBudget2].[Cat_3]","[DataBudget2].[Cat_3].&amp;["&amp;ControlChart_Budget2!$ER$1&amp;"]","[DataBudget2].[Mois (Month)]","[DataBudget2].[Mois (Month)].&amp;["&amp;EV10&amp;"]","[DataBudget2].[Mois (Year)]","[DataBudget2].[Mois (Year)].&amp;["&amp;$EL$1&amp;"]"),0)</f>
        <v>0</v>
      </c>
      <c r="EQ10" s="167">
        <f ca="1">IFERROR(IF($EN$1=1,0,GETPIVOTDATA("[Measures].["&amp;A_Budget2!$AU$7&amp;"]",A_Budget2!$AQ$7,"[DataBudget2].[Cat_3]","[DataBudget2].[Cat_3].&amp;["&amp;ControlChart_Budget2!$ER$1&amp;"]","[DataBudget2].[Mois (Month)]","[DataBudget2].[Mois (Month)].&amp;["&amp;EV10&amp;"]","[DataBudget2].[Mois (Year)]","[DataBudget2].[Mois (Year)].&amp;["&amp;$EM$1&amp;"]")),0)</f>
        <v>0</v>
      </c>
      <c r="ER10" s="9" t="str">
        <f>IFERROR(IF(A_Budget2!AR17=0,"",A_Budget2!AR17),"")</f>
        <v/>
      </c>
      <c r="ES10" s="312">
        <f t="shared" ca="1" si="3"/>
        <v>0</v>
      </c>
      <c r="ET10" s="313">
        <f t="shared" ca="1" si="4"/>
        <v>0</v>
      </c>
      <c r="EU10" s="314">
        <f t="shared" ca="1" si="5"/>
        <v>0</v>
      </c>
      <c r="EV10" t="str">
        <f ca="1">IFERROR(VLOOKUP(ER10,Library!$R$18:$S$29,2,FALSE),Library!S26)</f>
        <v>sept</v>
      </c>
      <c r="EY10" s="168"/>
      <c r="EZ10" s="168"/>
      <c r="FA10" s="168"/>
      <c r="FB10" s="168"/>
      <c r="FC10" s="168"/>
      <c r="FD10" s="168"/>
      <c r="FE10" t="str">
        <f t="shared" si="16"/>
        <v/>
      </c>
      <c r="FF10" s="105" t="e">
        <f>GETPIVOTDATA("[Measures].[ABSB2ME]",A_Budget2!$AF$32,"[DataBudget2].[Cat_2]","[DataBudget2].[Cat_2].&amp;["&amp;ControlChart_Budget2!FH9&amp;"]")</f>
        <v>#REF!</v>
      </c>
      <c r="FG10" s="172" t="e">
        <f>GETPIVOTDATA("[Measures].[ABSB2LM]",A_Budget2!$AF$32,"[DataBudget2].[Cat_2]","[DataBudget2].[Cat_2].&amp;["&amp;ControlChart_Budget2!FH9&amp;"]")</f>
        <v>#REF!</v>
      </c>
      <c r="FH10">
        <f>A_Budget2!AF42</f>
        <v>0</v>
      </c>
      <c r="FI10" s="174">
        <f t="shared" si="6"/>
        <v>0</v>
      </c>
      <c r="FJ10" s="175">
        <f t="shared" si="7"/>
        <v>0</v>
      </c>
      <c r="FK10" cm="1">
        <f t="array" ref="FK10">IFERROR(INDEX($FH$1:$FH$18,SMALL(IF($FI$1:$FI$18=FL10,ROW($FI$1:$FI$18)),COUNTIF($FL$1:FL10,FL10))),"")</f>
        <v>0</v>
      </c>
      <c r="FL10" s="174">
        <f t="shared" si="8"/>
        <v>0</v>
      </c>
      <c r="FM10" s="176">
        <f t="shared" si="9"/>
        <v>0</v>
      </c>
      <c r="FN10" t="str" cm="1">
        <f t="array" ref="FN10">_xlfn.IFS(FK10=0,"",FK10=$A$1,"",FK10&lt;&gt;"",FK10)</f>
        <v/>
      </c>
      <c r="FO10" t="str">
        <f t="shared" si="10"/>
        <v/>
      </c>
      <c r="FP10" s="177" t="str">
        <f t="shared" si="11"/>
        <v/>
      </c>
      <c r="FQ10" s="178" t="str">
        <f t="shared" si="12"/>
        <v/>
      </c>
    </row>
    <row r="11" spans="1:173" x14ac:dyDescent="0.25">
      <c r="C11" s="7"/>
      <c r="F11" s="5">
        <f t="shared" si="30"/>
        <v>23</v>
      </c>
      <c r="G11" cm="1">
        <f t="array" ref="G11">_xlfn.IFS(ROW(G11)&gt;$G$6,2,I11&lt;&gt;($I$6+1),COUNT(1))</f>
        <v>2</v>
      </c>
      <c r="H11" cm="1">
        <f t="array" ref="H11">_xlfn.IFS(ISNA(G11),"",G11=1,COUNTIF($G$7:G11,1),G11=2,COUNTIF($G$7:G11,2))</f>
        <v>3</v>
      </c>
      <c r="I11" s="5">
        <v>0</v>
      </c>
      <c r="J11" s="5">
        <v>0</v>
      </c>
      <c r="K11" s="5">
        <v>0</v>
      </c>
      <c r="L11" s="5">
        <v>0</v>
      </c>
      <c r="M11" s="5">
        <v>0</v>
      </c>
      <c r="N11" s="5">
        <v>0</v>
      </c>
      <c r="O11" s="5">
        <v>0</v>
      </c>
      <c r="P11" s="5">
        <v>0</v>
      </c>
      <c r="Q11" s="5">
        <v>0</v>
      </c>
      <c r="R11" s="5">
        <v>0</v>
      </c>
      <c r="S11" s="5">
        <v>0</v>
      </c>
      <c r="T11" s="5">
        <v>0</v>
      </c>
      <c r="U11" s="5">
        <v>0</v>
      </c>
      <c r="V11" s="5">
        <v>0</v>
      </c>
      <c r="W11" s="5">
        <v>0</v>
      </c>
      <c r="X11" s="5">
        <v>0</v>
      </c>
      <c r="Y11" s="5">
        <v>0</v>
      </c>
      <c r="AA11" t="str">
        <f t="shared" si="18"/>
        <v/>
      </c>
      <c r="AB11" s="195">
        <f>IF(OR(AA11=1,AA11=3),0,0)</f>
        <v>0</v>
      </c>
      <c r="AC11" s="196">
        <f>IF(OR(AA11=1,AA11=3),0,IF(AJ11&lt;&gt;"",0,0))</f>
        <v>0</v>
      </c>
      <c r="AD11" s="200">
        <f>IF(OR($AA11=1,AA11=3),0,0)</f>
        <v>0</v>
      </c>
      <c r="AE11" s="201">
        <f>IF(OR($AA11=1,AA11=3),0,IF($AJ11&lt;&gt;"",0,0))</f>
        <v>0</v>
      </c>
      <c r="AF11" s="37">
        <f>IF(OR($AA11=1,AA11=3),0,0)</f>
        <v>0</v>
      </c>
      <c r="AG11" s="197">
        <f>IF(OR($AA11=1,AA11=3),0,IF($AJ11&lt;&gt;"",0,0))</f>
        <v>0</v>
      </c>
      <c r="AH11" s="199">
        <f>IF(OR($AA11=1,AA11=3),0,0)</f>
        <v>0</v>
      </c>
      <c r="AI11" s="199">
        <f>IF(OR($AA11=1,AA11=3),0,IF($AJ11&lt;&gt;"",0,0))</f>
        <v>0</v>
      </c>
      <c r="AJ11" s="120" t="str">
        <f>IF(ISBLANK($C$11),"",$C$11)</f>
        <v/>
      </c>
      <c r="AK11" s="120">
        <f t="shared" si="19"/>
        <v>0</v>
      </c>
      <c r="AL11" s="120">
        <f t="shared" si="20"/>
        <v>0</v>
      </c>
      <c r="AM11" s="120">
        <f t="shared" si="21"/>
        <v>0</v>
      </c>
      <c r="AN11" s="120">
        <f t="shared" si="22"/>
        <v>0</v>
      </c>
      <c r="AO11" s="120">
        <f t="shared" si="23"/>
        <v>0</v>
      </c>
      <c r="AP11" s="120">
        <f t="shared" si="24"/>
        <v>0</v>
      </c>
      <c r="AQ11" s="120">
        <f t="shared" si="25"/>
        <v>0</v>
      </c>
      <c r="AR11" s="202">
        <f t="shared" si="26"/>
        <v>0</v>
      </c>
      <c r="CL11" s="38">
        <f>AK$92</f>
        <v>0</v>
      </c>
      <c r="CM11" s="38">
        <f t="shared" ref="CM11:CR11" si="35">AL$92</f>
        <v>0</v>
      </c>
      <c r="CN11" s="38">
        <f t="shared" si="35"/>
        <v>0</v>
      </c>
      <c r="CO11" s="38">
        <f t="shared" si="35"/>
        <v>0</v>
      </c>
      <c r="CP11" s="38">
        <f t="shared" si="35"/>
        <v>0</v>
      </c>
      <c r="CQ11" s="38">
        <f t="shared" si="35"/>
        <v>0</v>
      </c>
      <c r="CR11" s="38">
        <f t="shared" si="35"/>
        <v>0</v>
      </c>
      <c r="CS11" s="40">
        <f t="shared" si="28"/>
        <v>0</v>
      </c>
      <c r="DA11" s="114"/>
      <c r="DD11" s="5"/>
      <c r="DE11" s="5"/>
      <c r="DN11" s="9" t="str">
        <f t="shared" si="14"/>
        <v/>
      </c>
      <c r="DO11" s="9" t="str" cm="1">
        <f t="array" ref="DO11">_xlfn.IFS(RIGHT(A_Budget2!AJ19,5)="Total","",A_Budget2!AJ19="","",A_Budget2!AJ19&lt;&gt;"",A_Budget2!AJ19)</f>
        <v/>
      </c>
      <c r="DP11" s="9" t="str">
        <f>IFERROR(GETPIVOTDATA("[Measures].["&amp;A_Budget2!$AK$7&amp;"]",A_Budget2!$AJ$7,"[DataBudget2].[Cat_2]","[DataBudget2].[Cat_2].&amp;["&amp;A_Budget2!$AJ$8&amp;"]","[DataBudget2].[Cat_3]","[DataBudget2].[Cat_3].&amp;["&amp;DO11&amp;"]")/GETPIVOTDATA("[Measures].[Sum of Montant_Extrap 4]",A_Budget2!$AF$7,"[DataBudget2].[Cat_2]","[DataBudget2].[Cat_2].&amp;["&amp;WB_Data!$J$2&amp;"]"),"")</f>
        <v/>
      </c>
      <c r="DQ11" s="9" t="str" cm="1">
        <f t="array" ref="DQ11">IFERROR(INDEX($DO$1:$DO$16,SMALL(IF($DP$1:$DP$16=DR11,ROW($DP$1:$DP$16)),COUNTIF($DR$1:DR11,DR11))),"")</f>
        <v/>
      </c>
      <c r="DR11" s="104" t="str">
        <f t="shared" si="1"/>
        <v/>
      </c>
      <c r="DS11" s="103" t="str">
        <f>IFERROR(GETPIVOTDATA("[Measures].["&amp;A_Budget2!$AK$7&amp;"]",A_Budget2!$AJ$7,"[DataBudget2].[Cat_2]","[DataBudget2].[Cat_2].&amp;["&amp;A_Budget2!$AJ$8&amp;"]","[DataBudget2].[Cat_3]","[DataBudget2].[Cat_3].&amp;["&amp;DQ11&amp;"]"),"")</f>
        <v/>
      </c>
      <c r="DT11" s="154" t="str">
        <f>IFERROR(GETPIVOTDATA("[Measures].["&amp;A_Budget2!$AL$7&amp;"]",A_Budget2!$AJ$7,"[DataBudget2].[Cat_2]","[DataBudget2].[Cat_2].&amp;["&amp;A_Budget2!$AJ$8&amp;"]","[DataBudget2].[Cat_3]","[DataBudget2].[Cat_3].&amp;["&amp;DQ11&amp;"]")/GETPIVOTDATA("[Measures].[Sum of Last_Montant 2]",A_Budget2!$AF$7,"[DataBudget2].[Cat_2]","[DataBudget2].[Cat_2].&amp;["&amp;WB_Data!$J$2&amp;"]"),"")</f>
        <v/>
      </c>
      <c r="DU11" s="155" t="str">
        <f>IFERROR(GETPIVOTDATA("[Measures].["&amp;A_Budget2!$AL$7&amp;"]",A_Budget2!$AJ$7,"[DataBudget2].[Cat_2]","[DataBudget2].[Cat_2].&amp;["&amp;A_Budget2!$AJ$8&amp;"]","[DataBudget2].[Cat_3]","[DataBudget2].[Cat_3].&amp;["&amp;DQ11&amp;"]"),"")</f>
        <v/>
      </c>
      <c r="DV11" s="9" t="str">
        <f t="shared" si="0"/>
        <v/>
      </c>
      <c r="DW11" s="9"/>
      <c r="DX11" s="9"/>
      <c r="DY11" s="97" t="str">
        <f t="shared" si="15"/>
        <v/>
      </c>
      <c r="DZ11" s="9" t="str" cm="1">
        <f t="array" ref="DZ11">_xlfn.IFS(RIGHT(A_Budget2!AJ19,5)="Total","",A_Budget2!AJ19="","",A_Budget2!AJ19&lt;&gt;"",A_Budget2!AJ19)</f>
        <v/>
      </c>
      <c r="EA11" s="9" t="str">
        <f>IFERROR(GETPIVOTDATA("[Measures].["&amp;A_Budget2!$AL$7&amp;"]",A_Budget2!$AJ$7,"[DataBudget2].[Cat_2]","[DataBudget2].[Cat_2].&amp;["&amp;A_Budget2!$AJ$8&amp;"]","[DataBudget2].[Cat_3]","[DataBudget2].[Cat_3].&amp;["&amp;DZ11&amp;"]")/GETPIVOTDATA("[Measures].[Sum of Last_Montant 2]",A_Budget2!$AF$7,"[DataBudget2].[Cat_2]","[DataBudget2].[Cat_2].&amp;["&amp;WB_Data!$J$2&amp;"]"),"")</f>
        <v/>
      </c>
      <c r="EB11" s="9" t="str" cm="1">
        <f t="array" ref="EB11">IFERROR(INDEX($DZ$1:$DZ$16,SMALL(IF($EA$1:$EA$16=EC11,ROW($EA$1:$EA$16)),COUNTIF($EC$1:EC11,EC11))),"")</f>
        <v/>
      </c>
      <c r="EC11" s="154" t="str">
        <f t="shared" si="2"/>
        <v/>
      </c>
      <c r="ED11" s="154" t="str">
        <f>IFERROR(GETPIVOTDATA("[Measures].["&amp;A_Budget2!$AL$7&amp;"]",A_Budget2!$AJ$7,"[DataBudget2].[Cat_2]","[DataBudget2].[Cat_2].&amp;["&amp;A_Budget2!$AJ$8&amp;"]","[DataBudget2].[Cat_3]","[DataBudget2].[Cat_3].&amp;["&amp;EB11&amp;"]"),"")</f>
        <v/>
      </c>
      <c r="EE11" s="139" t="str">
        <f>IFERROR(GETPIVOTDATA("[Measures].["&amp;A_Budget2!$AK$7&amp;"]",A_Budget2!$AJ$7,"[DataBudget2].[Cat_2]","[DataBudget2].[Cat_2].&amp;["&amp;A_Budget2!$AJ$8&amp;"]","[DataBudget2].[Cat_3]","[DataBudget2].[Cat_3].&amp;["&amp;EB11&amp;"]")/GETPIVOTDATA("[Measures].[Sum of Montant_Extrap 4]",A_Budget2!$AF$7,"[DataBudget2].[Cat_2]","[DataBudget2].[Cat_2].&amp;["&amp;WB_Data!$J$2&amp;"]"),"")</f>
        <v/>
      </c>
      <c r="EF11" s="105" t="str">
        <f>IFERROR(GETPIVOTDATA("[Measures].["&amp;A_Budget2!$AK$7&amp;"]",A_Budget2!$AJ$7,"[DataBudget2].[Cat_2]","[DataBudget2].[Cat_2].&amp;["&amp;A_Budget2!$AJ$8&amp;"]","[DataBudget2].[Cat_3]","[DataBudget2].[Cat_3].&amp;["&amp;EB11&amp;"]"),"")</f>
        <v/>
      </c>
      <c r="EL11" s="166">
        <f ca="1">IFERROR(GETPIVOTDATA("[Measures].["&amp;A_Budget2!$AS$7&amp;"]",A_Budget2!$AQ$7,"[DataBudget2].[Cat_3]","[DataBudget2].[Cat_3].&amp;["&amp;ControlChart_Budget2!$ER$1&amp;"]","[DataBudget2].[Mois (Month)]","[DataBudget2].[Mois (Month)].&amp;["&amp;EV11&amp;"]","[DataBudget2].[Mois (Year)]","[DataBudget2].[Mois (Year)].&amp;["&amp;$EL$1&amp;"]"),0)</f>
        <v>0</v>
      </c>
      <c r="EM11" s="165">
        <f ca="1">IFERROR(IF($EN$1=1,0,GETPIVOTDATA("[Measures].["&amp;A_Budget2!$AS$7&amp;"]",A_Budget2!$AQ$7,"[DataBudget2].[Cat_3]","[DataBudget2].[Cat_3].&amp;["&amp;ControlChart_Budget2!$ER$1&amp;"]","[DataBudget2].[Mois (Month)]","[DataBudget2].[Mois (Month)].&amp;["&amp;EV11&amp;"]","[DataBudget2].[Mois (Year)]","[DataBudget2].[Mois (Year)].&amp;["&amp;$EM$1&amp;"]")),0)</f>
        <v>0</v>
      </c>
      <c r="EN11" s="139">
        <f ca="1">IFERROR(GETPIVOTDATA("[Measures].["&amp;A_Budget2!$AT$7&amp;"]",A_Budget2!$AQ$7,"[DataBudget2].[Cat_3]","[DataBudget2].[Cat_3].&amp;["&amp;ControlChart_Budget2!$ER$1&amp;"]","[DataBudget2].[Mois (Month)]","[DataBudget2].[Mois (Month)].&amp;["&amp;EV11&amp;"]","[DataBudget2].[Mois (Year)]","[DataBudget2].[Mois (Year)].&amp;["&amp;$EL$1&amp;"]"),0)</f>
        <v>0</v>
      </c>
      <c r="EO11" s="139">
        <f ca="1">IFERROR(IF($EN$1=1,0,GETPIVOTDATA("[Measures].["&amp;A_Budget2!$AT$7&amp;"]",A_Budget2!$AQ$7,"[DataBudget2].[Cat_3]","[DataBudget2].[Cat_3].&amp;["&amp;ControlChart_Budget2!$ER$1&amp;"]","[DataBudget2].[Mois (Month)]","[DataBudget2].[Mois (Month)].&amp;["&amp;EV11&amp;"]","[DataBudget2].[Mois (Year)]","[DataBudget2].[Mois (Year)].&amp;["&amp;$EM$1&amp;"]")),0)</f>
        <v>0</v>
      </c>
      <c r="EP11" s="167">
        <f ca="1">IFERROR(GETPIVOTDATA("[Measures].["&amp;A_Budget2!$AU$7&amp;"]",A_Budget2!$AQ$7,"[DataBudget2].[Cat_3]","[DataBudget2].[Cat_3].&amp;["&amp;ControlChart_Budget2!$ER$1&amp;"]","[DataBudget2].[Mois (Month)]","[DataBudget2].[Mois (Month)].&amp;["&amp;EV11&amp;"]","[DataBudget2].[Mois (Year)]","[DataBudget2].[Mois (Year)].&amp;["&amp;$EL$1&amp;"]"),0)</f>
        <v>0</v>
      </c>
      <c r="EQ11" s="167">
        <f ca="1">IFERROR(IF($EN$1=1,0,GETPIVOTDATA("[Measures].["&amp;A_Budget2!$AU$7&amp;"]",A_Budget2!$AQ$7,"[DataBudget2].[Cat_3]","[DataBudget2].[Cat_3].&amp;["&amp;ControlChart_Budget2!$ER$1&amp;"]","[DataBudget2].[Mois (Month)]","[DataBudget2].[Mois (Month)].&amp;["&amp;EV11&amp;"]","[DataBudget2].[Mois (Year)]","[DataBudget2].[Mois (Year)].&amp;["&amp;$EM$1&amp;"]")),0)</f>
        <v>0</v>
      </c>
      <c r="ER11" s="9" t="str">
        <f>IFERROR(IF(A_Budget2!AR18=0,"",A_Budget2!AR18),"")</f>
        <v/>
      </c>
      <c r="ES11" s="312">
        <f t="shared" ca="1" si="3"/>
        <v>0</v>
      </c>
      <c r="ET11" s="313">
        <f t="shared" ca="1" si="4"/>
        <v>0</v>
      </c>
      <c r="EU11" s="314">
        <f t="shared" ca="1" si="5"/>
        <v>0</v>
      </c>
      <c r="EV11" t="str">
        <f ca="1">IFERROR(VLOOKUP(ER11,Library!$R$18:$S$29,2,FALSE),Library!S27)</f>
        <v>oct</v>
      </c>
      <c r="EY11" s="168"/>
      <c r="EZ11" s="168"/>
      <c r="FA11" s="168"/>
      <c r="FB11" s="168"/>
      <c r="FC11" s="168"/>
      <c r="FD11" s="168"/>
      <c r="FE11" t="str">
        <f t="shared" si="16"/>
        <v/>
      </c>
      <c r="FF11" s="105" t="e">
        <f>GETPIVOTDATA("[Measures].[ABSB2ME]",A_Budget2!$AF$32,"[DataBudget2].[Cat_2]","[DataBudget2].[Cat_2].&amp;["&amp;ControlChart_Budget2!FH10&amp;"]")</f>
        <v>#REF!</v>
      </c>
      <c r="FG11" s="172" t="e">
        <f>GETPIVOTDATA("[Measures].[ABSB2LM]",A_Budget2!$AF$32,"[DataBudget2].[Cat_2]","[DataBudget2].[Cat_2].&amp;["&amp;ControlChart_Budget2!FH10&amp;"]")</f>
        <v>#REF!</v>
      </c>
      <c r="FH11">
        <f>A_Budget2!AF43</f>
        <v>0</v>
      </c>
      <c r="FI11" s="174">
        <f t="shared" si="6"/>
        <v>0</v>
      </c>
      <c r="FJ11" s="175">
        <f t="shared" si="7"/>
        <v>0</v>
      </c>
      <c r="FK11" cm="1">
        <f t="array" ref="FK11">IFERROR(INDEX($FH$1:$FH$18,SMALL(IF($FI$1:$FI$18=FL11,ROW($FI$1:$FI$18)),COUNTIF($FL$1:FL11,FL11))),"")</f>
        <v>0</v>
      </c>
      <c r="FL11" s="174">
        <f t="shared" si="8"/>
        <v>0</v>
      </c>
      <c r="FM11" s="176">
        <f t="shared" si="9"/>
        <v>0</v>
      </c>
      <c r="FN11" t="str" cm="1">
        <f t="array" ref="FN11">_xlfn.IFS(FK11=0,"",FK11=$A$1,"",FK11&lt;&gt;"",FK11)</f>
        <v/>
      </c>
      <c r="FO11" t="str">
        <f t="shared" si="10"/>
        <v/>
      </c>
      <c r="FP11" s="177" t="str">
        <f t="shared" si="11"/>
        <v/>
      </c>
      <c r="FQ11" s="178" t="str">
        <f t="shared" si="12"/>
        <v/>
      </c>
    </row>
    <row r="12" spans="1:173" x14ac:dyDescent="0.25">
      <c r="A12" s="284" t="str">
        <f ca="1">IFERROR(IF($D$17=I17,$D$17,""),"")</f>
        <v/>
      </c>
      <c r="B12" s="8" t="str">
        <f ca="1">IFERROR(IF(AND($E$22=2,A12&lt;&gt;"",H17=$I$6),A12,""),"")</f>
        <v/>
      </c>
      <c r="C12" s="7"/>
      <c r="F12" s="5">
        <f t="shared" si="30"/>
        <v>24</v>
      </c>
      <c r="G12" cm="1">
        <f t="array" ref="G12">_xlfn.IFS(ROW(G12)&gt;$G$6,2,I12&lt;&gt;($I$6+1),COUNT(1))</f>
        <v>2</v>
      </c>
      <c r="H12" cm="1">
        <f t="array" ref="H12">_xlfn.IFS(ISNA(G12),"",G12=1,COUNTIF($G$7:G12,1),G12=2,COUNTIF($G$7:G12,2))</f>
        <v>4</v>
      </c>
      <c r="I12" s="5">
        <v>0</v>
      </c>
      <c r="J12" s="5">
        <v>0</v>
      </c>
      <c r="K12" s="5">
        <v>0</v>
      </c>
      <c r="L12" s="5">
        <v>0</v>
      </c>
      <c r="M12" s="5">
        <v>0</v>
      </c>
      <c r="N12" s="5">
        <v>0</v>
      </c>
      <c r="O12" s="5">
        <v>0</v>
      </c>
      <c r="P12" s="5">
        <v>0</v>
      </c>
      <c r="Q12" s="5">
        <v>0</v>
      </c>
      <c r="R12" s="5">
        <v>0</v>
      </c>
      <c r="S12" s="5">
        <v>0</v>
      </c>
      <c r="T12" s="5">
        <v>0</v>
      </c>
      <c r="U12" s="5">
        <v>0</v>
      </c>
      <c r="V12" s="5">
        <v>0</v>
      </c>
      <c r="W12" s="5">
        <v>0</v>
      </c>
      <c r="X12" s="5">
        <v>0</v>
      </c>
      <c r="Y12" s="5">
        <v>0</v>
      </c>
      <c r="AA12" t="str">
        <f t="shared" si="18"/>
        <v/>
      </c>
      <c r="AB12" s="195">
        <f>IF(OR(AA12=1,AA12=3),0,0)</f>
        <v>0</v>
      </c>
      <c r="AC12" s="196">
        <f>IF(OR(AA12=1,AA12=3),0,IF(AJ12&lt;&gt;"",0,0))</f>
        <v>0</v>
      </c>
      <c r="AD12" s="200">
        <f>IF(OR($AA12=1,AA12=3),0,0)</f>
        <v>0</v>
      </c>
      <c r="AE12" s="201">
        <f>IF(OR($AA12=1,AA12=3),0,IF($AJ12&lt;&gt;"",0,0))</f>
        <v>0</v>
      </c>
      <c r="AF12" s="37">
        <f>IF(OR($AA12=1,AA12=3),0,0)</f>
        <v>0</v>
      </c>
      <c r="AG12" s="197">
        <f>IF(OR($AA12=1,AA12=3),0,IF($AJ12&lt;&gt;"",0,0))</f>
        <v>0</v>
      </c>
      <c r="AH12" s="199">
        <f>IF(OR($AA12=1,AA12=3),0,0)</f>
        <v>0</v>
      </c>
      <c r="AI12" s="199">
        <f>IF(OR($AA12=1,AA12=3),0,IF($AJ12&lt;&gt;"",0,0))</f>
        <v>0</v>
      </c>
      <c r="AJ12" s="120" t="str">
        <f>IF(ISBLANK($C$12),"",$C$12)</f>
        <v/>
      </c>
      <c r="AK12" s="120">
        <f t="shared" si="19"/>
        <v>0</v>
      </c>
      <c r="AL12" s="120">
        <f t="shared" si="20"/>
        <v>0</v>
      </c>
      <c r="AM12" s="120">
        <f t="shared" si="21"/>
        <v>0</v>
      </c>
      <c r="AN12" s="120">
        <f t="shared" si="22"/>
        <v>0</v>
      </c>
      <c r="AO12" s="120">
        <f t="shared" si="23"/>
        <v>0</v>
      </c>
      <c r="AP12" s="120">
        <f t="shared" si="24"/>
        <v>0</v>
      </c>
      <c r="AQ12" s="120">
        <f t="shared" si="25"/>
        <v>0</v>
      </c>
      <c r="AR12" s="202">
        <f t="shared" si="26"/>
        <v>0</v>
      </c>
      <c r="AT12" s="8">
        <f>AT2</f>
        <v>20</v>
      </c>
      <c r="AU12" s="8" t="str">
        <f>CONCATENATE("G17:G"&amp;AT12)</f>
        <v>G17:G20</v>
      </c>
      <c r="AV12" s="9" t="str">
        <f>CONCATENATE("H17:H"&amp;AT12)</f>
        <v>H17:H20</v>
      </c>
      <c r="AW12" s="8" t="str">
        <f>CONCATENATE("I17:I"&amp;AT12)</f>
        <v>I17:I20</v>
      </c>
      <c r="AX12" s="127" t="s">
        <v>105</v>
      </c>
      <c r="AY12" s="129" t="s">
        <v>14</v>
      </c>
      <c r="AZ12" s="9" t="s">
        <v>153</v>
      </c>
      <c r="BA12" s="10" t="s">
        <v>152</v>
      </c>
      <c r="BB12" s="9" t="s">
        <v>154</v>
      </c>
      <c r="BC12" s="133" t="s">
        <v>155</v>
      </c>
      <c r="BD12" s="130" t="s">
        <v>156</v>
      </c>
      <c r="BE12" s="130" t="s">
        <v>151</v>
      </c>
      <c r="BF12" s="130" t="s">
        <v>151</v>
      </c>
      <c r="BG12" s="9" t="s">
        <v>147</v>
      </c>
      <c r="BH12" s="9" t="s">
        <v>148</v>
      </c>
      <c r="BI12" s="9" t="s">
        <v>149</v>
      </c>
      <c r="BJ12" s="130" t="s">
        <v>159</v>
      </c>
      <c r="BK12" s="130" t="s">
        <v>158</v>
      </c>
      <c r="BL12" s="127" t="s">
        <v>157</v>
      </c>
      <c r="BM12" s="132" t="s">
        <v>150</v>
      </c>
      <c r="CL12" s="137">
        <f>IFERROR(AK$123,NA())</f>
        <v>0</v>
      </c>
      <c r="CM12" s="137">
        <f t="shared" ref="CM12:CR12" si="36">IFERROR(AL$123,NA())</f>
        <v>0</v>
      </c>
      <c r="CN12" s="137">
        <f t="shared" si="36"/>
        <v>0</v>
      </c>
      <c r="CO12" s="137">
        <f t="shared" si="36"/>
        <v>0</v>
      </c>
      <c r="CP12" s="137">
        <f t="shared" si="36"/>
        <v>0</v>
      </c>
      <c r="CQ12" s="137">
        <f t="shared" si="36"/>
        <v>0</v>
      </c>
      <c r="CR12" s="137">
        <f t="shared" si="36"/>
        <v>0</v>
      </c>
      <c r="CS12" s="40">
        <f t="shared" si="28"/>
        <v>0</v>
      </c>
      <c r="DN12" s="9" t="str">
        <f t="shared" si="14"/>
        <v/>
      </c>
      <c r="DO12" s="9" t="str" cm="1">
        <f t="array" ref="DO12">_xlfn.IFS(RIGHT(A_Budget2!AJ20,5)="Total","",A_Budget2!AJ20="","",A_Budget2!AJ20&lt;&gt;"",A_Budget2!AJ20)</f>
        <v/>
      </c>
      <c r="DP12" s="9" t="str">
        <f>IFERROR(GETPIVOTDATA("[Measures].["&amp;A_Budget2!$AK$7&amp;"]",A_Budget2!$AJ$7,"[DataBudget2].[Cat_2]","[DataBudget2].[Cat_2].&amp;["&amp;A_Budget2!$AJ$8&amp;"]","[DataBudget2].[Cat_3]","[DataBudget2].[Cat_3].&amp;["&amp;DO12&amp;"]")/GETPIVOTDATA("[Measures].[Sum of Montant_Extrap 4]",A_Budget2!$AF$7,"[DataBudget2].[Cat_2]","[DataBudget2].[Cat_2].&amp;["&amp;WB_Data!$J$2&amp;"]"),"")</f>
        <v/>
      </c>
      <c r="DQ12" s="9" t="str" cm="1">
        <f t="array" ref="DQ12">IFERROR(INDEX($DO$1:$DO$16,SMALL(IF($DP$1:$DP$16=DR12,ROW($DP$1:$DP$16)),COUNTIF($DR$1:DR12,DR12))),"")</f>
        <v/>
      </c>
      <c r="DR12" s="104" t="str">
        <f t="shared" si="1"/>
        <v/>
      </c>
      <c r="DS12" s="103" t="str">
        <f>IFERROR(GETPIVOTDATA("[Measures].["&amp;A_Budget2!$AK$7&amp;"]",A_Budget2!$AJ$7,"[DataBudget2].[Cat_2]","[DataBudget2].[Cat_2].&amp;["&amp;A_Budget2!$AJ$8&amp;"]","[DataBudget2].[Cat_3]","[DataBudget2].[Cat_3].&amp;["&amp;DQ12&amp;"]"),"")</f>
        <v/>
      </c>
      <c r="DT12" s="154" t="str">
        <f>IFERROR(GETPIVOTDATA("[Measures].["&amp;A_Budget2!$AL$7&amp;"]",A_Budget2!$AJ$7,"[DataBudget2].[Cat_2]","[DataBudget2].[Cat_2].&amp;["&amp;A_Budget2!$AJ$8&amp;"]","[DataBudget2].[Cat_3]","[DataBudget2].[Cat_3].&amp;["&amp;DQ12&amp;"]")/GETPIVOTDATA("[Measures].[Sum of Last_Montant 2]",A_Budget2!$AF$7,"[DataBudget2].[Cat_2]","[DataBudget2].[Cat_2].&amp;["&amp;WB_Data!$J$2&amp;"]"),"")</f>
        <v/>
      </c>
      <c r="DU12" s="155" t="str">
        <f>IFERROR(GETPIVOTDATA("[Measures].["&amp;A_Budget2!$AL$7&amp;"]",A_Budget2!$AJ$7,"[DataBudget2].[Cat_2]","[DataBudget2].[Cat_2].&amp;["&amp;A_Budget2!$AJ$8&amp;"]","[DataBudget2].[Cat_3]","[DataBudget2].[Cat_3].&amp;["&amp;DQ12&amp;"]"),"")</f>
        <v/>
      </c>
      <c r="DV12" s="9" t="str">
        <f t="shared" si="0"/>
        <v/>
      </c>
      <c r="DW12" s="9"/>
      <c r="DX12" s="9"/>
      <c r="DY12" s="97" t="str">
        <f t="shared" si="15"/>
        <v/>
      </c>
      <c r="DZ12" s="9" t="str" cm="1">
        <f t="array" ref="DZ12">_xlfn.IFS(RIGHT(A_Budget2!AJ20,5)="Total","",A_Budget2!AJ20="","",A_Budget2!AJ20&lt;&gt;"",A_Budget2!AJ20)</f>
        <v/>
      </c>
      <c r="EA12" s="9" t="str">
        <f>IFERROR(GETPIVOTDATA("[Measures].["&amp;A_Budget2!$AL$7&amp;"]",A_Budget2!$AJ$7,"[DataBudget2].[Cat_2]","[DataBudget2].[Cat_2].&amp;["&amp;A_Budget2!$AJ$8&amp;"]","[DataBudget2].[Cat_3]","[DataBudget2].[Cat_3].&amp;["&amp;DZ12&amp;"]")/GETPIVOTDATA("[Measures].[Sum of Last_Montant 2]",A_Budget2!$AF$7,"[DataBudget2].[Cat_2]","[DataBudget2].[Cat_2].&amp;["&amp;WB_Data!$J$2&amp;"]"),"")</f>
        <v/>
      </c>
      <c r="EB12" s="9" t="str" cm="1">
        <f t="array" ref="EB12">IFERROR(INDEX($DZ$1:$DZ$16,SMALL(IF($EA$1:$EA$16=EC12,ROW($EA$1:$EA$16)),COUNTIF($EC$1:EC12,EC12))),"")</f>
        <v/>
      </c>
      <c r="EC12" s="154" t="str">
        <f t="shared" si="2"/>
        <v/>
      </c>
      <c r="ED12" s="154" t="str">
        <f>IFERROR(GETPIVOTDATA("[Measures].["&amp;A_Budget2!$AL$7&amp;"]",A_Budget2!$AJ$7,"[DataBudget2].[Cat_2]","[DataBudget2].[Cat_2].&amp;["&amp;A_Budget2!$AJ$8&amp;"]","[DataBudget2].[Cat_3]","[DataBudget2].[Cat_3].&amp;["&amp;EB12&amp;"]"),"")</f>
        <v/>
      </c>
      <c r="EE12" s="139" t="str">
        <f>IFERROR(GETPIVOTDATA("[Measures].["&amp;A_Budget2!$AK$7&amp;"]",A_Budget2!$AJ$7,"[DataBudget2].[Cat_2]","[DataBudget2].[Cat_2].&amp;["&amp;A_Budget2!$AJ$8&amp;"]","[DataBudget2].[Cat_3]","[DataBudget2].[Cat_3].&amp;["&amp;EB12&amp;"]")/GETPIVOTDATA("[Measures].[Sum of Montant_Extrap 4]",A_Budget2!$AF$7,"[DataBudget2].[Cat_2]","[DataBudget2].[Cat_2].&amp;["&amp;WB_Data!$J$2&amp;"]"),"")</f>
        <v/>
      </c>
      <c r="EF12" s="105" t="str">
        <f>IFERROR(GETPIVOTDATA("[Measures].["&amp;A_Budget2!$AK$7&amp;"]",A_Budget2!$AJ$7,"[DataBudget2].[Cat_2]","[DataBudget2].[Cat_2].&amp;["&amp;A_Budget2!$AJ$8&amp;"]","[DataBudget2].[Cat_3]","[DataBudget2].[Cat_3].&amp;["&amp;EB12&amp;"]"),"")</f>
        <v/>
      </c>
      <c r="EL12" s="166">
        <f ca="1">IFERROR(GETPIVOTDATA("[Measures].["&amp;A_Budget2!$AS$7&amp;"]",A_Budget2!$AQ$7,"[DataBudget2].[Cat_3]","[DataBudget2].[Cat_3].&amp;["&amp;ControlChart_Budget2!$ER$1&amp;"]","[DataBudget2].[Mois (Month)]","[DataBudget2].[Mois (Month)].&amp;["&amp;EV12&amp;"]","[DataBudget2].[Mois (Year)]","[DataBudget2].[Mois (Year)].&amp;["&amp;$EL$1&amp;"]"),0)</f>
        <v>0</v>
      </c>
      <c r="EM12" s="165">
        <f ca="1">IFERROR(IF($EN$1=1,0,GETPIVOTDATA("[Measures].["&amp;A_Budget2!$AS$7&amp;"]",A_Budget2!$AQ$7,"[DataBudget2].[Cat_3]","[DataBudget2].[Cat_3].&amp;["&amp;ControlChart_Budget2!$ER$1&amp;"]","[DataBudget2].[Mois (Month)]","[DataBudget2].[Mois (Month)].&amp;["&amp;EV12&amp;"]","[DataBudget2].[Mois (Year)]","[DataBudget2].[Mois (Year)].&amp;["&amp;$EM$1&amp;"]")),0)</f>
        <v>0</v>
      </c>
      <c r="EN12" s="139">
        <f ca="1">IFERROR(GETPIVOTDATA("[Measures].["&amp;A_Budget2!$AT$7&amp;"]",A_Budget2!$AQ$7,"[DataBudget2].[Cat_3]","[DataBudget2].[Cat_3].&amp;["&amp;ControlChart_Budget2!$ER$1&amp;"]","[DataBudget2].[Mois (Month)]","[DataBudget2].[Mois (Month)].&amp;["&amp;EV12&amp;"]","[DataBudget2].[Mois (Year)]","[DataBudget2].[Mois (Year)].&amp;["&amp;$EL$1&amp;"]"),0)</f>
        <v>0</v>
      </c>
      <c r="EO12" s="139">
        <f ca="1">IFERROR(IF($EN$1=1,0,GETPIVOTDATA("[Measures].["&amp;A_Budget2!$AT$7&amp;"]",A_Budget2!$AQ$7,"[DataBudget2].[Cat_3]","[DataBudget2].[Cat_3].&amp;["&amp;ControlChart_Budget2!$ER$1&amp;"]","[DataBudget2].[Mois (Month)]","[DataBudget2].[Mois (Month)].&amp;["&amp;EV12&amp;"]","[DataBudget2].[Mois (Year)]","[DataBudget2].[Mois (Year)].&amp;["&amp;$EM$1&amp;"]")),0)</f>
        <v>0</v>
      </c>
      <c r="EP12" s="167">
        <f ca="1">IFERROR(GETPIVOTDATA("[Measures].["&amp;A_Budget2!$AU$7&amp;"]",A_Budget2!$AQ$7,"[DataBudget2].[Cat_3]","[DataBudget2].[Cat_3].&amp;["&amp;ControlChart_Budget2!$ER$1&amp;"]","[DataBudget2].[Mois (Month)]","[DataBudget2].[Mois (Month)].&amp;["&amp;EV12&amp;"]","[DataBudget2].[Mois (Year)]","[DataBudget2].[Mois (Year)].&amp;["&amp;$EL$1&amp;"]"),0)</f>
        <v>0</v>
      </c>
      <c r="EQ12" s="167">
        <f ca="1">IFERROR(IF($EN$1=1,0,GETPIVOTDATA("[Measures].["&amp;A_Budget2!$AU$7&amp;"]",A_Budget2!$AQ$7,"[DataBudget2].[Cat_3]","[DataBudget2].[Cat_3].&amp;["&amp;ControlChart_Budget2!$ER$1&amp;"]","[DataBudget2].[Mois (Month)]","[DataBudget2].[Mois (Month)].&amp;["&amp;EV12&amp;"]","[DataBudget2].[Mois (Year)]","[DataBudget2].[Mois (Year)].&amp;["&amp;$EM$1&amp;"]")),0)</f>
        <v>0</v>
      </c>
      <c r="ER12" s="9" t="str">
        <f>IFERROR(IF(A_Budget2!AR19=0,"",A_Budget2!AR19),"")</f>
        <v/>
      </c>
      <c r="ES12" s="312">
        <f t="shared" ca="1" si="3"/>
        <v>0</v>
      </c>
      <c r="ET12" s="313">
        <f t="shared" ca="1" si="4"/>
        <v>0</v>
      </c>
      <c r="EU12" s="314">
        <f t="shared" ca="1" si="5"/>
        <v>0</v>
      </c>
      <c r="EV12" t="str">
        <f ca="1">IFERROR(VLOOKUP(ER12,Library!$R$18:$S$29,2,FALSE),Library!S28)</f>
        <v>nov</v>
      </c>
      <c r="EY12" s="168"/>
      <c r="EZ12" s="168"/>
      <c r="FA12" s="168"/>
      <c r="FB12" s="168"/>
      <c r="FC12" s="168"/>
      <c r="FD12" s="168"/>
      <c r="FE12" t="str">
        <f t="shared" si="16"/>
        <v/>
      </c>
      <c r="FF12" s="105" t="e">
        <f>GETPIVOTDATA("[Measures].[ABSB2ME]",A_Budget2!$AF$32,"[DataBudget2].[Cat_2]","[DataBudget2].[Cat_2].&amp;["&amp;ControlChart_Budget2!FH11&amp;"]")</f>
        <v>#REF!</v>
      </c>
      <c r="FG12" s="172" t="e">
        <f>GETPIVOTDATA("[Measures].[ABSB2LM]",A_Budget2!$AF$32,"[DataBudget2].[Cat_2]","[DataBudget2].[Cat_2].&amp;["&amp;ControlChart_Budget2!FH11&amp;"]")</f>
        <v>#REF!</v>
      </c>
      <c r="FH12">
        <f>A_Budget2!AF44</f>
        <v>0</v>
      </c>
      <c r="FI12" s="174">
        <f t="shared" si="6"/>
        <v>0</v>
      </c>
      <c r="FJ12" s="175">
        <f t="shared" si="7"/>
        <v>0</v>
      </c>
      <c r="FK12" cm="1">
        <f t="array" ref="FK12">IFERROR(INDEX($FH$1:$FH$18,SMALL(IF($FI$1:$FI$18=FL12,ROW($FI$1:$FI$18)),COUNTIF($FL$1:FL12,FL12))),"")</f>
        <v>0</v>
      </c>
      <c r="FL12" s="174">
        <f t="shared" si="8"/>
        <v>0</v>
      </c>
      <c r="FM12" s="176">
        <f t="shared" si="9"/>
        <v>0</v>
      </c>
      <c r="FN12" t="str" cm="1">
        <f t="array" ref="FN12">_xlfn.IFS(FK12=0,"",FK12=$A$1,"",FK12&lt;&gt;"",FK12)</f>
        <v/>
      </c>
      <c r="FO12" t="str">
        <f t="shared" si="10"/>
        <v/>
      </c>
      <c r="FP12" s="177" t="str">
        <f t="shared" si="11"/>
        <v/>
      </c>
      <c r="FQ12" s="178" t="str">
        <f t="shared" si="12"/>
        <v/>
      </c>
    </row>
    <row r="13" spans="1:173" x14ac:dyDescent="0.25">
      <c r="A13" s="284" t="str">
        <f t="shared" ref="A13:A16" ca="1" si="37">IFERROR(IF($D$17=I18,$D$17,""),"")</f>
        <v/>
      </c>
      <c r="B13" s="8" t="str">
        <f t="shared" ref="B13:B16" ca="1" si="38">IFERROR(IF(AND($E$22=2,A13&lt;&gt;"",H18=$I$6),A13,""),"")</f>
        <v/>
      </c>
      <c r="AA13" t="str">
        <f t="shared" si="18"/>
        <v/>
      </c>
      <c r="AB13" s="195">
        <f>IF(OR(AA13=1,AA13=3),0,0)</f>
        <v>0</v>
      </c>
      <c r="AC13" s="196">
        <f>IF(OR(AA13=1,AA13=3),0,IF(AJ13&lt;&gt;"",0,0))</f>
        <v>0</v>
      </c>
      <c r="AD13" s="200">
        <f>IF(OR($AA13=1,AA13=3),0,0)</f>
        <v>0</v>
      </c>
      <c r="AE13" s="201">
        <f>IF(OR($AA13=1,AA13=3),0,IF($AJ13&lt;&gt;"",0,0))</f>
        <v>0</v>
      </c>
      <c r="AF13" s="37">
        <f>IF(OR($AA13=1,AA13=3),0,0)</f>
        <v>0</v>
      </c>
      <c r="AG13" s="197">
        <f>IF(OR($AA13=1,AA13=3),0,IF($AJ13&lt;&gt;"",0,0))</f>
        <v>0</v>
      </c>
      <c r="AH13" s="199">
        <f>IF(OR($AA13=1,AA13=3),0,0)</f>
        <v>0</v>
      </c>
      <c r="AI13" s="199">
        <f>IF(OR($AA13=1,AA13=3),0,IF($AJ13&lt;&gt;"",0,0))</f>
        <v>0</v>
      </c>
      <c r="AJ13" s="120" t="str">
        <f>IF(ISBLANK($C$13),"",$C$13)</f>
        <v/>
      </c>
      <c r="AK13" s="120">
        <f t="shared" si="19"/>
        <v>0</v>
      </c>
      <c r="AL13" s="120">
        <f t="shared" si="20"/>
        <v>0</v>
      </c>
      <c r="AM13" s="120">
        <f t="shared" si="21"/>
        <v>0</v>
      </c>
      <c r="AN13" s="120">
        <f t="shared" si="22"/>
        <v>0</v>
      </c>
      <c r="AO13" s="120">
        <f t="shared" si="23"/>
        <v>0</v>
      </c>
      <c r="AP13" s="120">
        <f t="shared" si="24"/>
        <v>0</v>
      </c>
      <c r="AQ13" s="120">
        <f t="shared" si="25"/>
        <v>0</v>
      </c>
      <c r="AR13" s="202">
        <f t="shared" si="26"/>
        <v>0</v>
      </c>
      <c r="AT13" s="8" t="str">
        <f>AL3</f>
        <v>Category2</v>
      </c>
      <c r="AU13" s="9" cm="1">
        <f t="array" aca="1" ref="AU13:AU16" ca="1">INDIRECT(AU12)</f>
        <v>11</v>
      </c>
      <c r="AV13" s="9" cm="1">
        <f t="array" aca="1" ref="AV13:AV16" ca="1">INDIRECT(AV12)</f>
        <v>2025</v>
      </c>
      <c r="AW13" s="9" t="str" cm="1">
        <f t="array" aca="1" ref="AW13:AW16" ca="1">INDIRECT(AW12)</f>
        <v>Qtr1</v>
      </c>
      <c r="AX13" s="127">
        <f>L17</f>
        <v>2E-3</v>
      </c>
      <c r="AY13" s="129">
        <f>ABS(AL2)</f>
        <v>2.0000000000000001E-4</v>
      </c>
      <c r="AZ13" s="9"/>
      <c r="BA13" s="10">
        <f>IFERROR(AY13+AZ13,NA())</f>
        <v>2.0000000000000001E-4</v>
      </c>
      <c r="BB13" s="9"/>
      <c r="BC13" s="133">
        <f>IF(BB13-BA13&lt;0,0,BB13-BA13)</f>
        <v>0</v>
      </c>
      <c r="BD13" s="130">
        <f>BC13+AX13</f>
        <v>2E-3</v>
      </c>
      <c r="BE13" s="138">
        <f>IF(BD13-BA13&lt;0,0,BD13-BA13)</f>
        <v>1.8E-3</v>
      </c>
      <c r="BF13" s="131">
        <f>BE13/BD13</f>
        <v>0.89999999999999991</v>
      </c>
      <c r="BG13" s="126">
        <f>IFERROR((0.1*BD13)/BD13,NA())</f>
        <v>0.1</v>
      </c>
      <c r="BH13" s="126">
        <f>IFERROR((0.1*BD13)/BD13,NA())</f>
        <v>0.1</v>
      </c>
      <c r="BI13" s="126">
        <f>IFERROR((0.2*BD13)/BD13,NA())</f>
        <v>0.2</v>
      </c>
      <c r="BJ13" s="131">
        <f>IFERROR(IF($AT$4&gt;1,0,BF13),NA())</f>
        <v>0.89999999999999991</v>
      </c>
      <c r="BK13" s="131">
        <f>IFERROR(IF($AT$4&gt;1,BF13,0),NA())</f>
        <v>0</v>
      </c>
      <c r="BL13" s="128">
        <f>IF(BK13&gt;0,0,BC13/AX13)</f>
        <v>0</v>
      </c>
      <c r="BM13" s="135">
        <f>IF((BD13-BE13)=0,0,(BD13-BE13)/BD13)</f>
        <v>0.10000000000000005</v>
      </c>
      <c r="BN13" s="126">
        <f>IFERROR(BF13,"")</f>
        <v>0.89999999999999991</v>
      </c>
      <c r="BO13" s="8">
        <f>IFERROR(BA13,"")</f>
        <v>2.0000000000000001E-4</v>
      </c>
      <c r="BP13" s="8">
        <f>IFERROR(AX13,"")</f>
        <v>2E-3</v>
      </c>
      <c r="BQ13" s="117"/>
      <c r="CK13" s="5" t="s">
        <v>166</v>
      </c>
      <c r="CL13">
        <f>SUM(CL$4:CL$12)</f>
        <v>-2.0000000000000009E-4</v>
      </c>
      <c r="CM13">
        <f t="shared" ref="CM13:CR13" si="39">SUM(CM$4:CM$12)</f>
        <v>-2.0000000000000009E-4</v>
      </c>
      <c r="CN13">
        <f t="shared" si="39"/>
        <v>-2.0000000000000009E-4</v>
      </c>
      <c r="CO13">
        <f t="shared" si="39"/>
        <v>-2.0000000000000009E-4</v>
      </c>
      <c r="CP13">
        <f t="shared" si="39"/>
        <v>-2.0000000000000009E-4</v>
      </c>
      <c r="CQ13">
        <f t="shared" si="39"/>
        <v>-2.0000000000000009E-4</v>
      </c>
      <c r="CR13">
        <f t="shared" si="39"/>
        <v>-2.0000000000000001E-4</v>
      </c>
      <c r="DN13" s="9" t="str">
        <f t="shared" si="14"/>
        <v/>
      </c>
      <c r="DO13" s="9" t="str" cm="1">
        <f t="array" ref="DO13">_xlfn.IFS(RIGHT(A_Budget2!AJ21,5)="Total","",A_Budget2!AJ21="","",A_Budget2!AJ21&lt;&gt;"",A_Budget2!AJ21)</f>
        <v/>
      </c>
      <c r="DP13" s="9" t="str">
        <f>IFERROR(GETPIVOTDATA("[Measures].["&amp;A_Budget2!$AK$7&amp;"]",A_Budget2!$AJ$7,"[DataBudget2].[Cat_2]","[DataBudget2].[Cat_2].&amp;["&amp;A_Budget2!$AJ$8&amp;"]","[DataBudget2].[Cat_3]","[DataBudget2].[Cat_3].&amp;["&amp;DO13&amp;"]")/GETPIVOTDATA("[Measures].[Sum of Montant_Extrap 4]",A_Budget2!$AF$7,"[DataBudget2].[Cat_2]","[DataBudget2].[Cat_2].&amp;["&amp;WB_Data!$J$2&amp;"]"),"")</f>
        <v/>
      </c>
      <c r="DQ13" s="9" t="str" cm="1">
        <f t="array" ref="DQ13">IFERROR(INDEX($DO$1:$DO$16,SMALL(IF($DP$1:$DP$16=DR13,ROW($DP$1:$DP$16)),COUNTIF($DR$1:DR13,DR13))),"")</f>
        <v/>
      </c>
      <c r="DR13" s="104" t="str">
        <f t="shared" si="1"/>
        <v/>
      </c>
      <c r="DS13" s="103" t="str">
        <f>IFERROR(GETPIVOTDATA("[Measures].["&amp;A_Budget2!$AK$7&amp;"]",A_Budget2!$AJ$7,"[DataBudget2].[Cat_2]","[DataBudget2].[Cat_2].&amp;["&amp;A_Budget2!$AJ$8&amp;"]","[DataBudget2].[Cat_3]","[DataBudget2].[Cat_3].&amp;["&amp;DQ13&amp;"]"),"")</f>
        <v/>
      </c>
      <c r="DT13" s="154" t="str">
        <f>IFERROR(GETPIVOTDATA("[Measures].["&amp;A_Budget2!$AL$7&amp;"]",A_Budget2!$AJ$7,"[DataBudget2].[Cat_2]","[DataBudget2].[Cat_2].&amp;["&amp;A_Budget2!$AJ$8&amp;"]","[DataBudget2].[Cat_3]","[DataBudget2].[Cat_3].&amp;["&amp;DQ13&amp;"]")/GETPIVOTDATA("[Measures].[Sum of Last_Montant 2]",A_Budget2!$AF$7,"[DataBudget2].[Cat_2]","[DataBudget2].[Cat_2].&amp;["&amp;WB_Data!$J$2&amp;"]"),"")</f>
        <v/>
      </c>
      <c r="DU13" s="155" t="str">
        <f>IFERROR(GETPIVOTDATA("[Measures].["&amp;A_Budget2!$AL$7&amp;"]",A_Budget2!$AJ$7,"[DataBudget2].[Cat_2]","[DataBudget2].[Cat_2].&amp;["&amp;A_Budget2!$AJ$8&amp;"]","[DataBudget2].[Cat_3]","[DataBudget2].[Cat_3].&amp;["&amp;DQ13&amp;"]"),"")</f>
        <v/>
      </c>
      <c r="DV13" s="9" t="str">
        <f t="shared" si="0"/>
        <v/>
      </c>
      <c r="DW13" s="9"/>
      <c r="DX13" s="9"/>
      <c r="DY13" s="97" t="str">
        <f t="shared" si="15"/>
        <v/>
      </c>
      <c r="DZ13" s="9" t="str" cm="1">
        <f t="array" ref="DZ13">_xlfn.IFS(RIGHT(A_Budget2!AJ21,5)="Total","",A_Budget2!AJ21="","",A_Budget2!AJ21&lt;&gt;"",A_Budget2!AJ21)</f>
        <v/>
      </c>
      <c r="EA13" s="9" t="str">
        <f>IFERROR(GETPIVOTDATA("[Measures].["&amp;A_Budget2!$AL$7&amp;"]",A_Budget2!$AJ$7,"[DataBudget2].[Cat_2]","[DataBudget2].[Cat_2].&amp;["&amp;A_Budget2!$AJ$8&amp;"]","[DataBudget2].[Cat_3]","[DataBudget2].[Cat_3].&amp;["&amp;DZ13&amp;"]")/GETPIVOTDATA("[Measures].[Sum of Last_Montant 2]",A_Budget2!$AF$7,"[DataBudget2].[Cat_2]","[DataBudget2].[Cat_2].&amp;["&amp;WB_Data!$J$2&amp;"]"),"")</f>
        <v/>
      </c>
      <c r="EB13" s="9" t="str" cm="1">
        <f t="array" ref="EB13">IFERROR(INDEX($DZ$1:$DZ$16,SMALL(IF($EA$1:$EA$16=EC13,ROW($EA$1:$EA$16)),COUNTIF($EC$1:EC13,EC13))),"")</f>
        <v/>
      </c>
      <c r="EC13" s="154" t="str">
        <f t="shared" si="2"/>
        <v/>
      </c>
      <c r="ED13" s="154" t="str">
        <f>IFERROR(GETPIVOTDATA("[Measures].["&amp;A_Budget2!$AL$7&amp;"]",A_Budget2!$AJ$7,"[DataBudget2].[Cat_2]","[DataBudget2].[Cat_2].&amp;["&amp;A_Budget2!$AJ$8&amp;"]","[DataBudget2].[Cat_3]","[DataBudget2].[Cat_3].&amp;["&amp;EB13&amp;"]"),"")</f>
        <v/>
      </c>
      <c r="EE13" s="139" t="str">
        <f>IFERROR(GETPIVOTDATA("[Measures].["&amp;A_Budget2!$AK$7&amp;"]",A_Budget2!$AJ$7,"[DataBudget2].[Cat_2]","[DataBudget2].[Cat_2].&amp;["&amp;A_Budget2!$AJ$8&amp;"]","[DataBudget2].[Cat_3]","[DataBudget2].[Cat_3].&amp;["&amp;EB13&amp;"]")/GETPIVOTDATA("[Measures].[Sum of Montant_Extrap 4]",A_Budget2!$AF$7,"[DataBudget2].[Cat_2]","[DataBudget2].[Cat_2].&amp;["&amp;WB_Data!$J$2&amp;"]"),"")</f>
        <v/>
      </c>
      <c r="EF13" s="105" t="str">
        <f>IFERROR(GETPIVOTDATA("[Measures].["&amp;A_Budget2!$AK$7&amp;"]",A_Budget2!$AJ$7,"[DataBudget2].[Cat_2]","[DataBudget2].[Cat_2].&amp;["&amp;A_Budget2!$AJ$8&amp;"]","[DataBudget2].[Cat_3]","[DataBudget2].[Cat_3].&amp;["&amp;EB13&amp;"]"),"")</f>
        <v/>
      </c>
      <c r="EL13" s="166">
        <f>IFERROR(GETPIVOTDATA("[Measures].["&amp;A_Budget2!$AS$7&amp;"]",A_Budget2!$AQ$7,"[DataBudget2].[Cat_3]","[DataBudget2].[Cat_3].&amp;["&amp;ControlChart_Budget2!$ER$1&amp;"]","[DataBudget2].[Mois (Month)]","[DataBudget2].[Mois (Month)].&amp;["&amp;ControlChart_Budget2!ER13&amp;"]","[DataBudget2].[Mois (Year)]","[DataBudget2].[Mois (Year)].&amp;["&amp;$EL$1&amp;"]"),0)</f>
        <v>0</v>
      </c>
      <c r="EM13" s="165">
        <f ca="1">IFERROR(IF($EN$1=1,0,GETPIVOTDATA("[Measures].["&amp;A_Budget2!$AS$7&amp;"]",A_Budget2!$AQ$7,"[DataBudget2].[Cat_3]","[DataBudget2].[Cat_3].&amp;["&amp;ControlChart_Budget2!$ER$1&amp;"]","[DataBudget2].[Mois (Month)]","[DataBudget2].[Mois (Month)].&amp;["&amp;EV13&amp;"]","[DataBudget2].[Mois (Year)]","[DataBudget2].[Mois (Year)].&amp;["&amp;$EM$1&amp;"]")),0)</f>
        <v>0</v>
      </c>
      <c r="EN13" s="139">
        <f>IFERROR(GETPIVOTDATA("[Measures].["&amp;A_Budget2!$AT$7&amp;"]",A_Budget2!$AQ$7,"[DataBudget2].[Cat_3]","[DataBudget2].[Cat_3].&amp;["&amp;ControlChart_Budget2!$ER$1&amp;"]","[DataBudget2].[Mois (Month)]","[DataBudget2].[Mois (Month)].&amp;["&amp;ControlChart_Budget2!ER13&amp;"]","[DataBudget2].[Mois (Year)]","[DataBudget2].[Mois (Year)].&amp;["&amp;$EL$1&amp;"]"),0)</f>
        <v>0</v>
      </c>
      <c r="EO13" s="139">
        <f ca="1">IFERROR(IF($EN$1=1,0,GETPIVOTDATA("[Measures].["&amp;A_Budget2!$AT$7&amp;"]",A_Budget2!$AQ$7,"[DataBudget2].[Cat_3]","[DataBudget2].[Cat_3].&amp;["&amp;ControlChart_Budget2!$ER$1&amp;"]","[DataBudget2].[Mois (Month)]","[DataBudget2].[Mois (Month)].&amp;["&amp;EV13&amp;"]","[DataBudget2].[Mois (Year)]","[DataBudget2].[Mois (Year)].&amp;["&amp;$EM$1&amp;"]")),0)</f>
        <v>0</v>
      </c>
      <c r="EP13" s="167">
        <f ca="1">IFERROR(GETPIVOTDATA("[Measures].["&amp;A_Budget2!$AU$7&amp;"]",A_Budget2!$AQ$7,"[DataBudget2].[Cat_3]","[DataBudget2].[Cat_3].&amp;["&amp;ControlChart_Budget2!$ER$1&amp;"]","[DataBudget2].[Mois (Month)]","[DataBudget2].[Mois (Month)].&amp;["&amp;EV13&amp;"]","[DataBudget2].[Mois (Year)]","[DataBudget2].[Mois (Year)].&amp;["&amp;$EL$1&amp;"]"),0)</f>
        <v>0</v>
      </c>
      <c r="EQ13" s="167">
        <f ca="1">IFERROR(IF($EN$1=1,0,GETPIVOTDATA("[Measures].["&amp;A_Budget2!$AU$7&amp;"]",A_Budget2!$AQ$7,"[DataBudget2].[Cat_3]","[DataBudget2].[Cat_3].&amp;["&amp;ControlChart_Budget2!$ER$1&amp;"]","[DataBudget2].[Mois (Month)]","[DataBudget2].[Mois (Month)].&amp;["&amp;EV13&amp;"]","[DataBudget2].[Mois (Year)]","[DataBudget2].[Mois (Year)].&amp;["&amp;$EM$1&amp;"]")),0)</f>
        <v>0</v>
      </c>
      <c r="ER13" s="9" t="str">
        <f>IFERROR(IF(A_Budget2!AR20=0,"",A_Budget2!AR20),"")</f>
        <v/>
      </c>
      <c r="ES13" s="312">
        <f t="shared" ca="1" si="3"/>
        <v>0</v>
      </c>
      <c r="ET13" s="313">
        <f t="shared" ca="1" si="4"/>
        <v>0</v>
      </c>
      <c r="EU13" s="314">
        <f t="shared" ca="1" si="5"/>
        <v>0</v>
      </c>
      <c r="EV13" t="str">
        <f ca="1">IFERROR(VLOOKUP(ER13,Library!$R$18:$S$29,2,FALSE),Library!S29)</f>
        <v>déc</v>
      </c>
      <c r="EY13" s="168"/>
      <c r="EZ13" s="168"/>
      <c r="FA13" s="168"/>
      <c r="FB13" s="168"/>
      <c r="FC13" s="168"/>
      <c r="FD13" s="168"/>
      <c r="FE13" t="str">
        <f t="shared" si="16"/>
        <v/>
      </c>
      <c r="FF13" s="105" t="e">
        <f>GETPIVOTDATA("[Measures].[ABSB2ME]",A_Budget2!$AF$32,"[DataBudget2].[Cat_2]","[DataBudget2].[Cat_2].&amp;["&amp;ControlChart_Budget2!FH12&amp;"]")</f>
        <v>#REF!</v>
      </c>
      <c r="FG13" s="172" t="e">
        <f>GETPIVOTDATA("[Measures].[ABSB2LM]",A_Budget2!$AF$32,"[DataBudget2].[Cat_2]","[DataBudget2].[Cat_2].&amp;["&amp;ControlChart_Budget2!FH12&amp;"]")</f>
        <v>#REF!</v>
      </c>
      <c r="FH13">
        <f>A_Budget2!AF45</f>
        <v>0</v>
      </c>
      <c r="FI13" s="174">
        <f t="shared" si="6"/>
        <v>0</v>
      </c>
      <c r="FJ13" s="175">
        <f t="shared" si="7"/>
        <v>0</v>
      </c>
      <c r="FK13" cm="1">
        <f t="array" ref="FK13">IFERROR(INDEX($FH$1:$FH$18,SMALL(IF($FI$1:$FI$18=FL13,ROW($FI$1:$FI$18)),COUNTIF($FL$1:FL13,FL13))),"")</f>
        <v>0</v>
      </c>
      <c r="FL13" s="174">
        <f t="shared" si="8"/>
        <v>0</v>
      </c>
      <c r="FM13" s="176">
        <f t="shared" si="9"/>
        <v>0</v>
      </c>
      <c r="FN13" t="str" cm="1">
        <f t="array" ref="FN13">_xlfn.IFS(FK13=0,"",FK13=$A$1,"",FK13&lt;&gt;"",FK13)</f>
        <v/>
      </c>
      <c r="FO13" t="str">
        <f t="shared" si="10"/>
        <v/>
      </c>
      <c r="FP13" s="177" t="str">
        <f t="shared" si="11"/>
        <v/>
      </c>
      <c r="FQ13" s="178" t="str">
        <f t="shared" si="12"/>
        <v/>
      </c>
    </row>
    <row r="14" spans="1:173" x14ac:dyDescent="0.25">
      <c r="A14" s="284" t="str">
        <f t="shared" ca="1" si="37"/>
        <v/>
      </c>
      <c r="B14" s="8" t="str">
        <f t="shared" ca="1" si="38"/>
        <v/>
      </c>
      <c r="AA14" t="str">
        <f t="shared" si="18"/>
        <v/>
      </c>
      <c r="AB14" s="195">
        <f>IF(OR(AA14=1,AA14=3),0,0)</f>
        <v>0</v>
      </c>
      <c r="AC14" s="196">
        <f>IF(OR(AA14=1,AA14=3),0,IF(AJ14&lt;&gt;"",0,0))</f>
        <v>0</v>
      </c>
      <c r="AD14" s="200">
        <f>IF(OR($AA14=1,AA14=3),0,0)</f>
        <v>0</v>
      </c>
      <c r="AE14" s="201">
        <f>IF(OR($AA14=1,AA14=3),0,IF($AJ14&lt;&gt;"",0,0))</f>
        <v>0</v>
      </c>
      <c r="AF14" s="37">
        <f>IF(OR($AA14=1,AA14=3),0,0)</f>
        <v>0</v>
      </c>
      <c r="AG14" s="197">
        <f>IF(OR($AA14=1,AA14=3),0,IF($AJ14&lt;&gt;"",0,0))</f>
        <v>0</v>
      </c>
      <c r="AH14" s="199">
        <f>IF(OR($AA14=1,AA14=3),0,0)</f>
        <v>0</v>
      </c>
      <c r="AI14" s="199">
        <f>IF(OR($AA14=1,AA14=3),0,IF($AJ14&lt;&gt;"",0,0))</f>
        <v>0</v>
      </c>
      <c r="AJ14" s="120" t="str">
        <f>IF(ISBLANK($C$14),"",$C$14)</f>
        <v/>
      </c>
      <c r="AK14" s="120">
        <f t="shared" si="19"/>
        <v>0</v>
      </c>
      <c r="AL14" s="120">
        <f t="shared" si="20"/>
        <v>0</v>
      </c>
      <c r="AM14" s="120">
        <f t="shared" si="21"/>
        <v>0</v>
      </c>
      <c r="AN14" s="120">
        <f t="shared" si="22"/>
        <v>0</v>
      </c>
      <c r="AO14" s="120">
        <f t="shared" si="23"/>
        <v>0</v>
      </c>
      <c r="AP14" s="120">
        <f t="shared" si="24"/>
        <v>0</v>
      </c>
      <c r="AQ14" s="120">
        <f t="shared" si="25"/>
        <v>0</v>
      </c>
      <c r="AR14" s="202">
        <f t="shared" si="26"/>
        <v>0</v>
      </c>
      <c r="AT14" s="8"/>
      <c r="AU14" s="9">
        <f ca="1"/>
        <v>21</v>
      </c>
      <c r="AV14" s="9">
        <f ca="1"/>
        <v>2026</v>
      </c>
      <c r="AW14" s="9" t="str">
        <f ca="1"/>
        <v>Qtr1</v>
      </c>
      <c r="AX14" s="127">
        <f>L18</f>
        <v>2E-3</v>
      </c>
      <c r="AY14" s="129">
        <f>ABS(AL43)</f>
        <v>0</v>
      </c>
      <c r="AZ14" s="132">
        <f>IFERROR(IF(AND($AT$4&gt;=2,ABS($AL$41)&lt;0),ABS($AL$41),0),NA())</f>
        <v>0</v>
      </c>
      <c r="BA14" s="10">
        <f>IFERROR(AY14+AZ14,NA())</f>
        <v>0</v>
      </c>
      <c r="BB14" s="127">
        <f>IFERROR(IF(AND($AT$4&gt;=2,$AL$40&gt;0),$AL$40,0),NA())</f>
        <v>0</v>
      </c>
      <c r="BC14" s="133">
        <f>IF(BB14-BA14&lt;0,0,BB14-BA14)</f>
        <v>0</v>
      </c>
      <c r="BD14" s="130">
        <f>BC14+AX14</f>
        <v>2E-3</v>
      </c>
      <c r="BE14" s="138">
        <f>IF(BD14-BA14&lt;0,0,BD14-BA14)</f>
        <v>2E-3</v>
      </c>
      <c r="BF14" s="131">
        <f>BE14/BD14</f>
        <v>1</v>
      </c>
      <c r="BG14" s="126">
        <f>IFERROR((0.1*BD14)/BD14,NA())</f>
        <v>0.1</v>
      </c>
      <c r="BH14" s="126">
        <f>IFERROR((0.1*BD14)/BD14,NA())</f>
        <v>0.1</v>
      </c>
      <c r="BI14" s="126">
        <f>IFERROR((0.2*BD14)/BD14,NA())</f>
        <v>0.2</v>
      </c>
      <c r="BJ14" s="131">
        <f>IFERROR(IF($AT$4&gt;2,0,BF14),NA())</f>
        <v>1</v>
      </c>
      <c r="BK14" s="131">
        <f>IFERROR(IF($AT$4&gt;2,BF14,0),NA())</f>
        <v>0</v>
      </c>
      <c r="BL14" s="128">
        <f>IF(BK14&gt;0,0,BC14/AX14)</f>
        <v>0</v>
      </c>
      <c r="BM14" s="135">
        <f>IF((BD14-BE14)=0,0,(BD14-BE14)/BD14)</f>
        <v>0</v>
      </c>
      <c r="BN14" s="126">
        <f>IFERROR(BF14,"")</f>
        <v>1</v>
      </c>
      <c r="BO14" s="8">
        <f>IFERROR(BA14,"")</f>
        <v>0</v>
      </c>
      <c r="BP14" s="8">
        <f>IFERROR(AX14,"")</f>
        <v>2E-3</v>
      </c>
      <c r="BQ14" s="8" t="str">
        <f>IFERROR(IF(BC14=0,"",BC14),"")</f>
        <v/>
      </c>
      <c r="CL14" s="324" t="s">
        <v>105</v>
      </c>
      <c r="CM14" s="324"/>
      <c r="CN14" s="324"/>
      <c r="CO14" s="324"/>
      <c r="CP14" s="324"/>
      <c r="CQ14" s="324"/>
      <c r="CR14" s="324"/>
      <c r="CS14" s="324"/>
      <c r="CY14" s="126">
        <f>IF(CY18&lt;&gt;"",DB18,"")</f>
        <v>0</v>
      </c>
      <c r="CZ14" s="9"/>
      <c r="DA14" s="9" t="s">
        <v>14</v>
      </c>
      <c r="DB14" s="9">
        <f>IFERROR(IF(AT4&lt;&gt;1,CS5+CS9,0),0)</f>
        <v>0</v>
      </c>
      <c r="DD14" s="5"/>
      <c r="DN14" s="9" t="str">
        <f t="shared" si="14"/>
        <v/>
      </c>
      <c r="DO14" s="9" t="str" cm="1">
        <f t="array" ref="DO14">_xlfn.IFS(RIGHT(A_Budget2!AJ22,5)="Total","",A_Budget2!AJ22="","",A_Budget2!AJ22&lt;&gt;"",A_Budget2!AJ22)</f>
        <v/>
      </c>
      <c r="DP14" s="9" t="str">
        <f>IFERROR(GETPIVOTDATA("[Measures].["&amp;A_Budget2!$AK$7&amp;"]",A_Budget2!$AJ$7,"[DataBudget2].[Cat_2]","[DataBudget2].[Cat_2].&amp;["&amp;A_Budget2!$AJ$8&amp;"]","[DataBudget2].[Cat_3]","[DataBudget2].[Cat_3].&amp;["&amp;DO14&amp;"]")/GETPIVOTDATA("[Measures].[Sum of Montant_Extrap 4]",A_Budget2!$AF$7,"[DataBudget2].[Cat_2]","[DataBudget2].[Cat_2].&amp;["&amp;WB_Data!$J$2&amp;"]"),"")</f>
        <v/>
      </c>
      <c r="DQ14" s="9" t="str" cm="1">
        <f t="array" ref="DQ14">IFERROR(INDEX($DO$1:$DO$16,SMALL(IF($DP$1:$DP$16=DR14,ROW($DP$1:$DP$16)),COUNTIF($DR$1:DR14,DR14))),"")</f>
        <v/>
      </c>
      <c r="DR14" s="104" t="str">
        <f t="shared" si="1"/>
        <v/>
      </c>
      <c r="DS14" s="103" t="str">
        <f>IFERROR(GETPIVOTDATA("[Measures].["&amp;A_Budget2!$AK$7&amp;"]",A_Budget2!$AJ$7,"[DataBudget2].[Cat_2]","[DataBudget2].[Cat_2].&amp;["&amp;A_Budget2!$AJ$8&amp;"]","[DataBudget2].[Cat_3]","[DataBudget2].[Cat_3].&amp;["&amp;DQ14&amp;"]"),"")</f>
        <v/>
      </c>
      <c r="DT14" s="154" t="str">
        <f>IFERROR(GETPIVOTDATA("[Measures].["&amp;A_Budget2!$AL$7&amp;"]",A_Budget2!$AJ$7,"[DataBudget2].[Cat_2]","[DataBudget2].[Cat_2].&amp;["&amp;A_Budget2!$AJ$8&amp;"]","[DataBudget2].[Cat_3]","[DataBudget2].[Cat_3].&amp;["&amp;DQ14&amp;"]")/GETPIVOTDATA("[Measures].[Sum of Last_Montant 2]",A_Budget2!$AF$7,"[DataBudget2].[Cat_2]","[DataBudget2].[Cat_2].&amp;["&amp;WB_Data!$J$2&amp;"]"),"")</f>
        <v/>
      </c>
      <c r="DU14" s="155" t="str">
        <f>IFERROR(GETPIVOTDATA("[Measures].["&amp;A_Budget2!$AL$7&amp;"]",A_Budget2!$AJ$7,"[DataBudget2].[Cat_2]","[DataBudget2].[Cat_2].&amp;["&amp;A_Budget2!$AJ$8&amp;"]","[DataBudget2].[Cat_3]","[DataBudget2].[Cat_3].&amp;["&amp;DQ14&amp;"]"),"")</f>
        <v/>
      </c>
      <c r="DV14" s="9" t="str">
        <f t="shared" si="0"/>
        <v/>
      </c>
      <c r="DW14" s="9"/>
      <c r="DX14" s="9"/>
      <c r="DY14" s="97" t="str">
        <f t="shared" si="15"/>
        <v/>
      </c>
      <c r="DZ14" s="9" t="str" cm="1">
        <f t="array" ref="DZ14">_xlfn.IFS(RIGHT(A_Budget2!AJ22,5)="Total","",A_Budget2!AJ22="","",A_Budget2!AJ22&lt;&gt;"",A_Budget2!AJ22)</f>
        <v/>
      </c>
      <c r="EA14" s="9" t="str">
        <f>IFERROR(GETPIVOTDATA("[Measures].["&amp;A_Budget2!$AL$7&amp;"]",A_Budget2!$AJ$7,"[DataBudget2].[Cat_2]","[DataBudget2].[Cat_2].&amp;["&amp;A_Budget2!$AJ$8&amp;"]","[DataBudget2].[Cat_3]","[DataBudget2].[Cat_3].&amp;["&amp;DZ14&amp;"]")/GETPIVOTDATA("[Measures].[Sum of Last_Montant 2]",A_Budget2!$AF$7,"[DataBudget2].[Cat_2]","[DataBudget2].[Cat_2].&amp;["&amp;WB_Data!$J$2&amp;"]"),"")</f>
        <v/>
      </c>
      <c r="EB14" s="9" t="str" cm="1">
        <f t="array" ref="EB14">IFERROR(INDEX($DZ$1:$DZ$16,SMALL(IF($EA$1:$EA$16=EC14,ROW($EA$1:$EA$16)),COUNTIF($EC$1:EC14,EC14))),"")</f>
        <v/>
      </c>
      <c r="EC14" s="154" t="str">
        <f t="shared" si="2"/>
        <v/>
      </c>
      <c r="ED14" s="154" t="str">
        <f>IFERROR(GETPIVOTDATA("[Measures].["&amp;A_Budget2!$AL$7&amp;"]",A_Budget2!$AJ$7,"[DataBudget2].[Cat_2]","[DataBudget2].[Cat_2].&amp;["&amp;A_Budget2!$AJ$8&amp;"]","[DataBudget2].[Cat_3]","[DataBudget2].[Cat_3].&amp;["&amp;EB14&amp;"]"),"")</f>
        <v/>
      </c>
      <c r="EE14" s="139" t="str">
        <f>IFERROR(GETPIVOTDATA("[Measures].["&amp;A_Budget2!$AK$7&amp;"]",A_Budget2!$AJ$7,"[DataBudget2].[Cat_2]","[DataBudget2].[Cat_2].&amp;["&amp;A_Budget2!$AJ$8&amp;"]","[DataBudget2].[Cat_3]","[DataBudget2].[Cat_3].&amp;["&amp;EB14&amp;"]")/GETPIVOTDATA("[Measures].[Sum of Montant_Extrap 4]",A_Budget2!$AF$7,"[DataBudget2].[Cat_2]","[DataBudget2].[Cat_2].&amp;["&amp;WB_Data!$J$2&amp;"]"),"")</f>
        <v/>
      </c>
      <c r="EF14" s="105" t="str">
        <f>IFERROR(GETPIVOTDATA("[Measures].["&amp;A_Budget2!$AK$7&amp;"]",A_Budget2!$AJ$7,"[DataBudget2].[Cat_2]","[DataBudget2].[Cat_2].&amp;["&amp;A_Budget2!$AJ$8&amp;"]","[DataBudget2].[Cat_3]","[DataBudget2].[Cat_3].&amp;["&amp;EB14&amp;"]"),"")</f>
        <v/>
      </c>
      <c r="EK14" s="5"/>
      <c r="EL14" s="5"/>
      <c r="ES14" s="167">
        <f>A_Budget2!AU4</f>
        <v>12</v>
      </c>
      <c r="ET14" s="165">
        <f>12-EU14</f>
        <v>2</v>
      </c>
      <c r="EU14" s="139">
        <f>A_Budget2!AR3</f>
        <v>10</v>
      </c>
      <c r="EY14" s="5"/>
      <c r="EZ14" s="5"/>
      <c r="FA14" s="5"/>
      <c r="FB14" s="169"/>
      <c r="FC14" s="169"/>
      <c r="FD14" s="5"/>
      <c r="FE14" t="str">
        <f t="shared" si="16"/>
        <v/>
      </c>
      <c r="FF14" s="105" t="e">
        <f>GETPIVOTDATA("[Measures].[ABSB2ME]",A_Budget2!$AF$32,"[DataBudget2].[Cat_2]","[DataBudget2].[Cat_2].&amp;["&amp;ControlChart_Budget2!FH13&amp;"]")</f>
        <v>#REF!</v>
      </c>
      <c r="FG14" s="172" t="e">
        <f>GETPIVOTDATA("[Measures].[ABSB2LM]",A_Budget2!$AF$32,"[DataBudget2].[Cat_2]","[DataBudget2].[Cat_2].&amp;["&amp;ControlChart_Budget2!FH13&amp;"]")</f>
        <v>#REF!</v>
      </c>
      <c r="FH14">
        <f>A_Budget2!AF46</f>
        <v>0</v>
      </c>
      <c r="FI14" s="174">
        <f t="shared" si="6"/>
        <v>0</v>
      </c>
      <c r="FJ14" s="175">
        <f t="shared" si="7"/>
        <v>0</v>
      </c>
      <c r="FK14" cm="1">
        <f t="array" ref="FK14">IFERROR(INDEX($FH$1:$FH$18,SMALL(IF($FI$1:$FI$18=FL14,ROW($FI$1:$FI$18)),COUNTIF($FL$1:FL14,FL14))),"")</f>
        <v>0</v>
      </c>
      <c r="FL14" s="174">
        <f t="shared" si="8"/>
        <v>0</v>
      </c>
      <c r="FM14" s="176">
        <f t="shared" si="9"/>
        <v>0</v>
      </c>
      <c r="FN14" t="str" cm="1">
        <f t="array" ref="FN14">_xlfn.IFS(FK14=0,"",FK14=$A$1,"",FK14&lt;&gt;"",FK14)</f>
        <v/>
      </c>
      <c r="FO14" t="str">
        <f t="shared" si="10"/>
        <v/>
      </c>
      <c r="FP14" s="177" t="str">
        <f t="shared" si="11"/>
        <v/>
      </c>
      <c r="FQ14" s="178" t="str">
        <f t="shared" si="12"/>
        <v/>
      </c>
    </row>
    <row r="15" spans="1:173" ht="12" thickBot="1" x14ac:dyDescent="0.3">
      <c r="A15" s="284" t="str">
        <f t="shared" ca="1" si="37"/>
        <v/>
      </c>
      <c r="B15" s="8" t="str">
        <f t="shared" ca="1" si="38"/>
        <v/>
      </c>
      <c r="J15" t="str">
        <f>J4</f>
        <v>Category1</v>
      </c>
      <c r="L15" t="str">
        <f>L4</f>
        <v>Category2</v>
      </c>
      <c r="N15" t="str">
        <f>N4</f>
        <v>Category3</v>
      </c>
      <c r="P15" t="str">
        <f>P4</f>
        <v>Category4</v>
      </c>
      <c r="R15" t="str">
        <f>R4</f>
        <v>Category5</v>
      </c>
      <c r="T15" t="str">
        <f>T4</f>
        <v>Category6</v>
      </c>
      <c r="V15" t="str">
        <f>V4</f>
        <v>Category7</v>
      </c>
      <c r="X15" t="str">
        <f>X4</f>
        <v>Total ABSB2ME</v>
      </c>
      <c r="AB15" s="195">
        <f>SUM(AB4:AB14)</f>
        <v>6.0000000000000001E-3</v>
      </c>
      <c r="AC15" s="35">
        <f>SUM(AK42:AQ42)-AB15</f>
        <v>8.0000000000000002E-3</v>
      </c>
      <c r="AD15" s="200">
        <f>SUM(AD4:AD14)</f>
        <v>0</v>
      </c>
      <c r="AE15" s="36">
        <f>SUM(AK81:AQ81)-AD15</f>
        <v>0</v>
      </c>
      <c r="AF15" s="37">
        <f>SUM(AF4:AF14)</f>
        <v>0</v>
      </c>
      <c r="AG15" s="37">
        <f>SUM(AK117:AQ117)-AF15</f>
        <v>0</v>
      </c>
      <c r="AH15" s="199">
        <f>SUM(AH4:AH14)</f>
        <v>0</v>
      </c>
      <c r="AI15" s="199">
        <f>SUM(AK150:AQ150)-AH15</f>
        <v>0</v>
      </c>
      <c r="AJ15" s="120" t="s">
        <v>144</v>
      </c>
      <c r="AK15" s="120">
        <f>SUM(AK4:AK14)</f>
        <v>0</v>
      </c>
      <c r="AL15" s="120">
        <f t="shared" ref="AL15:AQ15" si="40">SUM(AL4:AL14)</f>
        <v>0</v>
      </c>
      <c r="AM15" s="120">
        <f t="shared" si="40"/>
        <v>0</v>
      </c>
      <c r="AN15" s="120">
        <f t="shared" si="40"/>
        <v>0</v>
      </c>
      <c r="AO15" s="120">
        <f>SUM(AO4:AO14)</f>
        <v>0</v>
      </c>
      <c r="AP15" s="120">
        <f t="shared" si="40"/>
        <v>0</v>
      </c>
      <c r="AQ15" s="120">
        <f t="shared" si="40"/>
        <v>0</v>
      </c>
      <c r="AR15" s="203"/>
      <c r="AT15" s="8"/>
      <c r="AU15" s="9">
        <f ca="1"/>
        <v>22</v>
      </c>
      <c r="AV15" s="9">
        <f ca="1"/>
        <v>2026</v>
      </c>
      <c r="AW15" s="9" t="str">
        <f ca="1"/>
        <v>Grand Total</v>
      </c>
      <c r="AX15" s="127" t="str">
        <f>L19</f>
        <v/>
      </c>
      <c r="AY15" s="129">
        <f>ABS(AL82)</f>
        <v>0</v>
      </c>
      <c r="AZ15" s="132">
        <f>IFERROR(IF(AND($AT$4&gt;=3,ABS($AL$80)&lt;0),ABS($AL$80),0),NA())</f>
        <v>0</v>
      </c>
      <c r="BA15" s="10">
        <f>IFERROR(AY15+AZ15,NA())</f>
        <v>0</v>
      </c>
      <c r="BB15" s="127">
        <f>IFERROR(IF(AND($AT$4&gt;=3,$AL$79&gt;0),$AL$79,0),NA())</f>
        <v>0</v>
      </c>
      <c r="BC15" s="133">
        <f>IF(BB15-BA15&lt;0,0,BB15-BA15)</f>
        <v>0</v>
      </c>
      <c r="BD15" s="130" t="e">
        <f>BC15+AX15</f>
        <v>#VALUE!</v>
      </c>
      <c r="BE15" s="138" t="e">
        <f>IF(BD15-BA15&lt;0,0,BD15-BA15)</f>
        <v>#VALUE!</v>
      </c>
      <c r="BF15" s="131" t="e">
        <f>BE15/BD15</f>
        <v>#VALUE!</v>
      </c>
      <c r="BG15" s="126" t="e">
        <f>IFERROR((0.1*BD15)/BD15,NA())</f>
        <v>#N/A</v>
      </c>
      <c r="BH15" s="126" t="e">
        <f>IFERROR((0.1*BD15)/BD15,NA())</f>
        <v>#N/A</v>
      </c>
      <c r="BI15" s="126" t="e">
        <f>IFERROR((0.2*BD15)/BD15,NA())</f>
        <v>#N/A</v>
      </c>
      <c r="BJ15" s="131" t="e">
        <f>IFERROR(IF($AT$4&gt;3,0,BF15),NA())</f>
        <v>#N/A</v>
      </c>
      <c r="BK15" s="131">
        <f>IFERROR(IF($AT$4&gt;3,BF15,0),NA())</f>
        <v>0</v>
      </c>
      <c r="BL15" s="128" t="e">
        <f>IF(BK15&gt;0,0,BC15/AX15)</f>
        <v>#VALUE!</v>
      </c>
      <c r="BM15" s="135" t="e">
        <f>IF((BD15-BE15)=0,0,(BD15-BE15)/BD15)</f>
        <v>#VALUE!</v>
      </c>
      <c r="BN15" s="126" t="str">
        <f>IFERROR(BF15,"")</f>
        <v/>
      </c>
      <c r="BO15" s="8">
        <f>IFERROR(BA15,"")</f>
        <v>0</v>
      </c>
      <c r="BP15" s="8" t="str">
        <f>IFERROR(AX15,"")</f>
        <v/>
      </c>
      <c r="BQ15" s="8" t="str">
        <f>IFERROR(IF(BC15=0,"",BC15),"")</f>
        <v/>
      </c>
      <c r="CK15" s="5" t="s">
        <v>161</v>
      </c>
      <c r="CL15" s="9">
        <f>J17</f>
        <v>2E-3</v>
      </c>
      <c r="CM15" s="9">
        <f>L17</f>
        <v>2E-3</v>
      </c>
      <c r="CN15" s="9">
        <f>N17</f>
        <v>2E-3</v>
      </c>
      <c r="CO15" s="9">
        <f>P17</f>
        <v>2E-3</v>
      </c>
      <c r="CP15" s="9">
        <f>R17</f>
        <v>2E-3</v>
      </c>
      <c r="CQ15" s="9">
        <f>T17</f>
        <v>2E-3</v>
      </c>
      <c r="CR15" s="9">
        <f>V17</f>
        <v>2E-3</v>
      </c>
      <c r="CS15" s="9"/>
      <c r="CT15">
        <f>SUM($CL15:$CS15)</f>
        <v>1.4E-2</v>
      </c>
      <c r="CY15" s="9" t="str">
        <f>IF(DB18&gt;1,CY23,(IF(AND($AT$4&gt;1,CY18&lt;&gt;""),CY23,"")))</f>
        <v/>
      </c>
      <c r="CZ15" s="9"/>
      <c r="DA15" s="9" t="s">
        <v>168</v>
      </c>
      <c r="DB15" s="9">
        <f>IF(DB14&lt;0,ABS(DB14),0)</f>
        <v>0</v>
      </c>
      <c r="DD15" s="5"/>
      <c r="DN15" s="9" t="str">
        <f t="shared" si="14"/>
        <v/>
      </c>
      <c r="DO15" s="9" t="str" cm="1">
        <f t="array" ref="DO15">_xlfn.IFS(RIGHT(A_Budget2!AJ23,5)="Total","",A_Budget2!AJ23="","",A_Budget2!AJ23&lt;&gt;"",A_Budget2!AJ23)</f>
        <v/>
      </c>
      <c r="DP15" s="9" t="str">
        <f>IFERROR(GETPIVOTDATA("[Measures].["&amp;A_Budget2!$AK$7&amp;"]",A_Budget2!$AJ$7,"[DataBudget2].[Cat_2]","[DataBudget2].[Cat_2].&amp;["&amp;A_Budget2!$AJ$8&amp;"]","[DataBudget2].[Cat_3]","[DataBudget2].[Cat_3].&amp;["&amp;DO15&amp;"]")/GETPIVOTDATA("[Measures].[Sum of Montant_Extrap 4]",A_Budget2!$AF$7,"[DataBudget2].[Cat_2]","[DataBudget2].[Cat_2].&amp;["&amp;WB_Data!$J$2&amp;"]"),"")</f>
        <v/>
      </c>
      <c r="DQ15" s="9" t="str" cm="1">
        <f t="array" ref="DQ15">IFERROR(INDEX($DO$1:$DO$16,SMALL(IF($DP$1:$DP$16=DR15,ROW($DP$1:$DP$16)),COUNTIF($DR$1:DR15,DR15))),"")</f>
        <v/>
      </c>
      <c r="DR15" s="104" t="str">
        <f t="shared" si="1"/>
        <v/>
      </c>
      <c r="DS15" s="103" t="str">
        <f>IFERROR(GETPIVOTDATA("[Measures].["&amp;A_Budget2!$AK$7&amp;"]",A_Budget2!$AJ$7,"[DataBudget2].[Cat_2]","[DataBudget2].[Cat_2].&amp;["&amp;A_Budget2!$AJ$8&amp;"]","[DataBudget2].[Cat_3]","[DataBudget2].[Cat_3].&amp;["&amp;DQ15&amp;"]"),"")</f>
        <v/>
      </c>
      <c r="DT15" s="154" t="str">
        <f>IFERROR(GETPIVOTDATA("[Measures].["&amp;A_Budget2!$AL$7&amp;"]",A_Budget2!$AJ$7,"[DataBudget2].[Cat_2]","[DataBudget2].[Cat_2].&amp;["&amp;A_Budget2!$AJ$8&amp;"]","[DataBudget2].[Cat_3]","[DataBudget2].[Cat_3].&amp;["&amp;DQ15&amp;"]")/GETPIVOTDATA("[Measures].[Sum of Last_Montant 2]",A_Budget2!$AF$7,"[DataBudget2].[Cat_2]","[DataBudget2].[Cat_2].&amp;["&amp;WB_Data!$J$2&amp;"]"),"")</f>
        <v/>
      </c>
      <c r="DU15" s="155" t="str">
        <f>IFERROR(GETPIVOTDATA("[Measures].["&amp;A_Budget2!$AL$7&amp;"]",A_Budget2!$AJ$7,"[DataBudget2].[Cat_2]","[DataBudget2].[Cat_2].&amp;["&amp;A_Budget2!$AJ$8&amp;"]","[DataBudget2].[Cat_3]","[DataBudget2].[Cat_3].&amp;["&amp;DQ15&amp;"]"),"")</f>
        <v/>
      </c>
      <c r="DV15" s="9" t="str">
        <f t="shared" si="0"/>
        <v/>
      </c>
      <c r="DW15" s="9"/>
      <c r="DX15" s="9"/>
      <c r="DY15" s="97" t="str">
        <f t="shared" si="15"/>
        <v/>
      </c>
      <c r="DZ15" s="9" t="str" cm="1">
        <f t="array" ref="DZ15">_xlfn.IFS(RIGHT(A_Budget2!AJ23,5)="Total","",A_Budget2!AJ23="","",A_Budget2!AJ23&lt;&gt;"",A_Budget2!AJ23)</f>
        <v/>
      </c>
      <c r="EA15" s="9" t="str">
        <f>IFERROR(GETPIVOTDATA("[Measures].["&amp;A_Budget2!$AL$7&amp;"]",A_Budget2!$AJ$7,"[DataBudget2].[Cat_2]","[DataBudget2].[Cat_2].&amp;["&amp;A_Budget2!$AJ$8&amp;"]","[DataBudget2].[Cat_3]","[DataBudget2].[Cat_3].&amp;["&amp;DZ15&amp;"]")/GETPIVOTDATA("[Measures].[Sum of Last_Montant 2]",A_Budget2!$AF$7,"[DataBudget2].[Cat_2]","[DataBudget2].[Cat_2].&amp;["&amp;WB_Data!$J$2&amp;"]"),"")</f>
        <v/>
      </c>
      <c r="EB15" s="9" t="str" cm="1">
        <f t="array" ref="EB15">IFERROR(INDEX($DZ$1:$DZ$16,SMALL(IF($EA$1:$EA$16=EC15,ROW($EA$1:$EA$16)),COUNTIF($EC$1:EC15,EC15))),"")</f>
        <v/>
      </c>
      <c r="EC15" s="154" t="str">
        <f t="shared" si="2"/>
        <v/>
      </c>
      <c r="ED15" s="154" t="str">
        <f>IFERROR(GETPIVOTDATA("[Measures].["&amp;A_Budget2!$AL$7&amp;"]",A_Budget2!$AJ$7,"[DataBudget2].[Cat_2]","[DataBudget2].[Cat_2].&amp;["&amp;A_Budget2!$AJ$8&amp;"]","[DataBudget2].[Cat_3]","[DataBudget2].[Cat_3].&amp;["&amp;EB15&amp;"]"),"")</f>
        <v/>
      </c>
      <c r="EE15" s="139" t="str">
        <f>IFERROR(GETPIVOTDATA("[Measures].["&amp;A_Budget2!$AK$7&amp;"]",A_Budget2!$AJ$7,"[DataBudget2].[Cat_2]","[DataBudget2].[Cat_2].&amp;["&amp;A_Budget2!$AJ$8&amp;"]","[DataBudget2].[Cat_3]","[DataBudget2].[Cat_3].&amp;["&amp;EB15&amp;"]")/GETPIVOTDATA("[Measures].[Sum of Montant_Extrap 4]",A_Budget2!$AF$7,"[DataBudget2].[Cat_2]","[DataBudget2].[Cat_2].&amp;["&amp;WB_Data!$J$2&amp;"]"),"")</f>
        <v/>
      </c>
      <c r="EF15" s="105" t="str">
        <f>IFERROR(GETPIVOTDATA("[Measures].["&amp;A_Budget2!$AK$7&amp;"]",A_Budget2!$AJ$7,"[DataBudget2].[Cat_2]","[DataBudget2].[Cat_2].&amp;["&amp;A_Budget2!$AJ$8&amp;"]","[DataBudget2].[Cat_3]","[DataBudget2].[Cat_3].&amp;["&amp;EB15&amp;"]"),"")</f>
        <v/>
      </c>
      <c r="ES15" s="312">
        <f ca="1">IFERROR(SUM(ES2:ES13)/ES14,"")</f>
        <v>3.3333333333333335E-5</v>
      </c>
      <c r="ET15" s="311">
        <f ca="1">SUM(ET2:ET13)/ET14</f>
        <v>2E-3</v>
      </c>
      <c r="EU15" s="314">
        <f ca="1">SUM(EU2:EU13)/ET14</f>
        <v>2E-3</v>
      </c>
      <c r="FE15" t="str">
        <f t="shared" si="16"/>
        <v/>
      </c>
      <c r="FF15" s="105" t="e">
        <f>GETPIVOTDATA("[Measures].[ABSB2ME]",A_Budget2!$AF$32,"[DataBudget2].[Cat_2]","[DataBudget2].[Cat_2].&amp;["&amp;ControlChart_Budget2!FH14&amp;"]")</f>
        <v>#REF!</v>
      </c>
      <c r="FG15" s="172" t="e">
        <f>GETPIVOTDATA("[Measures].[ABSB2LM]",A_Budget2!$AF$32,"[DataBudget2].[Cat_2]","[DataBudget2].[Cat_2].&amp;["&amp;ControlChart_Budget2!FH14&amp;"]")</f>
        <v>#REF!</v>
      </c>
      <c r="FH15">
        <f>A_Budget2!AF47</f>
        <v>0</v>
      </c>
      <c r="FI15" s="174">
        <f t="shared" si="6"/>
        <v>0</v>
      </c>
      <c r="FJ15" s="175">
        <f t="shared" si="7"/>
        <v>0</v>
      </c>
      <c r="FK15" cm="1">
        <f t="array" ref="FK15">IFERROR(INDEX($FH$1:$FH$18,SMALL(IF($FI$1:$FI$18=FL15,ROW($FI$1:$FI$18)),COUNTIF($FL$1:FL15,FL15))),"")</f>
        <v>0</v>
      </c>
      <c r="FL15" s="174">
        <f t="shared" si="8"/>
        <v>0</v>
      </c>
      <c r="FM15" s="176">
        <f t="shared" si="9"/>
        <v>0</v>
      </c>
      <c r="FN15" t="str" cm="1">
        <f t="array" ref="FN15">_xlfn.IFS(FK15=0,"",FK15=$A$1,"",FK15&lt;&gt;"",FK15)</f>
        <v/>
      </c>
      <c r="FO15" t="str">
        <f t="shared" si="10"/>
        <v/>
      </c>
      <c r="FP15" s="177" t="str">
        <f t="shared" si="11"/>
        <v/>
      </c>
      <c r="FQ15" s="178" t="str">
        <f t="shared" si="12"/>
        <v/>
      </c>
    </row>
    <row r="16" spans="1:173" ht="12" thickBot="1" x14ac:dyDescent="0.3">
      <c r="A16" s="284" t="str">
        <f t="shared" ca="1" si="37"/>
        <v/>
      </c>
      <c r="B16" s="8" t="str">
        <f t="shared" ca="1" si="38"/>
        <v/>
      </c>
      <c r="J16">
        <v>5</v>
      </c>
      <c r="K16">
        <v>6</v>
      </c>
      <c r="L16">
        <v>7</v>
      </c>
      <c r="M16">
        <v>8</v>
      </c>
      <c r="N16">
        <v>9</v>
      </c>
      <c r="O16">
        <v>10</v>
      </c>
      <c r="P16">
        <v>11</v>
      </c>
      <c r="Q16">
        <v>12</v>
      </c>
      <c r="R16">
        <v>13</v>
      </c>
      <c r="S16">
        <v>14</v>
      </c>
      <c r="T16">
        <v>15</v>
      </c>
      <c r="U16">
        <v>16</v>
      </c>
      <c r="V16">
        <v>17</v>
      </c>
      <c r="W16">
        <v>18</v>
      </c>
      <c r="X16">
        <v>19</v>
      </c>
      <c r="Y16">
        <v>20</v>
      </c>
      <c r="AC16" s="5"/>
      <c r="AD16" s="5"/>
      <c r="AE16" s="5"/>
      <c r="AF16" s="5"/>
      <c r="AG16" s="5"/>
      <c r="AH16" s="5"/>
      <c r="AJ16" s="35" t="s">
        <v>162</v>
      </c>
      <c r="AK16" s="35">
        <f>IFERROR(IF($AA4=3,($AR$4/$AJ$3)*$AC$3,($AR$4/$AJ$3)*$AC4*$AC$3),0)</f>
        <v>0</v>
      </c>
      <c r="AL16" s="35">
        <f>IFERROR(IF($AA$5=3,($AR$5/$AJ$3)*$AC$3,($AR$5/$AJ$3)*$AC5*$AC$3),0)</f>
        <v>0</v>
      </c>
      <c r="AM16" s="35">
        <f>IFERROR(IF($AA$6=3,($AR$6/$AJ$3)*$AC$3,($AR$6/$AJ$3)*$AC6*$AC$3),0)</f>
        <v>0</v>
      </c>
      <c r="AN16" s="35">
        <f>IFERROR(IF($AA$7=3,($AR$7/$AJ$3)*$AC$3,($AR$7/$AJ$3)*$AC7*$AC$3),0)</f>
        <v>0</v>
      </c>
      <c r="AO16" s="35">
        <f>IFERROR(IF($AA$8=3,($AR8/$AJ$3)*$AC$3,($AR8/$AJ$3)*$AC8*$AC$3),0)</f>
        <v>0</v>
      </c>
      <c r="AP16" s="35">
        <f>IFERROR(IF($AA$9=3,($AR$9/$AJ$3)*$AC$3,($AR$9/$AJ$3)*$AC9*$AC$3),0)</f>
        <v>0</v>
      </c>
      <c r="AQ16" s="35">
        <f>IFERROR(IF($AA10=3,($AR$10/$AJ$3)*$AC$3,($AR$10/$AJ$3)*$AC$10*$AC$3),0)</f>
        <v>0</v>
      </c>
      <c r="AR16" s="205">
        <f>SUM(AK16:AQ16)</f>
        <v>0</v>
      </c>
      <c r="AT16" s="8"/>
      <c r="AU16" s="9">
        <f ca="1"/>
        <v>23</v>
      </c>
      <c r="AV16" s="9">
        <f ca="1"/>
        <v>2026</v>
      </c>
      <c r="AW16" s="9">
        <f ca="1"/>
        <v>0</v>
      </c>
      <c r="AX16" s="127">
        <f>L20</f>
        <v>0</v>
      </c>
      <c r="AY16" s="129">
        <f>ABS(AL118)</f>
        <v>0</v>
      </c>
      <c r="AZ16" s="132">
        <f>IFERROR(IF(AND($AT$4&gt;=4,ABS($AL$116)&lt;0),ABS($AL$116),0),NA())</f>
        <v>0</v>
      </c>
      <c r="BA16" s="10">
        <f>IFERROR(AY16+AZ16,NA())</f>
        <v>0</v>
      </c>
      <c r="BB16" s="127">
        <f>IFERROR(IF(AND($AT$4&gt;=4,$AL$115&gt;0),$AL$115,0),NA())</f>
        <v>0</v>
      </c>
      <c r="BC16" s="133">
        <f>IF(BB16-BA16&lt;0,0,BB16-BA16)</f>
        <v>0</v>
      </c>
      <c r="BD16" s="130">
        <f>BC16+AX16</f>
        <v>0</v>
      </c>
      <c r="BE16" s="138">
        <f>IF(BD16-BA16&lt;0,0,BD16-BA16)</f>
        <v>0</v>
      </c>
      <c r="BF16" s="131" t="e">
        <f>BE16/BD16</f>
        <v>#DIV/0!</v>
      </c>
      <c r="BG16" s="126" t="e">
        <f>IFERROR((0.1*BD16)/BD16,NA())</f>
        <v>#N/A</v>
      </c>
      <c r="BH16" s="126" t="e">
        <f>IFERROR((0.1*BD16)/BD16,NA())</f>
        <v>#N/A</v>
      </c>
      <c r="BI16" s="126" t="e">
        <f>IFERROR((0.2*BD16)/BD16,NA())</f>
        <v>#N/A</v>
      </c>
      <c r="BJ16" s="131" t="e">
        <f>IFERROR(IF($AT$4&gt;4,0,BF16),NA())</f>
        <v>#N/A</v>
      </c>
      <c r="BK16" s="131">
        <f>IFERROR(IF($AT$4&gt;4,BF16,0),NA())</f>
        <v>0</v>
      </c>
      <c r="BL16" s="128" t="e">
        <f>IF(BK16&gt;0,0,BC16/AX16)</f>
        <v>#DIV/0!</v>
      </c>
      <c r="BM16" s="135">
        <f>IF((BD16-BE16)=0,0,(BD16-BE16)/BD16)</f>
        <v>0</v>
      </c>
      <c r="BN16" s="126" t="str">
        <f>IFERROR(BF16,"")</f>
        <v/>
      </c>
      <c r="BO16" s="8">
        <f>IFERROR(BA16,"")</f>
        <v>0</v>
      </c>
      <c r="BP16" s="8">
        <f>IFERROR(AX16,"")</f>
        <v>0</v>
      </c>
      <c r="BQ16" s="8" t="str">
        <f>IFERROR(IF(BC16=0,"",BC16),"")</f>
        <v/>
      </c>
      <c r="CK16" s="5" t="s">
        <v>162</v>
      </c>
      <c r="CL16" s="9">
        <f>J18</f>
        <v>2E-3</v>
      </c>
      <c r="CM16" s="9">
        <f>L18</f>
        <v>2E-3</v>
      </c>
      <c r="CN16" s="9">
        <f>N18</f>
        <v>2E-3</v>
      </c>
      <c r="CO16" s="9">
        <f>P18</f>
        <v>2E-3</v>
      </c>
      <c r="CP16" s="9">
        <f>R18</f>
        <v>2E-3</v>
      </c>
      <c r="CQ16" s="9">
        <f>T18</f>
        <v>2E-3</v>
      </c>
      <c r="CR16" s="9">
        <f>V18</f>
        <v>2E-3</v>
      </c>
      <c r="CS16" s="9"/>
      <c r="CT16">
        <f>SUM($CL16:$CS16)</f>
        <v>1.4E-2</v>
      </c>
      <c r="CX16" s="188" t="str">
        <f ca="1">IF(CY16&lt;&gt;"",CW1,"")</f>
        <v/>
      </c>
      <c r="CY16" s="144" t="str">
        <f ca="1">E18</f>
        <v/>
      </c>
      <c r="CZ16" s="9"/>
      <c r="DA16" s="9" t="s">
        <v>167</v>
      </c>
      <c r="DB16" s="9">
        <f>IF(DB14&gt;0,DB14,0)</f>
        <v>0</v>
      </c>
      <c r="DN16" s="9" t="str">
        <f t="shared" si="14"/>
        <v/>
      </c>
      <c r="DO16" s="9" t="str" cm="1">
        <f t="array" ref="DO16">_xlfn.IFS(RIGHT(A_Budget2!AJ24,5)="Total","",A_Budget2!AJ24="","",A_Budget2!AJ24&lt;&gt;"",A_Budget2!AJ24)</f>
        <v/>
      </c>
      <c r="DP16" s="9" t="str">
        <f>IFERROR(GETPIVOTDATA("[Measures].["&amp;A_Budget2!$AK$7&amp;"]",A_Budget2!$AJ$7,"[DataBudget2].[Cat_2]","[DataBudget2].[Cat_2].&amp;["&amp;A_Budget2!$AJ$8&amp;"]","[DataBudget2].[Cat_3]","[DataBudget2].[Cat_3].&amp;["&amp;DO16&amp;"]")/GETPIVOTDATA("[Measures].[Sum of Montant_Extrap 4]",A_Budget2!$AF$7,"[DataBudget2].[Cat_2]","[DataBudget2].[Cat_2].&amp;["&amp;WB_Data!$J$2&amp;"]"),"")</f>
        <v/>
      </c>
      <c r="DQ16" s="9" t="str" cm="1">
        <f t="array" ref="DQ16">IFERROR(INDEX($DO$1:$DO$16,SMALL(IF($DP$1:$DP$16=DR16,ROW($DP$1:$DP$16)),COUNTIF($DR$1:DR16,DR16))),"")</f>
        <v/>
      </c>
      <c r="DR16" s="104" t="str">
        <f t="shared" si="1"/>
        <v/>
      </c>
      <c r="DS16" s="103" t="str">
        <f>IFERROR(GETPIVOTDATA("[Measures].["&amp;A_Budget2!$AK$7&amp;"]",A_Budget2!$AJ$7,"[DataBudget2].[Cat_2]","[DataBudget2].[Cat_2].&amp;["&amp;A_Budget2!$AJ$8&amp;"]","[DataBudget2].[Cat_3]","[DataBudget2].[Cat_3].&amp;["&amp;DQ16&amp;"]"),"")</f>
        <v/>
      </c>
      <c r="DT16" s="154" t="str">
        <f>IFERROR(GETPIVOTDATA("[Measures].["&amp;A_Budget2!$AL$7&amp;"]",A_Budget2!$AJ$7,"[DataBudget2].[Cat_2]","[DataBudget2].[Cat_2].&amp;["&amp;A_Budget2!$AJ$8&amp;"]","[DataBudget2].[Cat_3]","[DataBudget2].[Cat_3].&amp;["&amp;DQ16&amp;"]")/GETPIVOTDATA("[Measures].[Sum of Last_Montant 2]",A_Budget2!$AF$7,"[DataBudget2].[Cat_2]","[DataBudget2].[Cat_2].&amp;["&amp;WB_Data!$J$2&amp;"]"),"")</f>
        <v/>
      </c>
      <c r="DU16" s="155" t="str">
        <f>IFERROR(GETPIVOTDATA("[Measures].["&amp;A_Budget2!$AL$7&amp;"]",A_Budget2!$AJ$7,"[DataBudget2].[Cat_2]","[DataBudget2].[Cat_2].&amp;["&amp;A_Budget2!$AJ$8&amp;"]","[DataBudget2].[Cat_3]","[DataBudget2].[Cat_3].&amp;["&amp;DQ16&amp;"]"),"")</f>
        <v/>
      </c>
      <c r="DV16" s="9" t="str">
        <f t="shared" si="0"/>
        <v/>
      </c>
      <c r="DW16" s="9"/>
      <c r="DX16" s="9"/>
      <c r="DY16" s="97" t="str">
        <f t="shared" si="15"/>
        <v/>
      </c>
      <c r="DZ16" s="9" t="str" cm="1">
        <f t="array" ref="DZ16">_xlfn.IFS(RIGHT(A_Budget2!AJ24,5)="Total","",A_Budget2!AJ24="","",A_Budget2!AJ24&lt;&gt;"",A_Budget2!AJ24)</f>
        <v/>
      </c>
      <c r="EA16" s="9" t="str">
        <f>IFERROR(GETPIVOTDATA("[Measures].["&amp;A_Budget2!$AL$7&amp;"]",A_Budget2!$AJ$7,"[DataBudget2].[Cat_2]","[DataBudget2].[Cat_2].&amp;["&amp;A_Budget2!$AJ$8&amp;"]","[DataBudget2].[Cat_3]","[DataBudget2].[Cat_3].&amp;["&amp;DZ16&amp;"]")/GETPIVOTDATA("[Measures].[Sum of Last_Montant 2]",A_Budget2!$AF$7,"[DataBudget2].[Cat_2]","[DataBudget2].[Cat_2].&amp;["&amp;WB_Data!$J$2&amp;"]"),"")</f>
        <v/>
      </c>
      <c r="EB16" s="9" t="str" cm="1">
        <f t="array" ref="EB16">IFERROR(INDEX($DZ$1:$DZ$16,SMALL(IF($EA$1:$EA$16=EC16,ROW($EA$1:$EA$16)),COUNTIF($EC$1:EC16,EC16))),"")</f>
        <v/>
      </c>
      <c r="EC16" s="154" t="str">
        <f t="shared" si="2"/>
        <v/>
      </c>
      <c r="ED16" s="154" t="str">
        <f>IFERROR(GETPIVOTDATA("[Measures].["&amp;A_Budget2!$AL$7&amp;"]",A_Budget2!$AJ$7,"[DataBudget2].[Cat_2]","[DataBudget2].[Cat_2].&amp;["&amp;A_Budget2!$AJ$8&amp;"]","[DataBudget2].[Cat_3]","[DataBudget2].[Cat_3].&amp;["&amp;EB16&amp;"]"),"")</f>
        <v/>
      </c>
      <c r="EE16" s="139" t="str">
        <f>IFERROR(GETPIVOTDATA("[Measures].["&amp;A_Budget2!$AK$7&amp;"]",A_Budget2!$AJ$7,"[DataBudget2].[Cat_2]","[DataBudget2].[Cat_2].&amp;["&amp;A_Budget2!$AJ$8&amp;"]","[DataBudget2].[Cat_3]","[DataBudget2].[Cat_3].&amp;["&amp;EB16&amp;"]")/GETPIVOTDATA("[Measures].[Sum of Montant_Extrap 4]",A_Budget2!$AF$7,"[DataBudget2].[Cat_2]","[DataBudget2].[Cat_2].&amp;["&amp;WB_Data!$J$2&amp;"]"),"")</f>
        <v/>
      </c>
      <c r="EF16" s="105" t="str">
        <f>IFERROR(GETPIVOTDATA("[Measures].["&amp;A_Budget2!$AK$7&amp;"]",A_Budget2!$AJ$7,"[DataBudget2].[Cat_2]","[DataBudget2].[Cat_2].&amp;["&amp;A_Budget2!$AJ$8&amp;"]","[DataBudget2].[Cat_3]","[DataBudget2].[Cat_3].&amp;["&amp;EB16&amp;"]"),"")</f>
        <v/>
      </c>
      <c r="FE16" t="str">
        <f t="shared" si="16"/>
        <v/>
      </c>
      <c r="FF16" s="105" t="e">
        <f>GETPIVOTDATA("[Measures].[ABSB2ME]",A_Budget2!$AF$32,"[DataBudget2].[Cat_2]","[DataBudget2].[Cat_2].&amp;["&amp;ControlChart_Budget2!FH15&amp;"]")</f>
        <v>#REF!</v>
      </c>
      <c r="FG16" s="172" t="e">
        <f>GETPIVOTDATA("[Measures].[ABSB2LM]",A_Budget2!$AF$32,"[DataBudget2].[Cat_2]","[DataBudget2].[Cat_2].&amp;["&amp;ControlChart_Budget2!FH15&amp;"]")</f>
        <v>#REF!</v>
      </c>
      <c r="FH16">
        <f>A_Budget2!AF48</f>
        <v>0</v>
      </c>
      <c r="FI16" s="174">
        <f t="shared" si="6"/>
        <v>0</v>
      </c>
      <c r="FJ16" s="175">
        <f t="shared" si="7"/>
        <v>0</v>
      </c>
      <c r="FK16" cm="1">
        <f t="array" ref="FK16">IFERROR(INDEX($FH$1:$FH$18,SMALL(IF($FI$1:$FI$18=FL16,ROW($FI$1:$FI$18)),COUNTIF($FL$1:FL16,FL16))),"")</f>
        <v>0</v>
      </c>
      <c r="FL16" s="174">
        <f t="shared" si="8"/>
        <v>0</v>
      </c>
      <c r="FM16" s="176">
        <f t="shared" si="9"/>
        <v>0</v>
      </c>
      <c r="FN16" t="str" cm="1">
        <f t="array" ref="FN16">_xlfn.IFS(FK16=0,"",FK16=$A$1,"",FK16&lt;&gt;"",FK16)</f>
        <v/>
      </c>
      <c r="FO16" t="str">
        <f t="shared" si="10"/>
        <v/>
      </c>
      <c r="FP16" s="177" t="str">
        <f t="shared" si="11"/>
        <v/>
      </c>
      <c r="FQ16" s="178" t="str">
        <f t="shared" si="12"/>
        <v/>
      </c>
    </row>
    <row r="17" spans="3:173" x14ac:dyDescent="0.25">
      <c r="C17" s="186">
        <f ca="1">TODAY()</f>
        <v>45760</v>
      </c>
      <c r="D17" t="str">
        <f ca="1">"Qtr"&amp;ROUNDUP(C18/3,0)</f>
        <v>Qtr2</v>
      </c>
      <c r="E17" t="str" cm="1">
        <f t="array" aca="1" ref="E17:E21" ca="1">IFERROR(IF(E22&lt;&gt;2,A12:A16,B12:B16),"")</f>
        <v/>
      </c>
      <c r="F17" t="str">
        <f>IF(OR(I17=$A$1,I17=0),"",CONCATENATE(H17," ",I17))</f>
        <v>2025 Qtr1</v>
      </c>
      <c r="G17" s="5" cm="1">
        <f t="array" ref="G17:G22">_xlfn._xlws.SORT(F7:F12,1,1)</f>
        <v>11</v>
      </c>
      <c r="H17">
        <f>IF(G17&lt;20,$I$6,IF(G17&gt;20,$G$5,""))</f>
        <v>2025</v>
      </c>
      <c r="I17" s="5" t="str">
        <f>VLOOKUP(G17,$F$7:$I$12,4,FALSE)</f>
        <v>Qtr1</v>
      </c>
      <c r="J17">
        <f t="shared" ref="J17:Y21" si="41">IF($I17=$A$1,"",VLOOKUP($G17,$F$7:$Y$12,J$16,FALSE))</f>
        <v>2E-3</v>
      </c>
      <c r="K17">
        <f t="shared" si="41"/>
        <v>2.0000000000000001E-4</v>
      </c>
      <c r="L17">
        <f t="shared" si="41"/>
        <v>2E-3</v>
      </c>
      <c r="M17">
        <f t="shared" si="41"/>
        <v>2.0000000000000001E-4</v>
      </c>
      <c r="N17">
        <f t="shared" si="41"/>
        <v>2E-3</v>
      </c>
      <c r="O17">
        <f t="shared" si="41"/>
        <v>2.0000000000000001E-4</v>
      </c>
      <c r="P17">
        <f t="shared" si="41"/>
        <v>2E-3</v>
      </c>
      <c r="Q17">
        <f t="shared" si="41"/>
        <v>2.0000000000000001E-4</v>
      </c>
      <c r="R17">
        <f t="shared" si="41"/>
        <v>2E-3</v>
      </c>
      <c r="S17">
        <f t="shared" si="41"/>
        <v>2.0000000000000001E-4</v>
      </c>
      <c r="T17">
        <f t="shared" si="41"/>
        <v>2E-3</v>
      </c>
      <c r="U17">
        <f t="shared" si="41"/>
        <v>2.0000000000000001E-4</v>
      </c>
      <c r="V17">
        <f t="shared" si="41"/>
        <v>2E-3</v>
      </c>
      <c r="W17">
        <f t="shared" si="41"/>
        <v>2.0000000000000001E-4</v>
      </c>
      <c r="X17">
        <f t="shared" si="41"/>
        <v>1.4000000000000005E-2</v>
      </c>
      <c r="Y17">
        <f t="shared" si="41"/>
        <v>1.4000000000000004E-3</v>
      </c>
      <c r="AC17" s="5"/>
      <c r="AD17" s="5"/>
      <c r="AE17" s="5"/>
      <c r="AF17" s="5"/>
      <c r="AG17" s="5"/>
      <c r="AH17" s="5"/>
      <c r="AJ17" s="36" t="s">
        <v>163</v>
      </c>
      <c r="AK17" s="36">
        <f>IFERROR(IF($AA4=3,($AR$4/$AJ$3)*$AE$3,($AR$4/$AJ$3)*$AE4)*$AE$3,0)</f>
        <v>0</v>
      </c>
      <c r="AL17" s="36">
        <f>IFERROR(IF($AA$5=3,($AR$5/$AJ$3)*$AE$3,($AR$5/$AJ$3)*$AE5*$AE$3),0)</f>
        <v>0</v>
      </c>
      <c r="AM17" s="36">
        <f>IFERROR(IF($AA$6=3,($AR$6/$AJ$3)*$AE$3,($AR$6/$AJ$3)*$AE6*$AE$3),0)</f>
        <v>0</v>
      </c>
      <c r="AN17" s="36">
        <f>IFERROR(IF($AA$7=3,($AR$7/$AJ$3)*$AE$3,($AR$7/$AJ$3)*$AE7*$AE$3),0)</f>
        <v>0</v>
      </c>
      <c r="AO17" s="36">
        <f>IFERROR(IF($AA$8=3,($AR8/$AJ$3)*$AE$3,($AR8/$AJ$3)*$AE8*$AE$3),0)</f>
        <v>0</v>
      </c>
      <c r="AP17" s="36">
        <f>IFERROR(IF($AA$9=3,($AR$9/$AJ$3)*$AE$3,($AR$9/$AJ$3)*$AE9*$AE$3),0)</f>
        <v>0</v>
      </c>
      <c r="AQ17" s="36">
        <f>IFERROR(IF($AA10=3,($AR$10/$AJ$3)*$AE$3,($AR$10/$AJ$3)*$AE$10*$AE$3),0)</f>
        <v>0</v>
      </c>
      <c r="AR17" s="206">
        <f>SUM(AK17:AQ17)</f>
        <v>0</v>
      </c>
      <c r="AT17" s="8"/>
      <c r="AU17" s="9"/>
      <c r="AV17" s="9"/>
      <c r="AW17" s="9"/>
      <c r="AX17" s="127">
        <f>L21</f>
        <v>0</v>
      </c>
      <c r="AY17" s="129">
        <f>ABS(AL151)</f>
        <v>0</v>
      </c>
      <c r="AZ17" s="132">
        <f>IFERROR(IF(AND($AT$4&gt;=5,ABS($AL$149)&lt;0),ABS($AL$149),0),NA())</f>
        <v>0</v>
      </c>
      <c r="BA17" s="10">
        <f>IFERROR(AY17+AZ17,NA())</f>
        <v>0</v>
      </c>
      <c r="BB17" s="127">
        <f>IFERROR(IF(AND($AT$4&gt;=5,$AL$148&gt;0),$AL$148,0),NA())</f>
        <v>0</v>
      </c>
      <c r="BC17" s="133">
        <f>IF(BB17-BA17&lt;0,0,BB17-BA17)</f>
        <v>0</v>
      </c>
      <c r="BD17" s="130">
        <f>BC17+AX17</f>
        <v>0</v>
      </c>
      <c r="BE17" s="138">
        <f>IF(BD17-BA17&lt;0,0,BD17-BA17)</f>
        <v>0</v>
      </c>
      <c r="BF17" s="131" t="e">
        <f>BE17/BD17</f>
        <v>#DIV/0!</v>
      </c>
      <c r="BG17" s="126" t="e">
        <f>IFERROR((0.1*BD17)/BD17,NA())</f>
        <v>#N/A</v>
      </c>
      <c r="BH17" s="126" t="e">
        <f>IFERROR((0.1*BD17)/BD17,NA())</f>
        <v>#N/A</v>
      </c>
      <c r="BI17" s="126" t="e">
        <f>IFERROR((0.2*BD17)/BD17,NA())</f>
        <v>#N/A</v>
      </c>
      <c r="BJ17" s="131" t="e">
        <f>IFERROR(IF($AT$4&gt;5,0,BF17),NA())</f>
        <v>#N/A</v>
      </c>
      <c r="BK17" s="131">
        <f>IFERROR(IF($AT$4&gt;5,BF17,0),NA())</f>
        <v>0</v>
      </c>
      <c r="BL17" s="128" t="e">
        <f>IF(BK17&gt;0,0,BC17/AX17)</f>
        <v>#DIV/0!</v>
      </c>
      <c r="BM17" s="135">
        <f>IF((BD17-BE17)=0,0,(BD17-BE17)/BD17)</f>
        <v>0</v>
      </c>
      <c r="BN17" s="126" t="str">
        <f>IFERROR(BF17,"")</f>
        <v/>
      </c>
      <c r="BO17" s="8">
        <f>IFERROR(BA17,"")</f>
        <v>0</v>
      </c>
      <c r="BP17" s="8">
        <f>IFERROR(AX17,"")</f>
        <v>0</v>
      </c>
      <c r="BQ17" s="8" t="str">
        <f>IFERROR(IF(BC17=0,"",BC17),"")</f>
        <v/>
      </c>
      <c r="CK17" s="5" t="s">
        <v>163</v>
      </c>
      <c r="CL17" s="9" t="str">
        <f>J19</f>
        <v/>
      </c>
      <c r="CM17" s="9" t="str">
        <f>L19</f>
        <v/>
      </c>
      <c r="CN17" s="9" t="str">
        <f>N19</f>
        <v/>
      </c>
      <c r="CO17" s="9" t="str">
        <f>P19</f>
        <v/>
      </c>
      <c r="CP17" s="9" t="str">
        <f>R19</f>
        <v/>
      </c>
      <c r="CQ17" s="9" t="str">
        <f>T19</f>
        <v/>
      </c>
      <c r="CR17" s="9" t="str">
        <f>V19</f>
        <v/>
      </c>
      <c r="CS17" s="9"/>
      <c r="CT17">
        <f>SUM($CL17:$CS17)</f>
        <v>0</v>
      </c>
      <c r="CY17" s="9" t="s">
        <v>14</v>
      </c>
      <c r="CZ17" s="9" cm="1">
        <f t="array" ref="CZ17">IFERROR(_xlfn.IFS(DB16&gt;0,0%,(DB15/CZ18)&gt;1.4,1.4,DB15&gt;=0,(DB15/CZ18)),0)</f>
        <v>0</v>
      </c>
      <c r="DA17" s="9"/>
      <c r="DB17" s="9" t="s">
        <v>169</v>
      </c>
      <c r="DN17" s="9"/>
      <c r="DO17" s="9" t="str" cm="1">
        <f t="array" ref="DO17">_xlfn.IFS(RIGHT(A_Budget2!AJ25,5)="Total","",A_Budget2!AJ25="","",A_Budget2!AJ25&lt;&gt;"",A_Budget2!AJ25)</f>
        <v/>
      </c>
      <c r="DP17" s="9" t="str">
        <f>IFERROR(GETPIVOTDATA("[Measures].["&amp;A_Budget2!$AK$7&amp;"]",A_Budget2!$AJ$7,"[DataBudget2].[Cat_2]","[DataBudget2].[Cat_2].&amp;["&amp;A_Budget2!$AJ$8&amp;"]","[DataBudget2].[Cat_3]","[DataBudget2].[Cat_3].&amp;["&amp;DO17&amp;"]")/GETPIVOTDATA("[Measures].[Sum of Montant_Extrap 4]",A_Budget2!$AF$7,"[DataBudget2].[Cat_2]","[DataBudget2].[Cat_2].&amp;["&amp;WB_Data!$J$2&amp;"]"),"")</f>
        <v/>
      </c>
      <c r="DQ17" s="8"/>
      <c r="DR17" s="9" t="str">
        <f>A_Budget2!AJ8</f>
        <v>Category1</v>
      </c>
      <c r="DS17" s="9"/>
      <c r="DT17" s="86"/>
      <c r="DW17" s="88"/>
      <c r="DY17" t="s">
        <v>130</v>
      </c>
      <c r="EK17" s="136"/>
      <c r="EL17" s="165">
        <f>ControlChart_Budget2!I6</f>
        <v>2025</v>
      </c>
      <c r="EM17" s="165">
        <f>G5</f>
        <v>2026</v>
      </c>
      <c r="EN17" s="22">
        <f>IFERROR(IF(EL17=EM17,1,2),1)</f>
        <v>2</v>
      </c>
      <c r="ER17" s="9" t="str">
        <f>A_Budget2!BA8</f>
        <v>Sub-Category4</v>
      </c>
      <c r="ES17" s="5" t="str">
        <f>A_Budget1!BE7</f>
        <v>ABSB1M</v>
      </c>
      <c r="ET17" s="165" t="str">
        <f>A_Budget1!BC7</f>
        <v>ABSMontantE</v>
      </c>
      <c r="EU17" t="str">
        <f>A_Budget1!BD7</f>
        <v>ABS_LastM</v>
      </c>
      <c r="EV17" t="s">
        <v>1118</v>
      </c>
      <c r="FE17" t="str">
        <f t="shared" si="16"/>
        <v/>
      </c>
      <c r="FF17" s="105" t="e">
        <f>GETPIVOTDATA("[Measures].[ABSB2ME]",A_Budget2!$AF$32,"[DataBudget2].[Cat_2]","[DataBudget2].[Cat_2].&amp;["&amp;ControlChart_Budget2!FH16&amp;"]")</f>
        <v>#REF!</v>
      </c>
      <c r="FG17" s="172" t="e">
        <f>GETPIVOTDATA("[Measures].[ABSB2LM]",A_Budget2!$AF$32,"[DataBudget2].[Cat_2]","[DataBudget2].[Cat_2].&amp;["&amp;ControlChart_Budget2!FH16&amp;"]")</f>
        <v>#REF!</v>
      </c>
      <c r="FH17">
        <f>A_Budget2!AF49</f>
        <v>0</v>
      </c>
      <c r="FI17" s="174">
        <f t="shared" si="6"/>
        <v>0</v>
      </c>
      <c r="FJ17" s="175">
        <f t="shared" si="7"/>
        <v>0</v>
      </c>
      <c r="FK17" cm="1">
        <f t="array" ref="FK17">IFERROR(INDEX($FH$1:$FH$18,SMALL(IF($FI$1:$FI$18=FL17,ROW($FI$1:$FI$18)),COUNTIF($FL$1:FL17,FL17))),"")</f>
        <v>0</v>
      </c>
      <c r="FL17" s="174">
        <f t="shared" si="8"/>
        <v>0</v>
      </c>
      <c r="FM17" s="176">
        <f t="shared" si="9"/>
        <v>0</v>
      </c>
      <c r="FN17" t="str" cm="1">
        <f t="array" ref="FN17">_xlfn.IFS(FK17=0,"",FK17=$A$1,"",FK17&lt;&gt;"",FK17)</f>
        <v/>
      </c>
      <c r="FO17" t="str">
        <f t="shared" si="10"/>
        <v/>
      </c>
      <c r="FP17" s="177" t="str">
        <f t="shared" si="11"/>
        <v/>
      </c>
      <c r="FQ17" s="178" t="str">
        <f t="shared" si="12"/>
        <v/>
      </c>
    </row>
    <row r="18" spans="3:173" ht="12" thickBot="1" x14ac:dyDescent="0.3">
      <c r="C18">
        <f ca="1">MONTH(C17)</f>
        <v>4</v>
      </c>
      <c r="E18" t="str">
        <f ca="1"/>
        <v/>
      </c>
      <c r="F18" t="str">
        <f>IF(OR(I18=$A$1,I18=0),"",CONCATENATE(H18," ",I18))</f>
        <v>2026 Qtr1</v>
      </c>
      <c r="G18" s="5">
        <v>21</v>
      </c>
      <c r="H18">
        <f>IF(G18&lt;20,$I$6,IF(G18&gt;20,$G$5,""))</f>
        <v>2026</v>
      </c>
      <c r="I18" s="5" t="str">
        <f>VLOOKUP(G18,$F$7:$I$12,4,FALSE)</f>
        <v>Qtr1</v>
      </c>
      <c r="J18">
        <f t="shared" si="41"/>
        <v>2E-3</v>
      </c>
      <c r="K18">
        <f t="shared" si="41"/>
        <v>2.0000000000000001E-4</v>
      </c>
      <c r="L18">
        <f t="shared" si="41"/>
        <v>2E-3</v>
      </c>
      <c r="M18">
        <f t="shared" si="41"/>
        <v>2.0000000000000001E-4</v>
      </c>
      <c r="N18">
        <f t="shared" si="41"/>
        <v>2E-3</v>
      </c>
      <c r="O18">
        <f t="shared" si="41"/>
        <v>2.0000000000000001E-4</v>
      </c>
      <c r="P18">
        <f t="shared" si="41"/>
        <v>2E-3</v>
      </c>
      <c r="Q18">
        <f t="shared" si="41"/>
        <v>2.0000000000000001E-4</v>
      </c>
      <c r="R18">
        <f t="shared" si="41"/>
        <v>2E-3</v>
      </c>
      <c r="S18">
        <f t="shared" si="41"/>
        <v>2.0000000000000001E-4</v>
      </c>
      <c r="T18">
        <f t="shared" si="41"/>
        <v>2E-3</v>
      </c>
      <c r="U18">
        <f t="shared" si="41"/>
        <v>2.0000000000000001E-4</v>
      </c>
      <c r="V18">
        <f t="shared" si="41"/>
        <v>2E-3</v>
      </c>
      <c r="W18">
        <f t="shared" si="41"/>
        <v>2.0000000000000001E-4</v>
      </c>
      <c r="X18">
        <f t="shared" si="41"/>
        <v>1.4000000000000005E-2</v>
      </c>
      <c r="Y18">
        <f t="shared" si="41"/>
        <v>1.4000000000000004E-3</v>
      </c>
      <c r="AC18" s="5"/>
      <c r="AD18" s="5"/>
      <c r="AE18" s="5"/>
      <c r="AF18" s="5"/>
      <c r="AG18" s="5"/>
      <c r="AH18" s="5"/>
      <c r="AJ18" s="37" t="s">
        <v>164</v>
      </c>
      <c r="AK18" s="37">
        <f>IFERROR(IF($AA4=3,($AR$4/$AJ$3)*$AG$3,($AR$4/$AJ$3)*$AG4*$AG$3),0)</f>
        <v>0</v>
      </c>
      <c r="AL18" s="37">
        <f>IFERROR(IF($AA$5=3,($AR$5/$AJ$3)*$AG$3,($AR$5/$AJ$3)*$AG5*$AG$3),0)</f>
        <v>0</v>
      </c>
      <c r="AM18" s="37">
        <f>IFERROR(IF($AA$6=3,($AR$6/$AJ$3)*$AG$3,($AR$6/$AJ$3)*$AG6*$AG$3),0)</f>
        <v>0</v>
      </c>
      <c r="AN18" s="37">
        <f>IFERROR(IF($AA$7=3,($AR$7/$AJ$3)*$AG$3,($AR$7/$AJ$3)*$AG7*$AG$3),0)</f>
        <v>0</v>
      </c>
      <c r="AO18" s="37">
        <f>IFERROR(IF($AA$8=3,($AR$8/$AJ$3)*$AG$3,($AR$8/$AJ$3)*$AG8*$AG$3),0)</f>
        <v>0</v>
      </c>
      <c r="AP18" s="37">
        <f>IFERROR(IF($AA$9=3,($AR$9/$AJ$3)*$AG$3,($AR$9/$AJ$3)*$AG9*$AG$3),0)</f>
        <v>0</v>
      </c>
      <c r="AQ18" s="37">
        <f>IFERROR(IF($AA10=3,($AR$10/$AJ$3)*$AG$3,($AR$10/$AJ$3)*$AG$10*$AG$3),0)</f>
        <v>0</v>
      </c>
      <c r="AR18" s="207">
        <f>SUM(AK18:AQ18)</f>
        <v>0</v>
      </c>
      <c r="AT18" s="304" cm="1">
        <f t="array" ref="AT18">_xlfn.IFS($AT$4=1,BO13,$AT$4=2,BO14,$AT$4=3,BO15,$AT$4=4,BO16,$AT$4=5,BO17)</f>
        <v>2.0000000000000001E-4</v>
      </c>
      <c r="AU18" s="304" cm="1">
        <f t="array" ref="AU18">_xlfn.IFS($AT$4=1,BP13,$AT$4=2,BP14,$AT$4=3,BP15,$AT$4=4,BP16,$AT$4=5,BP17)</f>
        <v>2E-3</v>
      </c>
      <c r="AV18" s="8" t="str">
        <f>IF(AU18&lt;&gt;"","/ "&amp;AU18&amp;WB_Data!EJ2,"")</f>
        <v>/ 0.002$</v>
      </c>
      <c r="AW18" s="303" cm="1">
        <f t="array" ref="AW18">_xlfn.IFS($AT$4=1,BQ13,$AT$4=2,BQ14,$AT$4=3,BQ15,$AT$4=4,BQ16,$AT$4=5,BQ17)</f>
        <v>0</v>
      </c>
      <c r="AX18" s="85" t="str">
        <f>IF(AW18="","","Extra")</f>
        <v>Extra</v>
      </c>
      <c r="CK18" s="5" t="s">
        <v>164</v>
      </c>
      <c r="CL18" s="9">
        <f>J20</f>
        <v>0</v>
      </c>
      <c r="CM18" s="9">
        <f>L20</f>
        <v>0</v>
      </c>
      <c r="CN18" s="9">
        <f>N20</f>
        <v>0</v>
      </c>
      <c r="CO18" s="9">
        <f>P20</f>
        <v>0</v>
      </c>
      <c r="CP18" s="9">
        <f>R20</f>
        <v>0</v>
      </c>
      <c r="CQ18" s="9">
        <f>T20</f>
        <v>0</v>
      </c>
      <c r="CR18" s="9">
        <f>V20</f>
        <v>0</v>
      </c>
      <c r="CS18" s="9"/>
      <c r="CT18">
        <f>SUM($CL18:$CS18)</f>
        <v>0</v>
      </c>
      <c r="CY18" s="9" t="str">
        <f>F18</f>
        <v>2026 Qtr1</v>
      </c>
      <c r="CZ18" s="9">
        <f>CT16</f>
        <v>1.4E-2</v>
      </c>
      <c r="DA18" s="126">
        <v>0</v>
      </c>
      <c r="DB18" s="126">
        <f>CZ17</f>
        <v>0</v>
      </c>
      <c r="DO18" s="88"/>
      <c r="DS18" s="5"/>
      <c r="DT18" s="86"/>
      <c r="DW18" s="88"/>
      <c r="EK18" s="5"/>
      <c r="EL18" s="170">
        <f ca="1">IFERROR(GETPIVOTDATA("[Measures].["&amp;A_Budget2!$BC$7&amp;"]",A_Budget2!$BA$7,"[DataBudget2].[Cat_3]","[DataBudget2].[Cat_3].&amp;["&amp;ControlChart_Budget2!$ER$17&amp;"]","[DataBudget2].[Mois (Month)]","[DataBudget2].[Mois (Month)].&amp;["&amp;EV18&amp;"]","[DataBudget2].[Mois (Year)]","[DataBudget2].[Mois (Year)].&amp;["&amp;$EL$17&amp;"]"),0)</f>
        <v>2E-3</v>
      </c>
      <c r="EM18" s="165">
        <f ca="1">IFERROR(IF($EN$17=1,0,GETPIVOTDATA("[Measures].["&amp;A_Budget2!$BC$7&amp;"]",A_Budget2!$BA$7,"[DataBudget2].[Cat_3]","[DataBudget2].[Cat_3].&amp;["&amp;ControlChart_Budget2!$ER$17&amp;"]","[DataBudget2].[Mois (Month)]","[DataBudget2].[Mois (Month)].&amp;["&amp;EV18&amp;"]","[DataBudget2].[Mois (Year)]","[DataBudget2].[Mois (Year)].&amp;["&amp;$EM$17&amp;"]")),0)</f>
        <v>0</v>
      </c>
      <c r="EN18" s="139">
        <f ca="1">IFERROR(GETPIVOTDATA("[Measures].["&amp;A_Budget2!$BD$7&amp;"]",A_Budget2!$BA$7,"[DataBudget2].[Cat_3]","[DataBudget2].[Cat_3].&amp;["&amp;ControlChart_Budget2!$ER$17&amp;"]","[DataBudget2].[Mois (Month)]","[DataBudget2].[Mois (Month)].&amp;["&amp;EV18&amp;"]","[DataBudget2].[Mois (Year)]","[DataBudget2].[Mois (Year)].&amp;["&amp;$EL$17&amp;"]"),0)</f>
        <v>2E-3</v>
      </c>
      <c r="EO18" s="139">
        <f ca="1">IFERROR(IF($EN$17=1,0,GETPIVOTDATA("[Measures].["&amp;A_Budget2!$BD$7&amp;"]",A_Budget2!$BA$7,"[DataBudget2].[Cat_3]","[DataBudget2].[Cat_3].&amp;["&amp;ControlChart_Budget2!$ER$17&amp;"]","[DataBudget2].[Mois (Month)]","[DataBudget2].[Mois (Month)].&amp;["&amp;EV18&amp;"]","[DataBudget2].[Mois (Year)]","[DataBudget2].[Mois (Year)].&amp;["&amp;$EM$17&amp;"]")),0)</f>
        <v>0</v>
      </c>
      <c r="EP18" s="167">
        <f ca="1">IFERROR(GETPIVOTDATA("[Measures].["&amp;A_Budget2!$BE$7&amp;"]",A_Budget2!$BA$7,"[DataBudget2].[Cat_3]","[DataBudget2].[Cat_3].&amp;["&amp;ControlChart_Budget2!$ER$17&amp;"]","[DataBudget2].[Mois (Month)]","[DataBudget2].[Mois (Month)].&amp;["&amp;EV18&amp;"]","[DataBudget2].[Mois (Year)]","[DataBudget2].[Mois (Year)].&amp;["&amp;$EL$17&amp;"]"),0)</f>
        <v>2.0000000000000001E-4</v>
      </c>
      <c r="EQ18" s="167">
        <f ca="1">IFERROR(IF($EN$17=1,0,GETPIVOTDATA("[Measures].["&amp;A_Budget2!$BE$7&amp;"]",A_Budget2!$BA$7,"[DataBudget2].[Cat_3]","[DataBudget2].[Cat_3].&amp;["&amp;ControlChart_Budget2!$ER$17&amp;"]","[DataBudget2].[Mois (Month)]","[DataBudget2].[Mois (Month)].&amp;["&amp;EV18&amp;"]","[DataBudget2].[Mois (Year)]","[DataBudget2].[Mois (Year)].&amp;["&amp;$EM$17&amp;"]")),0)</f>
        <v>0</v>
      </c>
      <c r="ER18" s="9" t="str">
        <f>IFERROR(IF(A_Budget2!BB9=0,"",A_Budget2!BB9),"")</f>
        <v>Jan</v>
      </c>
      <c r="ES18" s="312">
        <f t="shared" ref="ES18:ES29" ca="1" si="42">EP18+EQ18</f>
        <v>2.0000000000000001E-4</v>
      </c>
      <c r="ET18" s="313">
        <f t="shared" ref="ET18:ET29" ca="1" si="43">EL18+EM18</f>
        <v>2E-3</v>
      </c>
      <c r="EU18" s="314">
        <f t="shared" ref="EU18:EU29" ca="1" si="44">EN18+EO18</f>
        <v>2E-3</v>
      </c>
      <c r="EV18" t="str">
        <f ca="1">IFERROR(VLOOKUP(ER18,Library!$R$18:$S$29,2,FALSE),Library!S18)</f>
        <v>janv</v>
      </c>
      <c r="FE18" t="str">
        <f t="shared" si="16"/>
        <v/>
      </c>
      <c r="FF18" s="105" t="e">
        <f>GETPIVOTDATA("[Measures].[ABSB2ME]",A_Budget2!$AF$32,"[DataBudget2].[Cat_2]","[DataBudget2].[Cat_2].&amp;["&amp;ControlChart_Budget2!FH17&amp;"]")</f>
        <v>#REF!</v>
      </c>
      <c r="FG18" s="172" t="e">
        <f>GETPIVOTDATA("[Measures].[ABSB2LM]",A_Budget2!$AF$32,"[DataBudget2].[Cat_2]","[DataBudget2].[Cat_2].&amp;["&amp;ControlChart_Budget2!FH17&amp;"]")</f>
        <v>#REF!</v>
      </c>
      <c r="FH18">
        <f>A_Budget2!AF50</f>
        <v>0</v>
      </c>
      <c r="FI18" s="174">
        <f t="shared" si="6"/>
        <v>0</v>
      </c>
      <c r="FJ18" s="175">
        <f t="shared" si="7"/>
        <v>0</v>
      </c>
      <c r="FK18" cm="1">
        <f t="array" ref="FK18">IFERROR(INDEX($FH$1:$FH$18,SMALL(IF($FI$1:$FI$18=FL18,ROW($FI$1:$FI$18)),COUNTIF($FL$1:FL18,FL18))),"")</f>
        <v>0</v>
      </c>
      <c r="FL18" s="174">
        <f t="shared" si="8"/>
        <v>0</v>
      </c>
      <c r="FM18" s="176">
        <f t="shared" si="9"/>
        <v>0</v>
      </c>
      <c r="FN18" t="str" cm="1">
        <f t="array" ref="FN18">_xlfn.IFS(FK18=0,"",FK18=$A$1,"",FK18&lt;&gt;"",FK18)</f>
        <v/>
      </c>
      <c r="FO18" t="str">
        <f t="shared" si="10"/>
        <v/>
      </c>
      <c r="FP18" s="177" t="str">
        <f t="shared" si="11"/>
        <v/>
      </c>
      <c r="FQ18" s="178" t="str">
        <f t="shared" si="12"/>
        <v/>
      </c>
    </row>
    <row r="19" spans="3:173" ht="12" thickBot="1" x14ac:dyDescent="0.3">
      <c r="E19" t="str">
        <f ca="1"/>
        <v/>
      </c>
      <c r="F19" t="str">
        <f>IF(OR(I19=$A$1,I19=0),"",CONCATENATE(H19," ",I19))</f>
        <v/>
      </c>
      <c r="G19" s="5">
        <v>22</v>
      </c>
      <c r="H19">
        <f>IF(G19&lt;20,$I$6,IF(G19&gt;20,$G$5,""))</f>
        <v>2026</v>
      </c>
      <c r="I19" s="5" t="str">
        <f>VLOOKUP(G19,$F$7:$I$12,4,FALSE)</f>
        <v>Grand Total</v>
      </c>
      <c r="J19" t="str">
        <f t="shared" si="41"/>
        <v/>
      </c>
      <c r="K19" t="str">
        <f t="shared" si="41"/>
        <v/>
      </c>
      <c r="L19" t="str">
        <f t="shared" si="41"/>
        <v/>
      </c>
      <c r="M19" t="str">
        <f t="shared" si="41"/>
        <v/>
      </c>
      <c r="N19" t="str">
        <f t="shared" si="41"/>
        <v/>
      </c>
      <c r="O19" t="str">
        <f t="shared" si="41"/>
        <v/>
      </c>
      <c r="P19" t="str">
        <f t="shared" si="41"/>
        <v/>
      </c>
      <c r="Q19" t="str">
        <f t="shared" si="41"/>
        <v/>
      </c>
      <c r="R19" t="str">
        <f t="shared" si="41"/>
        <v/>
      </c>
      <c r="S19" t="str">
        <f t="shared" si="41"/>
        <v/>
      </c>
      <c r="T19" t="str">
        <f t="shared" si="41"/>
        <v/>
      </c>
      <c r="U19" t="str">
        <f t="shared" si="41"/>
        <v/>
      </c>
      <c r="V19" t="str">
        <f t="shared" si="41"/>
        <v/>
      </c>
      <c r="W19" t="str">
        <f t="shared" si="41"/>
        <v/>
      </c>
      <c r="X19" t="str">
        <f t="shared" si="41"/>
        <v/>
      </c>
      <c r="Y19" t="str">
        <f t="shared" si="41"/>
        <v/>
      </c>
      <c r="AC19" s="119"/>
      <c r="AD19" s="5"/>
      <c r="AE19" s="5"/>
      <c r="AF19" s="5"/>
      <c r="AG19" s="5"/>
      <c r="AH19" s="5"/>
      <c r="AJ19" s="198" t="s">
        <v>165</v>
      </c>
      <c r="AK19" s="198">
        <f>IFERROR(IF($AA4=3,($AR$4/$AJ$3)*$AI$3,($AR$4/$AJ$3)*$AI4*$AI$3),0)</f>
        <v>0</v>
      </c>
      <c r="AL19" s="198">
        <f>IFERROR(IF($AA$5=3,($AR$5/$AJ$3)*$AI$3,($AR$5/$AJ$3)*$AI5*$AI$3),0)</f>
        <v>0</v>
      </c>
      <c r="AM19" s="198">
        <f>IFERROR(IF($AA$6=3,($AR$6/$AJ$3)*$AI$3,($AR$6/$AJ$3)*$AI6*$AI$3),0)</f>
        <v>0</v>
      </c>
      <c r="AN19" s="198">
        <f>IFERROR(IF($AA$7=3,($AR$7/$AJ$3)*$AI$3,($AR$7/$AJ$3)*$AI7*$AI$3),0)</f>
        <v>0</v>
      </c>
      <c r="AO19" s="198">
        <f>IFERROR(IF($AA$8=3,($AR$8/$AJ$3)*$AI$3,($AR$8/$AJ$3)*$AI8*$AI$3),0)</f>
        <v>0</v>
      </c>
      <c r="AP19" s="198">
        <f>IFERROR(IF($AA$9=3,($AR$9/$AJ$3)*$AI$3,($AR$9/$AJ$3)*$AI9)*$AI$3,0)</f>
        <v>0</v>
      </c>
      <c r="AQ19" s="198">
        <f>IFERROR(IF($AA10=3,($AR$10/$AJ$3)*$AI$3,($AR$10/$AJ$3)*$AI$10*$AI$3),0)</f>
        <v>0</v>
      </c>
      <c r="AR19" s="208">
        <f>SUM(AK19:AQ19)</f>
        <v>0</v>
      </c>
      <c r="CK19" s="5" t="s">
        <v>165</v>
      </c>
      <c r="CL19" s="9">
        <f>J21</f>
        <v>0</v>
      </c>
      <c r="CM19" s="9">
        <f>L21</f>
        <v>0</v>
      </c>
      <c r="CN19" s="9">
        <f>N21</f>
        <v>0</v>
      </c>
      <c r="CO19" s="9">
        <f>P21</f>
        <v>0</v>
      </c>
      <c r="CP19" s="9">
        <f>R21</f>
        <v>0</v>
      </c>
      <c r="CQ19" s="9">
        <f>T21</f>
        <v>0</v>
      </c>
      <c r="CR19" s="9">
        <f>V21</f>
        <v>0</v>
      </c>
      <c r="CS19" s="9"/>
      <c r="CT19">
        <f>SUM($CL19:$CS19)</f>
        <v>0</v>
      </c>
      <c r="CY19" s="9" t="s">
        <v>184</v>
      </c>
      <c r="CZ19" s="9"/>
      <c r="DA19" s="126">
        <v>1</v>
      </c>
      <c r="DB19" s="126">
        <v>0.01</v>
      </c>
      <c r="DO19" s="192">
        <v>3</v>
      </c>
      <c r="DS19" s="5"/>
      <c r="DT19" s="156" t="str">
        <f>DR17</f>
        <v>Category1</v>
      </c>
      <c r="DW19" s="88"/>
      <c r="EK19" s="5"/>
      <c r="EL19" s="170">
        <f ca="1">IFERROR(GETPIVOTDATA("[Measures].["&amp;A_Budget2!$BC$7&amp;"]",A_Budget2!$BA$7,"[DataBudget2].[Cat_3]","[DataBudget2].[Cat_3].&amp;["&amp;ControlChart_Budget2!$ER$17&amp;"]","[DataBudget2].[Mois (Month)]","[DataBudget2].[Mois (Month)].&amp;["&amp;EV19&amp;"]","[DataBudget2].[Mois (Year)]","[DataBudget2].[Mois (Year)].&amp;["&amp;$EL$17&amp;"]"),0)</f>
        <v>2E-3</v>
      </c>
      <c r="EM19" s="165">
        <f ca="1">IFERROR(IF($EN$17=1,0,GETPIVOTDATA("[Measures].["&amp;A_Budget2!$BC$7&amp;"]",A_Budget2!$BA$7,"[DataBudget2].[Cat_3]","[DataBudget2].[Cat_3].&amp;["&amp;ControlChart_Budget2!$ER$17&amp;"]","[DataBudget2].[Mois (Month)]","[DataBudget2].[Mois (Month)].&amp;["&amp;EV19&amp;"]","[DataBudget2].[Mois (Year)]","[DataBudget2].[Mois (Year)].&amp;["&amp;$EM$17&amp;"]")),0)</f>
        <v>0</v>
      </c>
      <c r="EN19" s="139">
        <f ca="1">IFERROR(GETPIVOTDATA("[Measures].["&amp;A_Budget2!$BD$7&amp;"]",A_Budget2!$BA$7,"[DataBudget2].[Cat_3]","[DataBudget2].[Cat_3].&amp;["&amp;ControlChart_Budget2!$ER$17&amp;"]","[DataBudget2].[Mois (Month)]","[DataBudget2].[Mois (Month)].&amp;["&amp;EV19&amp;"]","[DataBudget2].[Mois (Year)]","[DataBudget2].[Mois (Year)].&amp;["&amp;$EL$17&amp;"]"),0)</f>
        <v>2E-3</v>
      </c>
      <c r="EO19" s="139">
        <f ca="1">IFERROR(IF($EN$17=1,0,GETPIVOTDATA("[Measures].["&amp;A_Budget2!$BD$7&amp;"]",A_Budget2!$BA$7,"[DataBudget2].[Cat_3]","[DataBudget2].[Cat_3].&amp;["&amp;ControlChart_Budget2!$ER$17&amp;"]","[DataBudget2].[Mois (Month)]","[DataBudget2].[Mois (Month)].&amp;["&amp;EV19&amp;"]","[DataBudget2].[Mois (Year)]","[DataBudget2].[Mois (Year)].&amp;["&amp;$EM$17&amp;"]")),0)</f>
        <v>0</v>
      </c>
      <c r="EP19" s="167">
        <f ca="1">IFERROR(GETPIVOTDATA("[Measures].["&amp;A_Budget2!$BE$7&amp;"]",A_Budget2!$BA$7,"[DataBudget2].[Cat_3]","[DataBudget2].[Cat_3].&amp;["&amp;ControlChart_Budget2!$ER$17&amp;"]","[DataBudget2].[Mois (Month)]","[DataBudget2].[Mois (Month)].&amp;["&amp;EV19&amp;"]","[DataBudget2].[Mois (Year)]","[DataBudget2].[Mois (Year)].&amp;["&amp;$EL$17&amp;"]"),0)</f>
        <v>2.0000000000000001E-4</v>
      </c>
      <c r="EQ19" s="167">
        <f ca="1">IFERROR(IF($EN$17=1,0,GETPIVOTDATA("[Measures].["&amp;A_Budget2!$BE$7&amp;"]",A_Budget2!$BA$7,"[DataBudget2].[Cat_3]","[DataBudget2].[Cat_3].&amp;["&amp;ControlChart_Budget2!$ER$17&amp;"]","[DataBudget2].[Mois (Month)]","[DataBudget2].[Mois (Month)].&amp;["&amp;EV19&amp;"]","[DataBudget2].[Mois (Year)]","[DataBudget2].[Mois (Year)].&amp;["&amp;$EM$17&amp;"]")),0)</f>
        <v>0</v>
      </c>
      <c r="ER19" s="9" t="str">
        <f>IFERROR(IF(A_Budget2!BB10=0,"",A_Budget2!BB10),"")</f>
        <v>Feb</v>
      </c>
      <c r="ES19" s="312">
        <f t="shared" ca="1" si="42"/>
        <v>2.0000000000000001E-4</v>
      </c>
      <c r="ET19" s="313">
        <f t="shared" ca="1" si="43"/>
        <v>2E-3</v>
      </c>
      <c r="EU19" s="314">
        <f t="shared" ca="1" si="44"/>
        <v>2E-3</v>
      </c>
      <c r="EV19" t="str">
        <f ca="1">IFERROR(VLOOKUP(ER19,Library!$R$18:$S$29,2,FALSE),Library!S19)</f>
        <v>févr</v>
      </c>
      <c r="FE19" t="str">
        <f t="shared" si="16"/>
        <v/>
      </c>
      <c r="FF19" s="105" t="e">
        <f>GETPIVOTDATA("[Measures].[ABSB2ME]",A_Budget2!$AF$32,"[DataBudget2].[Cat_2]","[DataBudget2].[Cat_2].&amp;["&amp;ControlChart_Budget2!FH18&amp;"]")</f>
        <v>#REF!</v>
      </c>
      <c r="FG19" s="172" t="e">
        <f>GETPIVOTDATA("[Measures].[ABSB2LM]",A_Budget2!$AF$32,"[DataBudget2].[Cat_2]","[DataBudget2].[Cat_2].&amp;["&amp;ControlChart_Budget2!FH18&amp;"]")</f>
        <v>#REF!</v>
      </c>
      <c r="FH19">
        <f>A_Budget2!AF51</f>
        <v>0</v>
      </c>
      <c r="FI19" s="105" t="str">
        <f>A_Budget1!AG32</f>
        <v>ABSMontantE</v>
      </c>
      <c r="FJ19" s="171" t="str">
        <f>A_Budget1!AH32</f>
        <v>ABS_LastM</v>
      </c>
    </row>
    <row r="20" spans="3:173" x14ac:dyDescent="0.25">
      <c r="E20" t="str">
        <f ca="1"/>
        <v/>
      </c>
      <c r="F20" t="str">
        <f>IF(OR(I20=$A$1,I20=0),"",CONCATENATE(H20," ",I20))</f>
        <v/>
      </c>
      <c r="G20" s="5">
        <v>23</v>
      </c>
      <c r="H20">
        <f>IF(G20&lt;20,$I$6,IF(G20&gt;20,$G$5,""))</f>
        <v>2026</v>
      </c>
      <c r="I20" s="5">
        <f>VLOOKUP(G20,$F$7:$I$12,4,FALSE)</f>
        <v>0</v>
      </c>
      <c r="J20">
        <f t="shared" si="41"/>
        <v>0</v>
      </c>
      <c r="K20">
        <f t="shared" si="41"/>
        <v>0</v>
      </c>
      <c r="L20">
        <f t="shared" si="41"/>
        <v>0</v>
      </c>
      <c r="M20">
        <f t="shared" si="41"/>
        <v>0</v>
      </c>
      <c r="N20">
        <f t="shared" si="41"/>
        <v>0</v>
      </c>
      <c r="O20">
        <f t="shared" si="41"/>
        <v>0</v>
      </c>
      <c r="P20">
        <f t="shared" si="41"/>
        <v>0</v>
      </c>
      <c r="Q20">
        <f t="shared" si="41"/>
        <v>0</v>
      </c>
      <c r="R20">
        <f t="shared" si="41"/>
        <v>0</v>
      </c>
      <c r="S20">
        <f t="shared" si="41"/>
        <v>0</v>
      </c>
      <c r="T20">
        <f t="shared" si="41"/>
        <v>0</v>
      </c>
      <c r="U20">
        <f t="shared" si="41"/>
        <v>0</v>
      </c>
      <c r="V20">
        <f t="shared" si="41"/>
        <v>0</v>
      </c>
      <c r="W20">
        <f t="shared" si="41"/>
        <v>0</v>
      </c>
      <c r="X20">
        <f t="shared" si="41"/>
        <v>0</v>
      </c>
      <c r="Y20">
        <f t="shared" si="41"/>
        <v>0</v>
      </c>
      <c r="AC20" s="5"/>
      <c r="AD20" s="5"/>
      <c r="AE20" s="119"/>
      <c r="AF20" s="5"/>
      <c r="AG20" s="5"/>
      <c r="AH20" s="5"/>
      <c r="AJ20" s="39" t="str">
        <f>IF(ISBLANK($C$4),"",$C$4)</f>
        <v>Category1</v>
      </c>
      <c r="AK20" s="39">
        <f>IFERROR(IF($AK$2&lt;$AK$1,IF(AND(AJ20=$AK$3,AA4=3),($AK$1-$AK$2),IF(AND(AA4=2,$AA$4&lt;&gt;3),$AK$1-$AK$2,0)),0),0)</f>
        <v>0</v>
      </c>
      <c r="AL20" s="39">
        <f>IFERROR(IF($AL$2&lt;$AL$1,IF(AND(AJ20=$AL$3,AA4=3),($AL$1-$AL$2),IF(AND(AA4=2,$AA$5&lt;&gt;3),$AL$1-$AL$2,0)),0),0)</f>
        <v>0</v>
      </c>
      <c r="AM20" s="39">
        <f>IFERROR(IF($AM$2&lt;$AM$1,IF(AND(AJ20=$AM$3,AA4=3),($AM$1-$AM$2),IF(AND(AA4=2,$AA$6&lt;&gt;3),$AM$1-$AM$2,0)),0),0)</f>
        <v>0</v>
      </c>
      <c r="AN20" s="39">
        <f>IFERROR(IF($AN$2&lt;$AN$1,IF(AND(AJ20=$AN$3,AA4=3),($AN$1-$AN$2),IF(AND(AA4=2,$AA$7&lt;&gt;3),$AN$1-$AN$2,0)),0),0)</f>
        <v>0</v>
      </c>
      <c r="AO20" s="39">
        <f>IFERROR(IF($AO$2&lt;$AO$1,IF(AND(AJ20=$AO$3,AA4=3),($AO$1-$AO$2),IF(AND(AA4=2,$AA$8&lt;&gt;3),$AO$1-$AO$2,0)),0),0)</f>
        <v>0</v>
      </c>
      <c r="AP20" s="39">
        <f>IFERROR(IF($AP$2&lt;$AP$1,IF(AND(AJ20=$AP$3,AA4=3),($AP$1-$AP$2),IF(AND(AA4=2,$AA$9&lt;&gt;3),$AP$1-$AP$2,0)),0),0)</f>
        <v>0</v>
      </c>
      <c r="AQ20" s="39">
        <f>IFERROR(IF($AQ$2&lt;$AQ$1,IF(AND(AJ20=$AQ$3,AA4=3),($AQ$1-$AQ$2),IF(AND(AA4=2,$AA$10&lt;&gt;3),$AQ$1-$AQ$2,0)),0),0)</f>
        <v>0</v>
      </c>
      <c r="AR20" s="39">
        <f>IF($AT$4&gt;1,SUM(AK20:AQ20),0)</f>
        <v>0</v>
      </c>
      <c r="CK20" s="5" t="s">
        <v>166</v>
      </c>
      <c r="CL20" s="134">
        <f>SUM(CL$15:CL$19)</f>
        <v>4.0000000000000001E-3</v>
      </c>
      <c r="CM20" s="134">
        <f t="shared" ref="CM20:CR20" si="45">SUM(CM$15:CM$19)</f>
        <v>4.0000000000000001E-3</v>
      </c>
      <c r="CN20" s="134">
        <f t="shared" si="45"/>
        <v>4.0000000000000001E-3</v>
      </c>
      <c r="CO20" s="134">
        <f t="shared" si="45"/>
        <v>4.0000000000000001E-3</v>
      </c>
      <c r="CP20" s="134">
        <f t="shared" si="45"/>
        <v>4.0000000000000001E-3</v>
      </c>
      <c r="CQ20" s="134">
        <f t="shared" si="45"/>
        <v>4.0000000000000001E-3</v>
      </c>
      <c r="CR20" s="134">
        <f t="shared" si="45"/>
        <v>4.0000000000000001E-3</v>
      </c>
      <c r="CS20" s="134"/>
      <c r="CY20" s="9" t="s">
        <v>185</v>
      </c>
      <c r="CZ20" s="9"/>
      <c r="DA20" s="126">
        <v>0.1</v>
      </c>
      <c r="DB20" s="126">
        <f>(SUM(DA18:DA23)-DB18)+DB21</f>
        <v>3.2</v>
      </c>
      <c r="DO20" s="94">
        <v>1.4</v>
      </c>
      <c r="DS20" s="5"/>
      <c r="DT20" s="158">
        <v>0.8</v>
      </c>
      <c r="DU20" s="92" t="str">
        <f>CONCATENATE("Cost ("&amp;WB_Data!EJ2&amp;")")</f>
        <v>Cost ($)</v>
      </c>
      <c r="DV20" s="5" t="s">
        <v>136</v>
      </c>
      <c r="DW20" s="88"/>
      <c r="EK20" s="5"/>
      <c r="EL20" s="170">
        <f ca="1">IFERROR(GETPIVOTDATA("[Measures].["&amp;A_Budget2!$BC$7&amp;"]",A_Budget2!$BA$7,"[DataBudget2].[Cat_3]","[DataBudget2].[Cat_3].&amp;["&amp;ControlChart_Budget2!$ER$17&amp;"]","[DataBudget2].[Mois (Month)]","[DataBudget2].[Mois (Month)].&amp;["&amp;EV20&amp;"]","[DataBudget2].[Mois (Year)]","[DataBudget2].[Mois (Year)].&amp;["&amp;$EL$17&amp;"]"),0)</f>
        <v>0</v>
      </c>
      <c r="EM20" s="165">
        <f ca="1">IFERROR(IF($EN$17=1,0,GETPIVOTDATA("[Measures].["&amp;A_Budget2!$BC$7&amp;"]",A_Budget2!$BA$7,"[DataBudget2].[Cat_3]","[DataBudget2].[Cat_3].&amp;["&amp;ControlChart_Budget2!$ER$17&amp;"]","[DataBudget2].[Mois (Month)]","[DataBudget2].[Mois (Month)].&amp;["&amp;EV20&amp;"]","[DataBudget2].[Mois (Year)]","[DataBudget2].[Mois (Year)].&amp;["&amp;$EM$17&amp;"]")),0)</f>
        <v>0</v>
      </c>
      <c r="EN20" s="139">
        <f ca="1">IFERROR(GETPIVOTDATA("[Measures].["&amp;A_Budget2!$BD$7&amp;"]",A_Budget2!$BA$7,"[DataBudget2].[Cat_3]","[DataBudget2].[Cat_3].&amp;["&amp;ControlChart_Budget2!$ER$17&amp;"]","[DataBudget2].[Mois (Month)]","[DataBudget2].[Mois (Month)].&amp;["&amp;EV20&amp;"]","[DataBudget2].[Mois (Year)]","[DataBudget2].[Mois (Year)].&amp;["&amp;$EL$17&amp;"]"),0)</f>
        <v>0</v>
      </c>
      <c r="EO20" s="139">
        <f ca="1">IFERROR(IF($EN$17=1,0,GETPIVOTDATA("[Measures].["&amp;A_Budget2!$BD$7&amp;"]",A_Budget2!$BA$7,"[DataBudget2].[Cat_3]","[DataBudget2].[Cat_3].&amp;["&amp;ControlChart_Budget2!$ER$17&amp;"]","[DataBudget2].[Mois (Month)]","[DataBudget2].[Mois (Month)].&amp;["&amp;EV20&amp;"]","[DataBudget2].[Mois (Year)]","[DataBudget2].[Mois (Year)].&amp;["&amp;$EM$17&amp;"]")),0)</f>
        <v>0</v>
      </c>
      <c r="EP20" s="167">
        <f ca="1">IFERROR(GETPIVOTDATA("[Measures].["&amp;A_Budget2!$BE$7&amp;"]",A_Budget2!$BA$7,"[DataBudget2].[Cat_3]","[DataBudget2].[Cat_3].&amp;["&amp;ControlChart_Budget2!$ER$17&amp;"]","[DataBudget2].[Mois (Month)]","[DataBudget2].[Mois (Month)].&amp;["&amp;EV20&amp;"]","[DataBudget2].[Mois (Year)]","[DataBudget2].[Mois (Year)].&amp;["&amp;$EL$17&amp;"]"),0)</f>
        <v>0</v>
      </c>
      <c r="EQ20" s="167">
        <f ca="1">IFERROR(IF($EN$17=1,0,GETPIVOTDATA("[Measures].["&amp;A_Budget2!$BE$7&amp;"]",A_Budget2!$BA$7,"[DataBudget2].[Cat_3]","[DataBudget2].[Cat_3].&amp;["&amp;ControlChart_Budget2!$ER$17&amp;"]","[DataBudget2].[Mois (Month)]","[DataBudget2].[Mois (Month)].&amp;["&amp;EV20&amp;"]","[DataBudget2].[Mois (Year)]","[DataBudget2].[Mois (Year)].&amp;["&amp;$EM$17&amp;"]")),0)</f>
        <v>0</v>
      </c>
      <c r="ER20" s="9" t="str">
        <f>IFERROR(IF(A_Budget2!BB11=0,"",A_Budget2!BB11),"")</f>
        <v/>
      </c>
      <c r="ES20" s="312">
        <f t="shared" ca="1" si="42"/>
        <v>0</v>
      </c>
      <c r="ET20" s="313">
        <f t="shared" ca="1" si="43"/>
        <v>0</v>
      </c>
      <c r="EU20" s="314">
        <f t="shared" ca="1" si="44"/>
        <v>0</v>
      </c>
      <c r="EV20" t="str">
        <f ca="1">IFERROR(VLOOKUP(ER20,Library!$R$18:$S$29,2,FALSE),Library!S20)</f>
        <v>mars</v>
      </c>
    </row>
    <row r="21" spans="3:173" x14ac:dyDescent="0.25">
      <c r="E21" t="str">
        <f ca="1"/>
        <v/>
      </c>
      <c r="F21" t="str">
        <f>IF(OR(I21=$A$1,I21=0),"",CONCATENATE(H21," ",I21))</f>
        <v/>
      </c>
      <c r="G21" s="5">
        <v>24</v>
      </c>
      <c r="H21">
        <f>IF(G21&lt;20,$I$6,IF(G21&gt;20,$G$5,""))</f>
        <v>2026</v>
      </c>
      <c r="I21" s="5">
        <f>VLOOKUP(G21,$F$7:$I$12,4,FALSE)</f>
        <v>0</v>
      </c>
      <c r="J21">
        <f t="shared" si="41"/>
        <v>0</v>
      </c>
      <c r="K21">
        <f t="shared" si="41"/>
        <v>0</v>
      </c>
      <c r="L21">
        <f t="shared" si="41"/>
        <v>0</v>
      </c>
      <c r="M21">
        <f t="shared" si="41"/>
        <v>0</v>
      </c>
      <c r="N21">
        <f t="shared" si="41"/>
        <v>0</v>
      </c>
      <c r="O21">
        <f t="shared" si="41"/>
        <v>0</v>
      </c>
      <c r="P21">
        <f t="shared" si="41"/>
        <v>0</v>
      </c>
      <c r="Q21">
        <f t="shared" si="41"/>
        <v>0</v>
      </c>
      <c r="R21">
        <f t="shared" si="41"/>
        <v>0</v>
      </c>
      <c r="S21">
        <f t="shared" si="41"/>
        <v>0</v>
      </c>
      <c r="T21">
        <f t="shared" si="41"/>
        <v>0</v>
      </c>
      <c r="U21">
        <f t="shared" si="41"/>
        <v>0</v>
      </c>
      <c r="V21">
        <f t="shared" si="41"/>
        <v>0</v>
      </c>
      <c r="W21">
        <f t="shared" si="41"/>
        <v>0</v>
      </c>
      <c r="X21">
        <f t="shared" si="41"/>
        <v>0</v>
      </c>
      <c r="Y21">
        <f t="shared" si="41"/>
        <v>0</v>
      </c>
      <c r="AC21" s="5"/>
      <c r="AD21" s="5"/>
      <c r="AE21" s="5"/>
      <c r="AF21" s="5"/>
      <c r="AG21" s="5"/>
      <c r="AH21" s="5"/>
      <c r="AJ21" s="39" t="str">
        <f>IF(ISBLANK($C$5),"",$C$5)</f>
        <v>Category2</v>
      </c>
      <c r="AK21" s="39">
        <f t="shared" ref="AK21:AK30" si="46">IFERROR(IF($AK$2&lt;$AK$1,IF(AND(AJ21=$AK$3,AA5=3),($AK$1-$AK$2),IF(AND(AA5=2,$AA$4&lt;&gt;3),$AK$1-$AK$2,0)),0),0)</f>
        <v>1.8E-3</v>
      </c>
      <c r="AL21" s="39">
        <f t="shared" ref="AL21:AL30" si="47">IFERROR(IF($AL$2&lt;$AL$1,IF(AND(AJ21=$AL$3,AA5=3),($AL$1-$AL$2),IF(AND(AA5=2,$AA$5&lt;&gt;3),$AL$1-$AL$2,0)),0),0)</f>
        <v>1.8E-3</v>
      </c>
      <c r="AM21" s="39">
        <f t="shared" ref="AM21:AM30" si="48">IFERROR(IF($AM$2&lt;$AM$1,IF(AND(AJ21=$AM$3,AA5=3),($AM$1-$AM$2),IF(AND(AA5=2,$AA$6&lt;&gt;3),$AM$1-$AM$2,0)),0),0)</f>
        <v>1.8E-3</v>
      </c>
      <c r="AN21" s="39">
        <f t="shared" ref="AN21:AN30" si="49">IFERROR(IF($AN$2&lt;$AN$1,IF(AND(AJ21=$AN$3,AA5=3),($AN$1-$AN$2),IF(AND(AA5=2,$AA$7&lt;&gt;3),$AN$1-$AN$2,0)),0),0)</f>
        <v>1.8E-3</v>
      </c>
      <c r="AO21" s="39">
        <f t="shared" ref="AO21:AO30" si="50">IFERROR(IF($AO$2&lt;$AO$1,IF(AND(AJ21=$AO$3,AA5=3),($AO$1-$AO$2),IF(AND(AA5=2,$AA$8&lt;&gt;3),$AO$1-$AO$2,0)),0),0)</f>
        <v>1.8E-3</v>
      </c>
      <c r="AP21" s="39">
        <f t="shared" ref="AP21:AP30" si="51">IFERROR(IF($AP$2&lt;$AP$1,IF(AND(AJ21=$AP$3,AA5=3),($AP$1-$AP$2),IF(AND(AA5=2,$AA$9&lt;&gt;3),$AP$1-$AP$2,0)),0),0)</f>
        <v>1.8E-3</v>
      </c>
      <c r="AQ21" s="39">
        <f t="shared" ref="AQ21:AQ30" si="52">IFERROR(IF($AQ$2&lt;$AQ$1,IF(AND(AJ21=$AQ$3,AA5=3),($AQ$1-$AQ$2),IF(AND(AA5=2,$AA$10&lt;&gt;3),$AQ$1-$AQ$2,0)),0),0)</f>
        <v>0</v>
      </c>
      <c r="AR21" s="39">
        <f t="shared" ref="AR21:AR31" si="53">IF($AT$4&gt;1,SUM(AK21:AQ21),0)</f>
        <v>0</v>
      </c>
      <c r="AT21" s="8">
        <f>AT2</f>
        <v>20</v>
      </c>
      <c r="AU21" s="8" t="str">
        <f>CONCATENATE("G17:G"&amp;AT21)</f>
        <v>G17:G20</v>
      </c>
      <c r="AV21" s="9" t="str">
        <f>CONCATENATE("H17:H"&amp;AT21)</f>
        <v>H17:H20</v>
      </c>
      <c r="AW21" s="8" t="str">
        <f>CONCATENATE("I17:I"&amp;AT21)</f>
        <v>I17:I20</v>
      </c>
      <c r="AX21" s="127" t="s">
        <v>105</v>
      </c>
      <c r="AY21" s="129" t="s">
        <v>14</v>
      </c>
      <c r="AZ21" s="9" t="s">
        <v>153</v>
      </c>
      <c r="BA21" s="10" t="s">
        <v>152</v>
      </c>
      <c r="BB21" s="9" t="s">
        <v>154</v>
      </c>
      <c r="BC21" s="133" t="s">
        <v>155</v>
      </c>
      <c r="BD21" s="130" t="s">
        <v>156</v>
      </c>
      <c r="BE21" s="130" t="s">
        <v>151</v>
      </c>
      <c r="BF21" s="130" t="s">
        <v>151</v>
      </c>
      <c r="BG21" s="9" t="s">
        <v>147</v>
      </c>
      <c r="BH21" s="9" t="s">
        <v>148</v>
      </c>
      <c r="BI21" s="9" t="s">
        <v>149</v>
      </c>
      <c r="BJ21" s="130" t="s">
        <v>159</v>
      </c>
      <c r="BK21" s="130" t="s">
        <v>158</v>
      </c>
      <c r="BL21" s="127" t="s">
        <v>157</v>
      </c>
      <c r="BM21" s="132" t="s">
        <v>150</v>
      </c>
      <c r="CY21" s="9" t="s">
        <v>186</v>
      </c>
      <c r="CZ21" s="9"/>
      <c r="DA21" s="126">
        <v>0.2</v>
      </c>
      <c r="DB21" s="9" t="b">
        <f>IF(DB18&gt;1.1,(1-DB18))</f>
        <v>0</v>
      </c>
      <c r="DO21" s="182" t="s">
        <v>131</v>
      </c>
      <c r="DP21" s="8" t="str">
        <f>DR17</f>
        <v>Category1</v>
      </c>
      <c r="DQ21" s="8"/>
      <c r="DR21" s="161" t="s">
        <v>132</v>
      </c>
      <c r="DS21" s="161" t="s">
        <v>178</v>
      </c>
      <c r="DT21" s="159" t="s">
        <v>133</v>
      </c>
      <c r="DU21" s="100" t="s">
        <v>177</v>
      </c>
      <c r="DV21" s="100" t="s">
        <v>134</v>
      </c>
      <c r="DW21" s="164" t="s">
        <v>137</v>
      </c>
      <c r="DX21" s="162" t="s">
        <v>137</v>
      </c>
      <c r="EK21" s="5"/>
      <c r="EL21" s="170">
        <f ca="1">IFERROR(GETPIVOTDATA("[Measures].["&amp;A_Budget2!$BC$7&amp;"]",A_Budget2!$BA$7,"[DataBudget2].[Cat_3]","[DataBudget2].[Cat_3].&amp;["&amp;ControlChart_Budget2!$ER$17&amp;"]","[DataBudget2].[Mois (Month)]","[DataBudget2].[Mois (Month)].&amp;["&amp;EV21&amp;"]","[DataBudget2].[Mois (Year)]","[DataBudget2].[Mois (Year)].&amp;["&amp;$EL$17&amp;"]"),0)</f>
        <v>0</v>
      </c>
      <c r="EM21" s="165">
        <f ca="1">IFERROR(IF($EN$17=1,0,GETPIVOTDATA("[Measures].["&amp;A_Budget2!$BC$7&amp;"]",A_Budget2!$BA$7,"[DataBudget2].[Cat_3]","[DataBudget2].[Cat_3].&amp;["&amp;ControlChart_Budget2!$ER$17&amp;"]","[DataBudget2].[Mois (Month)]","[DataBudget2].[Mois (Month)].&amp;["&amp;EV21&amp;"]","[DataBudget2].[Mois (Year)]","[DataBudget2].[Mois (Year)].&amp;["&amp;$EM$17&amp;"]")),0)</f>
        <v>0</v>
      </c>
      <c r="EN21" s="139">
        <f ca="1">IFERROR(GETPIVOTDATA("[Measures].["&amp;A_Budget2!$BD$7&amp;"]",A_Budget2!$BA$7,"[DataBudget2].[Cat_3]","[DataBudget2].[Cat_3].&amp;["&amp;ControlChart_Budget2!$ER$17&amp;"]","[DataBudget2].[Mois (Month)]","[DataBudget2].[Mois (Month)].&amp;["&amp;EV21&amp;"]","[DataBudget2].[Mois (Year)]","[DataBudget2].[Mois (Year)].&amp;["&amp;$EL$17&amp;"]"),0)</f>
        <v>0</v>
      </c>
      <c r="EO21" s="139">
        <f ca="1">IFERROR(IF($EN$17=1,0,GETPIVOTDATA("[Measures].["&amp;A_Budget2!$BD$7&amp;"]",A_Budget2!$BA$7,"[DataBudget2].[Cat_3]","[DataBudget2].[Cat_3].&amp;["&amp;ControlChart_Budget2!$ER$17&amp;"]","[DataBudget2].[Mois (Month)]","[DataBudget2].[Mois (Month)].&amp;["&amp;EV21&amp;"]","[DataBudget2].[Mois (Year)]","[DataBudget2].[Mois (Year)].&amp;["&amp;$EM$17&amp;"]")),0)</f>
        <v>0</v>
      </c>
      <c r="EP21" s="167">
        <f ca="1">IFERROR(GETPIVOTDATA("[Measures].["&amp;A_Budget2!$BE$7&amp;"]",A_Budget2!$BA$7,"[DataBudget2].[Cat_3]","[DataBudget2].[Cat_3].&amp;["&amp;ControlChart_Budget2!$ER$17&amp;"]","[DataBudget2].[Mois (Month)]","[DataBudget2].[Mois (Month)].&amp;["&amp;EV21&amp;"]","[DataBudget2].[Mois (Year)]","[DataBudget2].[Mois (Year)].&amp;["&amp;$EL$17&amp;"]"),0)</f>
        <v>0</v>
      </c>
      <c r="EQ21" s="167">
        <f ca="1">IFERROR(IF($EN$17=1,0,GETPIVOTDATA("[Measures].["&amp;A_Budget2!$BE$7&amp;"]",A_Budget2!$BA$7,"[DataBudget2].[Cat_3]","[DataBudget2].[Cat_3].&amp;["&amp;ControlChart_Budget2!$ER$17&amp;"]","[DataBudget2].[Mois (Month)]","[DataBudget2].[Mois (Month)].&amp;["&amp;EV21&amp;"]","[DataBudget2].[Mois (Year)]","[DataBudget2].[Mois (Year)].&amp;["&amp;$EM$17&amp;"]")),0)</f>
        <v>0</v>
      </c>
      <c r="ER21" s="9" t="str">
        <f>IFERROR(IF(A_Budget2!BB12=0,"",A_Budget2!BB12),"")</f>
        <v/>
      </c>
      <c r="ES21" s="312">
        <f t="shared" ca="1" si="42"/>
        <v>0</v>
      </c>
      <c r="ET21" s="313">
        <f t="shared" ca="1" si="43"/>
        <v>0</v>
      </c>
      <c r="EU21" s="314">
        <f t="shared" ca="1" si="44"/>
        <v>0</v>
      </c>
      <c r="EV21" t="str">
        <f ca="1">IFERROR(VLOOKUP(ER21,Library!$R$18:$S$29,2,FALSE),Library!S21)</f>
        <v>avr</v>
      </c>
    </row>
    <row r="22" spans="3:173" x14ac:dyDescent="0.25">
      <c r="E22">
        <f ca="1">COUNTIF(A12:A16,D17)</f>
        <v>0</v>
      </c>
      <c r="G22">
        <v>100</v>
      </c>
      <c r="I22" s="5">
        <f>I23-I24</f>
        <v>2</v>
      </c>
      <c r="AC22" s="5"/>
      <c r="AD22" s="5"/>
      <c r="AE22" s="5"/>
      <c r="AF22" s="5"/>
      <c r="AG22" s="5"/>
      <c r="AH22" s="5"/>
      <c r="AJ22" s="39" t="str">
        <f>IF(ISBLANK($C$6),"",$C$6)</f>
        <v>Category3</v>
      </c>
      <c r="AK22" s="39">
        <f t="shared" si="46"/>
        <v>0</v>
      </c>
      <c r="AL22" s="39">
        <f t="shared" si="47"/>
        <v>0</v>
      </c>
      <c r="AM22" s="39">
        <f t="shared" si="48"/>
        <v>0</v>
      </c>
      <c r="AN22" s="39">
        <f t="shared" si="49"/>
        <v>0</v>
      </c>
      <c r="AO22" s="39">
        <f t="shared" si="50"/>
        <v>0</v>
      </c>
      <c r="AP22" s="39">
        <f t="shared" si="51"/>
        <v>0</v>
      </c>
      <c r="AQ22" s="39">
        <f t="shared" si="52"/>
        <v>0</v>
      </c>
      <c r="AR22" s="39">
        <f t="shared" si="53"/>
        <v>0</v>
      </c>
      <c r="AT22" s="9" t="str">
        <f>AM3</f>
        <v>Category3</v>
      </c>
      <c r="AU22" s="9" cm="1">
        <f t="array" aca="1" ref="AU22:AU25" ca="1">INDIRECT(AU21)</f>
        <v>11</v>
      </c>
      <c r="AV22" s="9" cm="1">
        <f t="array" aca="1" ref="AV22:AV25" ca="1">INDIRECT(AV21)</f>
        <v>2025</v>
      </c>
      <c r="AW22" s="9" t="str" cm="1">
        <f t="array" aca="1" ref="AW22:AW25" ca="1">INDIRECT(AW21)</f>
        <v>Qtr1</v>
      </c>
      <c r="AX22" s="127">
        <f>N17</f>
        <v>2E-3</v>
      </c>
      <c r="AY22" s="129">
        <f>ABS(AM2)</f>
        <v>2.0000000000000001E-4</v>
      </c>
      <c r="AZ22" s="9"/>
      <c r="BA22" s="10">
        <f>IFERROR(AY22+AZ22,NA())</f>
        <v>2.0000000000000001E-4</v>
      </c>
      <c r="BB22" s="9"/>
      <c r="BC22" s="133">
        <f>IF(BB22-BA22&lt;0,0,BB22-BA22)</f>
        <v>0</v>
      </c>
      <c r="BD22" s="130">
        <f>BC22+AX22</f>
        <v>2E-3</v>
      </c>
      <c r="BE22" s="138">
        <f>IF(BD22-BA22&lt;0,0,BD22-BA22)</f>
        <v>1.8E-3</v>
      </c>
      <c r="BF22" s="131">
        <f>BE22/BD22</f>
        <v>0.89999999999999991</v>
      </c>
      <c r="BG22" s="126">
        <f>IFERROR((0.1*BD22)/BD22,NA())</f>
        <v>0.1</v>
      </c>
      <c r="BH22" s="126">
        <f>IFERROR((0.1*BD22)/BD22,NA())</f>
        <v>0.1</v>
      </c>
      <c r="BI22" s="126">
        <f>IFERROR((0.2*BD22)/BD22,NA())</f>
        <v>0.2</v>
      </c>
      <c r="BJ22" s="131">
        <f>IFERROR(IF($AT$4&gt;1,0,BF22),NA())</f>
        <v>0.89999999999999991</v>
      </c>
      <c r="BK22" s="131">
        <f>IFERROR(IF($AT$4&gt;1,BF22,0),NA())</f>
        <v>0</v>
      </c>
      <c r="BL22" s="128">
        <f>IF(BK22&gt;0,0,BC22/AX22)</f>
        <v>0</v>
      </c>
      <c r="BM22" s="135">
        <f>IF((BD22-BE22)=0,0,(BD22-BE22)/BD22)</f>
        <v>0.10000000000000005</v>
      </c>
      <c r="BN22" s="126">
        <f>IFERROR(BF22,"")</f>
        <v>0.89999999999999991</v>
      </c>
      <c r="BO22" s="8">
        <f>IFERROR(BA22,"")</f>
        <v>2.0000000000000001E-4</v>
      </c>
      <c r="BP22" s="8">
        <f>IFERROR(AX22,"")</f>
        <v>2E-3</v>
      </c>
      <c r="BQ22" s="117"/>
      <c r="CY22" s="9" t="s">
        <v>187</v>
      </c>
      <c r="CZ22" s="9"/>
      <c r="DA22" s="126">
        <v>0.3</v>
      </c>
      <c r="DB22" s="9"/>
      <c r="DL22" s="103">
        <f>IFERROR(CHOOSE($DO$19,DR1,EE1,DS1,EF1),"")</f>
        <v>4.0000000000000001E-3</v>
      </c>
      <c r="DM22" s="157">
        <f>IFERROR(CHOOSE($DO$19,DT1,EC1,DU1,ED1),NA())</f>
        <v>4.0000000000000001E-3</v>
      </c>
      <c r="DN22" s="9" t="str">
        <f>IF(AND(DP22=0,DQ22=0),"",DO22)</f>
        <v>Sub-Category1</v>
      </c>
      <c r="DO22" s="90" t="str">
        <f>CHOOSE($DO$19,DQ1,EB1,DQ1,EB1)</f>
        <v>Sub-Category1</v>
      </c>
      <c r="DP22" s="103">
        <f>IFERROR(IF(DL22=0,0.00001,DL22),0.00001)</f>
        <v>4.0000000000000001E-3</v>
      </c>
      <c r="DQ22" s="157">
        <f>IFERROR(IF(DM22=0,0.00001,DM22),0.00001)</f>
        <v>4.0000000000000001E-3</v>
      </c>
      <c r="DR22" s="129">
        <f>IFERROR(IF(DP22&lt;=0,DU22+DV22,MAX(CHOOSE($DO$19,$DR$1:$DR$16,$DR$1:$DR$16,$DS$1:$DS$16,$DS$1:$DS$16))*$DO$20-DS22),NA())</f>
        <v>1.5999999999999999E-3</v>
      </c>
      <c r="DS22" s="163" cm="1">
        <f t="array" ref="DS22">IFERROR(_xlfn.IFS(DN22="",NA(),DP22=0,0,DP22&lt;&gt;"",DP22),NA())</f>
        <v>4.0000000000000001E-3</v>
      </c>
      <c r="DT22" s="160">
        <f>IF(DN22="",NA(),MAX(CHOOSE($DO$19,$DP$1:$DP$16,$DP$1:$DP$16,$DS$1:$DS$16,$DS$1:$DS$16))*$DT$20)</f>
        <v>3.2000000000000002E-3</v>
      </c>
      <c r="DU22" s="11">
        <f>IF(DN22="",NA(),DQ22)</f>
        <v>4.0000000000000001E-3</v>
      </c>
      <c r="DV22" s="11">
        <f>IFERROR(IF(DN22="",NA(),IF(DQ22&lt;=0,DR22+DS22,(MAX(CHOOSE($DO$19,$EA$1:$EA$16,$EA$1:$EA$16,$ED$1:$ED$16,$ED$1:$ED$16))*$DO$20)-DU22)),NA())</f>
        <v>1.5999999999999999E-3</v>
      </c>
      <c r="DW22" s="129" t="str" cm="1">
        <f t="array" ref="DW22">IFERROR(_xlfn.IFS(DT22=0,"",$DO$19=1,TEXT(DS22, "0.00%"),$DO$19=2,TEXT(DS22, "0.00%"),$DO$19=3,TEXT(DS22,"0.00"&amp;WB_Data!$EJ$2),$DO$19=4,TEXT(DS22,"0.00"&amp;WB_Data!$EJ$2)),"")</f>
        <v>0.00$</v>
      </c>
      <c r="DX22" s="11" t="str" cm="1">
        <f t="array" ref="DX22">IFERROR(_xlfn.IFS(DT22=0,"",$DO$19=1,TEXT(DU22, "0.00%"),$DO$19=2,TEXT(DU22, "0.00%"),$DO$19=3,TEXT(DU22,"0.00"&amp;WB_Data!$EJ$2),$DO$19=4,TEXT(DU22,"0.00"&amp;WB_Data!$EJ$2)),"")</f>
        <v>0.00$</v>
      </c>
      <c r="EK22" s="5"/>
      <c r="EL22" s="170">
        <f ca="1">IFERROR(GETPIVOTDATA("[Measures].["&amp;A_Budget2!$BC$7&amp;"]",A_Budget2!$BA$7,"[DataBudget2].[Cat_3]","[DataBudget2].[Cat_3].&amp;["&amp;ControlChart_Budget2!$ER$17&amp;"]","[DataBudget2].[Mois (Month)]","[DataBudget2].[Mois (Month)].&amp;["&amp;EV22&amp;"]","[DataBudget2].[Mois (Year)]","[DataBudget2].[Mois (Year)].&amp;["&amp;$EL$17&amp;"]"),0)</f>
        <v>0</v>
      </c>
      <c r="EM22" s="165">
        <f ca="1">IFERROR(IF($EN$17=1,0,GETPIVOTDATA("[Measures].["&amp;A_Budget2!$BC$7&amp;"]",A_Budget2!$BA$7,"[DataBudget2].[Cat_3]","[DataBudget2].[Cat_3].&amp;["&amp;ControlChart_Budget2!$ER$17&amp;"]","[DataBudget2].[Mois (Month)]","[DataBudget2].[Mois (Month)].&amp;["&amp;EV22&amp;"]","[DataBudget2].[Mois (Year)]","[DataBudget2].[Mois (Year)].&amp;["&amp;$EM$17&amp;"]")),0)</f>
        <v>0</v>
      </c>
      <c r="EN22" s="139">
        <f ca="1">IFERROR(GETPIVOTDATA("[Measures].["&amp;A_Budget2!$BD$7&amp;"]",A_Budget2!$BA$7,"[DataBudget2].[Cat_3]","[DataBudget2].[Cat_3].&amp;["&amp;ControlChart_Budget2!$ER$17&amp;"]","[DataBudget2].[Mois (Month)]","[DataBudget2].[Mois (Month)].&amp;["&amp;EV22&amp;"]","[DataBudget2].[Mois (Year)]","[DataBudget2].[Mois (Year)].&amp;["&amp;$EL$17&amp;"]"),0)</f>
        <v>0</v>
      </c>
      <c r="EO22" s="139">
        <f ca="1">IFERROR(IF($EN$17=1,0,GETPIVOTDATA("[Measures].["&amp;A_Budget2!$BD$7&amp;"]",A_Budget2!$BA$7,"[DataBudget2].[Cat_3]","[DataBudget2].[Cat_3].&amp;["&amp;ControlChart_Budget2!$ER$17&amp;"]","[DataBudget2].[Mois (Month)]","[DataBudget2].[Mois (Month)].&amp;["&amp;EV22&amp;"]","[DataBudget2].[Mois (Year)]","[DataBudget2].[Mois (Year)].&amp;["&amp;$EM$17&amp;"]")),0)</f>
        <v>0</v>
      </c>
      <c r="EP22" s="167">
        <f ca="1">IFERROR(GETPIVOTDATA("[Measures].["&amp;A_Budget2!$BE$7&amp;"]",A_Budget2!$BA$7,"[DataBudget2].[Cat_3]","[DataBudget2].[Cat_3].&amp;["&amp;ControlChart_Budget2!$ER$17&amp;"]","[DataBudget2].[Mois (Month)]","[DataBudget2].[Mois (Month)].&amp;["&amp;EV22&amp;"]","[DataBudget2].[Mois (Year)]","[DataBudget2].[Mois (Year)].&amp;["&amp;$EL$17&amp;"]"),0)</f>
        <v>0</v>
      </c>
      <c r="EQ22" s="167">
        <f ca="1">IFERROR(IF($EN$17=1,0,GETPIVOTDATA("[Measures].["&amp;A_Budget2!$BE$7&amp;"]",A_Budget2!$BA$7,"[DataBudget2].[Cat_3]","[DataBudget2].[Cat_3].&amp;["&amp;ControlChart_Budget2!$ER$17&amp;"]","[DataBudget2].[Mois (Month)]","[DataBudget2].[Mois (Month)].&amp;["&amp;EV22&amp;"]","[DataBudget2].[Mois (Year)]","[DataBudget2].[Mois (Year)].&amp;["&amp;$EM$17&amp;"]")),0)</f>
        <v>0</v>
      </c>
      <c r="ER22" s="9" t="str">
        <f>IFERROR(IF(A_Budget2!BB13=0,"",A_Budget2!BB13),"")</f>
        <v/>
      </c>
      <c r="ES22" s="312">
        <f t="shared" ca="1" si="42"/>
        <v>0</v>
      </c>
      <c r="ET22" s="313">
        <f t="shared" ca="1" si="43"/>
        <v>0</v>
      </c>
      <c r="EU22" s="314">
        <f t="shared" ca="1" si="44"/>
        <v>0</v>
      </c>
      <c r="EV22" t="str">
        <f ca="1">IFERROR(VLOOKUP(ER22,Library!$R$18:$S$29,2,FALSE),Library!S22)</f>
        <v>mai</v>
      </c>
    </row>
    <row r="23" spans="3:173" x14ac:dyDescent="0.25">
      <c r="I23" s="5">
        <f>COUNTIF(I17:I21, "&lt;&gt;"&amp;$A$1)</f>
        <v>4</v>
      </c>
      <c r="AC23" s="119"/>
      <c r="AD23" s="119"/>
      <c r="AE23" s="119"/>
      <c r="AF23" s="119"/>
      <c r="AG23" s="119"/>
      <c r="AH23" s="119"/>
      <c r="AI23" s="119"/>
      <c r="AJ23" s="39" t="str">
        <f>IF(ISBLANK($C$7),"",$C$7)</f>
        <v>Category4</v>
      </c>
      <c r="AK23" s="39">
        <f t="shared" si="46"/>
        <v>1.8E-3</v>
      </c>
      <c r="AL23" s="39">
        <f t="shared" si="47"/>
        <v>1.8E-3</v>
      </c>
      <c r="AM23" s="39">
        <f t="shared" si="48"/>
        <v>1.8E-3</v>
      </c>
      <c r="AN23" s="39">
        <f t="shared" si="49"/>
        <v>1.8E-3</v>
      </c>
      <c r="AO23" s="39">
        <f t="shared" si="50"/>
        <v>1.8E-3</v>
      </c>
      <c r="AP23" s="39">
        <f t="shared" si="51"/>
        <v>1.8E-3</v>
      </c>
      <c r="AQ23" s="39">
        <f t="shared" si="52"/>
        <v>0</v>
      </c>
      <c r="AR23" s="39">
        <f t="shared" si="53"/>
        <v>0</v>
      </c>
      <c r="AT23" s="8"/>
      <c r="AU23" s="9">
        <f ca="1"/>
        <v>21</v>
      </c>
      <c r="AV23" s="9">
        <f ca="1"/>
        <v>2026</v>
      </c>
      <c r="AW23" s="9" t="str">
        <f ca="1"/>
        <v>Qtr1</v>
      </c>
      <c r="AX23" s="127">
        <f>N18</f>
        <v>2E-3</v>
      </c>
      <c r="AY23" s="129">
        <f>ABS(AM43)</f>
        <v>0</v>
      </c>
      <c r="AZ23" s="132">
        <f>IFERROR(IF(AND($AT$4&gt;=2,ABS($AM$41)&lt;0),ABS($AM$41),0),NA())</f>
        <v>0</v>
      </c>
      <c r="BA23" s="10">
        <f>IFERROR(AY23+AZ23,NA())</f>
        <v>0</v>
      </c>
      <c r="BB23" s="127">
        <f>IFERROR(IF(AND($AT$4&gt;=2,$AM$40&gt;0),$AM$40,0),NA())</f>
        <v>0</v>
      </c>
      <c r="BC23" s="133">
        <f>IF(BB23-BA23&lt;0,0,BB23-BA23)</f>
        <v>0</v>
      </c>
      <c r="BD23" s="130">
        <f>BC23+AX23</f>
        <v>2E-3</v>
      </c>
      <c r="BE23" s="138">
        <f>IF(BD23-BA23&lt;0,0,BD23-BA23)</f>
        <v>2E-3</v>
      </c>
      <c r="BF23" s="131">
        <f>BE23/BD23</f>
        <v>1</v>
      </c>
      <c r="BG23" s="126">
        <f>IFERROR((0.1*BD23)/BD23,NA())</f>
        <v>0.1</v>
      </c>
      <c r="BH23" s="126">
        <f>IFERROR((0.1*BD23)/BD23,NA())</f>
        <v>0.1</v>
      </c>
      <c r="BI23" s="126">
        <f>IFERROR((0.2*BD23)/BD23,NA())</f>
        <v>0.2</v>
      </c>
      <c r="BJ23" s="131">
        <f>IFERROR(IF($AT$4&gt;2,0,BF23),NA())</f>
        <v>1</v>
      </c>
      <c r="BK23" s="131">
        <f>IFERROR(IF($AT$4&gt;2,BF23,0),NA())</f>
        <v>0</v>
      </c>
      <c r="BL23" s="128">
        <f>IF(BK23&gt;0,0,BC23/AX23)</f>
        <v>0</v>
      </c>
      <c r="BM23" s="135">
        <f>IF((BD23-BE23)=0,0,(BD23-BE23)/BD23)</f>
        <v>0</v>
      </c>
      <c r="BN23" s="126">
        <f>IFERROR(BF23,"")</f>
        <v>1</v>
      </c>
      <c r="BO23" s="8">
        <f>IFERROR(BA23,"")</f>
        <v>0</v>
      </c>
      <c r="BP23" s="8">
        <f>IFERROR(AX23,"")</f>
        <v>2E-3</v>
      </c>
      <c r="BQ23" s="8" t="str">
        <f>IFERROR(IF(BC23=0,"",BC23),"")</f>
        <v/>
      </c>
      <c r="CY23" s="9" t="str" cm="1">
        <f t="array" ref="CY23">_xlfn.IFS(DB18&lt;=1,CY19,DB18&lt;=1.1,CY20,DB18&lt;=1.2,CY21,DB18&lt;=1.4,CY22,DB18&gt;=1.4,CY22)</f>
        <v>Good</v>
      </c>
      <c r="CZ23" s="9"/>
      <c r="DA23" s="126">
        <f>SUM(DA18:DA22)</f>
        <v>1.6</v>
      </c>
      <c r="DB23" s="9"/>
      <c r="DL23" s="103" t="str">
        <f t="shared" ref="DL23:DL37" si="54">IFERROR(CHOOSE($DO$19,DR2,EE2,DS2,EF2),"")</f>
        <v/>
      </c>
      <c r="DM23" s="157" t="str">
        <f t="shared" ref="DM23:DM37" si="55">IFERROR(CHOOSE($DO$19,DT2,EC2,DU2,ED2),NA())</f>
        <v/>
      </c>
      <c r="DN23" s="9" t="str">
        <f t="shared" ref="DN23:DN37" si="56">IF(AND(DP23=0,DQ23=0),"",DO23)</f>
        <v/>
      </c>
      <c r="DO23" s="90" t="str">
        <f t="shared" ref="DO23:DO37" si="57">CHOOSE($DO$19,DQ2,EB2,DQ2,EB2)</f>
        <v/>
      </c>
      <c r="DP23" s="103" t="str">
        <f t="shared" ref="DP23:DQ37" si="58">IFERROR(IF(DL23=0,0.00001,DL23),0.00001)</f>
        <v/>
      </c>
      <c r="DQ23" s="157" t="str">
        <f t="shared" si="58"/>
        <v/>
      </c>
      <c r="DR23" s="129" t="e">
        <f t="shared" ref="DR23:DR30" si="59">IFERROR(IF(DP23&lt;=0,DU23+DV23,MAX(CHOOSE($DO$19,$DR$1:$DR$16,$DR$1:$DR$16,$DS$1:$DS$16,$DS$1:$DS$16))*$DO$20-DS23),NA())</f>
        <v>#N/A</v>
      </c>
      <c r="DS23" s="163" t="e" cm="1">
        <f t="array" ref="DS23">IFERROR(_xlfn.IFS(DN23="",NA(),DP23=0,0,DP23&lt;&gt;"",DP23),NA())</f>
        <v>#N/A</v>
      </c>
      <c r="DT23" s="160" t="e">
        <f t="shared" ref="DT23:DT37" si="60">IF(DN23="",NA(),MAX(CHOOSE($DO$19,$DP$1:$DP$16,$DP$1:$DP$16,$DS$1:$DS$16,$DS$1:$DS$16))*$DT$20)</f>
        <v>#N/A</v>
      </c>
      <c r="DU23" s="11" t="e">
        <f t="shared" ref="DU23:DU31" si="61">IF(DN23="",NA(),DQ23)</f>
        <v>#N/A</v>
      </c>
      <c r="DV23" s="11" t="e">
        <f t="shared" ref="DV23:DV37" si="62">IFERROR(IF(DN23="",NA(),IF(DQ23&lt;=0,DR23+DS23,(MAX(CHOOSE($DO$19,$EA$1:$EA$16,$EA$1:$EA$16,$ED$1:$ED$16,$ED$1:$ED$16))*$DO$20)-DU23)),NA())</f>
        <v>#N/A</v>
      </c>
      <c r="DW23" s="129" t="str" cm="1">
        <f t="array" ref="DW23">IFERROR(_xlfn.IFS(DT23=0,"",$DO$19=1,TEXT(DS23, "0.00%"),$DO$19=2,TEXT(DS23, "0.00%"),$DO$19=3,TEXT(DS23,"0.00"&amp;WB_Data!$EJ$2),$DO$19=4,TEXT(DS23,"0.00"&amp;WB_Data!$EJ$2)),"")</f>
        <v/>
      </c>
      <c r="DX23" s="11" t="str" cm="1">
        <f t="array" ref="DX23">IFERROR(_xlfn.IFS(DT23=0,"",$DO$19=1,TEXT(DU23, "0.00%"),$DO$19=2,TEXT(DU23, "0.00%"),$DO$19=3,TEXT(DU23,"0.00"&amp;WB_Data!$EJ$2),$DO$19=4,TEXT(DU23,"0.00"&amp;WB_Data!$EJ$2)),"")</f>
        <v/>
      </c>
      <c r="EK23" s="5"/>
      <c r="EL23" s="170">
        <f ca="1">IFERROR(GETPIVOTDATA("[Measures].["&amp;A_Budget2!$BC$7&amp;"]",A_Budget2!$BA$7,"[DataBudget2].[Cat_3]","[DataBudget2].[Cat_3].&amp;["&amp;ControlChart_Budget2!$ER$17&amp;"]","[DataBudget2].[Mois (Month)]","[DataBudget2].[Mois (Month)].&amp;["&amp;EV23&amp;"]","[DataBudget2].[Mois (Year)]","[DataBudget2].[Mois (Year)].&amp;["&amp;$EL$17&amp;"]"),0)</f>
        <v>0</v>
      </c>
      <c r="EM23" s="165">
        <f ca="1">IFERROR(IF($EN$17=1,0,GETPIVOTDATA("[Measures].["&amp;A_Budget2!$BC$7&amp;"]",A_Budget2!$BA$7,"[DataBudget2].[Cat_3]","[DataBudget2].[Cat_3].&amp;["&amp;ControlChart_Budget2!$ER$17&amp;"]","[DataBudget2].[Mois (Month)]","[DataBudget2].[Mois (Month)].&amp;["&amp;EV23&amp;"]","[DataBudget2].[Mois (Year)]","[DataBudget2].[Mois (Year)].&amp;["&amp;$EM$17&amp;"]")),0)</f>
        <v>0</v>
      </c>
      <c r="EN23" s="139">
        <f ca="1">IFERROR(GETPIVOTDATA("[Measures].["&amp;A_Budget2!$BD$7&amp;"]",A_Budget2!$BA$7,"[DataBudget2].[Cat_3]","[DataBudget2].[Cat_3].&amp;["&amp;ControlChart_Budget2!$ER$17&amp;"]","[DataBudget2].[Mois (Month)]","[DataBudget2].[Mois (Month)].&amp;["&amp;EV23&amp;"]","[DataBudget2].[Mois (Year)]","[DataBudget2].[Mois (Year)].&amp;["&amp;$EL$17&amp;"]"),0)</f>
        <v>0</v>
      </c>
      <c r="EO23" s="139">
        <f ca="1">IFERROR(IF($EN$17=1,0,GETPIVOTDATA("[Measures].["&amp;A_Budget2!$BD$7&amp;"]",A_Budget2!$BA$7,"[DataBudget2].[Cat_3]","[DataBudget2].[Cat_3].&amp;["&amp;ControlChart_Budget2!$ER$17&amp;"]","[DataBudget2].[Mois (Month)]","[DataBudget2].[Mois (Month)].&amp;["&amp;EV23&amp;"]","[DataBudget2].[Mois (Year)]","[DataBudget2].[Mois (Year)].&amp;["&amp;$EM$17&amp;"]")),0)</f>
        <v>0</v>
      </c>
      <c r="EP23" s="167">
        <f ca="1">IFERROR(GETPIVOTDATA("[Measures].["&amp;A_Budget2!$BE$7&amp;"]",A_Budget2!$BA$7,"[DataBudget2].[Cat_3]","[DataBudget2].[Cat_3].&amp;["&amp;ControlChart_Budget2!$ER$17&amp;"]","[DataBudget2].[Mois (Month)]","[DataBudget2].[Mois (Month)].&amp;["&amp;EV23&amp;"]","[DataBudget2].[Mois (Year)]","[DataBudget2].[Mois (Year)].&amp;["&amp;$EL$17&amp;"]"),0)</f>
        <v>0</v>
      </c>
      <c r="EQ23" s="167">
        <f ca="1">IFERROR(IF($EN$17=1,0,GETPIVOTDATA("[Measures].["&amp;A_Budget2!$BE$7&amp;"]",A_Budget2!$BA$7,"[DataBudget2].[Cat_3]","[DataBudget2].[Cat_3].&amp;["&amp;ControlChart_Budget2!$ER$17&amp;"]","[DataBudget2].[Mois (Month)]","[DataBudget2].[Mois (Month)].&amp;["&amp;EV23&amp;"]","[DataBudget2].[Mois (Year)]","[DataBudget2].[Mois (Year)].&amp;["&amp;$EM$17&amp;"]")),0)</f>
        <v>0</v>
      </c>
      <c r="ER23" s="9" t="str">
        <f>IFERROR(IF(A_Budget2!BB14=0,"",A_Budget2!BB14),"")</f>
        <v/>
      </c>
      <c r="ES23" s="312">
        <f t="shared" ca="1" si="42"/>
        <v>0</v>
      </c>
      <c r="ET23" s="313">
        <f t="shared" ca="1" si="43"/>
        <v>0</v>
      </c>
      <c r="EU23" s="314">
        <f t="shared" ca="1" si="44"/>
        <v>0</v>
      </c>
      <c r="EV23" t="str">
        <f ca="1">IFERROR(VLOOKUP(ER23,Library!$R$18:$S$29,2,FALSE),Library!S23)</f>
        <v>juin</v>
      </c>
    </row>
    <row r="24" spans="3:173" x14ac:dyDescent="0.25">
      <c r="I24" s="5">
        <f>COUNTIF(I17:I21, 0)</f>
        <v>2</v>
      </c>
      <c r="AC24" s="5"/>
      <c r="AD24" s="5"/>
      <c r="AE24" s="5"/>
      <c r="AF24" s="5"/>
      <c r="AG24" s="5"/>
      <c r="AH24" s="5"/>
      <c r="AJ24" s="39" t="str">
        <f>IF(ISBLANK($C$8),"",$C$8)</f>
        <v>Category5</v>
      </c>
      <c r="AK24" s="39">
        <f t="shared" si="46"/>
        <v>1.8E-3</v>
      </c>
      <c r="AL24" s="39">
        <f t="shared" si="47"/>
        <v>1.8E-3</v>
      </c>
      <c r="AM24" s="39">
        <f t="shared" si="48"/>
        <v>1.8E-3</v>
      </c>
      <c r="AN24" s="39">
        <f t="shared" si="49"/>
        <v>1.8E-3</v>
      </c>
      <c r="AO24" s="39">
        <f t="shared" si="50"/>
        <v>1.8E-3</v>
      </c>
      <c r="AP24" s="39">
        <f t="shared" si="51"/>
        <v>1.8E-3</v>
      </c>
      <c r="AQ24" s="39">
        <f t="shared" si="52"/>
        <v>0</v>
      </c>
      <c r="AR24" s="39">
        <f t="shared" si="53"/>
        <v>0</v>
      </c>
      <c r="AT24" s="8"/>
      <c r="AU24" s="9">
        <f ca="1"/>
        <v>22</v>
      </c>
      <c r="AV24" s="9">
        <f ca="1"/>
        <v>2026</v>
      </c>
      <c r="AW24" s="9" t="str">
        <f ca="1"/>
        <v>Grand Total</v>
      </c>
      <c r="AX24" s="127" t="str">
        <f>N19</f>
        <v/>
      </c>
      <c r="AY24" s="129">
        <f>ABS(AM82)</f>
        <v>0</v>
      </c>
      <c r="AZ24" s="132">
        <f>IFERROR(IF(AND($AT$4&gt;=3,ABS($AM$80)&lt;0),ABS($AM$80),0),NA())</f>
        <v>0</v>
      </c>
      <c r="BA24" s="10">
        <f>IFERROR(AY24+AZ24,NA())</f>
        <v>0</v>
      </c>
      <c r="BB24" s="127">
        <f>IFERROR(IF(AND($AT$4&gt;=3,$AM$79&gt;0),$AM$79,0),NA())</f>
        <v>0</v>
      </c>
      <c r="BC24" s="133">
        <f>IF(BB24-BA24&lt;0,0,BB24-BA24)</f>
        <v>0</v>
      </c>
      <c r="BD24" s="130" t="e">
        <f>BC24+AX24</f>
        <v>#VALUE!</v>
      </c>
      <c r="BE24" s="138" t="e">
        <f>IF(BD24-BA24&lt;0,0,BD24-BA24)</f>
        <v>#VALUE!</v>
      </c>
      <c r="BF24" s="131" t="e">
        <f>BE24/BD24</f>
        <v>#VALUE!</v>
      </c>
      <c r="BG24" s="126" t="e">
        <f>IFERROR((0.1*BD24)/BD24,NA())</f>
        <v>#N/A</v>
      </c>
      <c r="BH24" s="126" t="e">
        <f>IFERROR((0.1*BD24)/BD24,NA())</f>
        <v>#N/A</v>
      </c>
      <c r="BI24" s="126" t="e">
        <f>IFERROR((0.2*BD24)/BD24,NA())</f>
        <v>#N/A</v>
      </c>
      <c r="BJ24" s="131" t="e">
        <f>IFERROR(IF($AT$4&gt;3,0,BF24),NA())</f>
        <v>#N/A</v>
      </c>
      <c r="BK24" s="131">
        <f>IFERROR(IF($AT$4&gt;3,BF24,0),NA())</f>
        <v>0</v>
      </c>
      <c r="BL24" s="128" t="e">
        <f>IF(BK24&gt;0,0,BC24/AX24)</f>
        <v>#VALUE!</v>
      </c>
      <c r="BM24" s="135" t="e">
        <f>IF((BD24-BE24)=0,0,(BD24-BE24)/BD24)</f>
        <v>#VALUE!</v>
      </c>
      <c r="BN24" s="126" t="str">
        <f>IFERROR(BF24,"")</f>
        <v/>
      </c>
      <c r="BO24" s="8">
        <f>IFERROR(BA24,"")</f>
        <v>0</v>
      </c>
      <c r="BP24" s="8" t="str">
        <f>IFERROR(AX24,"")</f>
        <v/>
      </c>
      <c r="BQ24" s="8" t="str">
        <f>IFERROR(IF(BC24=0,"",BC24),"")</f>
        <v/>
      </c>
      <c r="DL24" s="103" t="str">
        <f t="shared" si="54"/>
        <v/>
      </c>
      <c r="DM24" s="157" t="str">
        <f t="shared" si="55"/>
        <v/>
      </c>
      <c r="DN24" s="9" t="str">
        <f t="shared" si="56"/>
        <v/>
      </c>
      <c r="DO24" s="90" t="str">
        <f t="shared" si="57"/>
        <v/>
      </c>
      <c r="DP24" s="103" t="str">
        <f t="shared" si="58"/>
        <v/>
      </c>
      <c r="DQ24" s="157" t="str">
        <f t="shared" si="58"/>
        <v/>
      </c>
      <c r="DR24" s="129" t="e">
        <f t="shared" si="59"/>
        <v>#N/A</v>
      </c>
      <c r="DS24" s="163" t="e" cm="1">
        <f t="array" ref="DS24">IFERROR(_xlfn.IFS(DN24="",NA(),DP24=0,0,DP24&lt;&gt;"",DP24),NA())</f>
        <v>#N/A</v>
      </c>
      <c r="DT24" s="160" t="e">
        <f t="shared" si="60"/>
        <v>#N/A</v>
      </c>
      <c r="DU24" s="11" t="e">
        <f t="shared" si="61"/>
        <v>#N/A</v>
      </c>
      <c r="DV24" s="11" t="e">
        <f t="shared" si="62"/>
        <v>#N/A</v>
      </c>
      <c r="DW24" s="129" t="str" cm="1">
        <f t="array" ref="DW24">IFERROR(_xlfn.IFS(DT24=0,"",$DO$19=1,TEXT(DS24, "0.00%"),$DO$19=2,TEXT(DS24, "0.00%"),$DO$19=3,TEXT(DS24,"0.00"&amp;WB_Data!$EJ$2),$DO$19=4,TEXT(DS24,"0.00"&amp;WB_Data!$EJ$2)),"")</f>
        <v/>
      </c>
      <c r="DX24" s="11" t="str" cm="1">
        <f t="array" ref="DX24">IFERROR(_xlfn.IFS(DT24=0,"",$DO$19=1,TEXT(DU24, "0.00%"),$DO$19=2,TEXT(DU24, "0.00%"),$DO$19=3,TEXT(DU24,"0.00"&amp;WB_Data!$EJ$2),$DO$19=4,TEXT(DU24,"0.00"&amp;WB_Data!$EJ$2)),"")</f>
        <v/>
      </c>
      <c r="EK24" s="5"/>
      <c r="EL24" s="170">
        <f ca="1">IFERROR(GETPIVOTDATA("[Measures].["&amp;A_Budget2!$BC$7&amp;"]",A_Budget2!$BA$7,"[DataBudget2].[Cat_3]","[DataBudget2].[Cat_3].&amp;["&amp;ControlChart_Budget2!$ER$17&amp;"]","[DataBudget2].[Mois (Month)]","[DataBudget2].[Mois (Month)].&amp;["&amp;EV24&amp;"]","[DataBudget2].[Mois (Year)]","[DataBudget2].[Mois (Year)].&amp;["&amp;$EL$17&amp;"]"),0)</f>
        <v>0</v>
      </c>
      <c r="EM24" s="165">
        <f ca="1">IFERROR(IF($EN$17=1,0,GETPIVOTDATA("[Measures].["&amp;A_Budget2!$BC$7&amp;"]",A_Budget2!$BA$7,"[DataBudget2].[Cat_3]","[DataBudget2].[Cat_3].&amp;["&amp;ControlChart_Budget2!$ER$17&amp;"]","[DataBudget2].[Mois (Month)]","[DataBudget2].[Mois (Month)].&amp;["&amp;EV24&amp;"]","[DataBudget2].[Mois (Year)]","[DataBudget2].[Mois (Year)].&amp;["&amp;$EM$17&amp;"]")),0)</f>
        <v>0</v>
      </c>
      <c r="EN24" s="139">
        <f ca="1">IFERROR(GETPIVOTDATA("[Measures].["&amp;A_Budget2!$BD$7&amp;"]",A_Budget2!$BA$7,"[DataBudget2].[Cat_3]","[DataBudget2].[Cat_3].&amp;["&amp;ControlChart_Budget2!$ER$17&amp;"]","[DataBudget2].[Mois (Month)]","[DataBudget2].[Mois (Month)].&amp;["&amp;EV24&amp;"]","[DataBudget2].[Mois (Year)]","[DataBudget2].[Mois (Year)].&amp;["&amp;$EL$17&amp;"]"),0)</f>
        <v>0</v>
      </c>
      <c r="EO24" s="139">
        <f ca="1">IFERROR(IF($EN$17=1,0,GETPIVOTDATA("[Measures].["&amp;A_Budget2!$BD$7&amp;"]",A_Budget2!$BA$7,"[DataBudget2].[Cat_3]","[DataBudget2].[Cat_3].&amp;["&amp;ControlChart_Budget2!$ER$17&amp;"]","[DataBudget2].[Mois (Month)]","[DataBudget2].[Mois (Month)].&amp;["&amp;EV24&amp;"]","[DataBudget2].[Mois (Year)]","[DataBudget2].[Mois (Year)].&amp;["&amp;$EM$17&amp;"]")),0)</f>
        <v>0</v>
      </c>
      <c r="EP24" s="167">
        <f ca="1">IFERROR(GETPIVOTDATA("[Measures].["&amp;A_Budget2!$BE$7&amp;"]",A_Budget2!$BA$7,"[DataBudget2].[Cat_3]","[DataBudget2].[Cat_3].&amp;["&amp;ControlChart_Budget2!$ER$17&amp;"]","[DataBudget2].[Mois (Month)]","[DataBudget2].[Mois (Month)].&amp;["&amp;EV24&amp;"]","[DataBudget2].[Mois (Year)]","[DataBudget2].[Mois (Year)].&amp;["&amp;$EL$17&amp;"]"),0)</f>
        <v>0</v>
      </c>
      <c r="EQ24" s="167">
        <f ca="1">IFERROR(IF($EN$17=1,0,GETPIVOTDATA("[Measures].["&amp;A_Budget2!$BE$7&amp;"]",A_Budget2!$BA$7,"[DataBudget2].[Cat_3]","[DataBudget2].[Cat_3].&amp;["&amp;ControlChart_Budget2!$ER$17&amp;"]","[DataBudget2].[Mois (Month)]","[DataBudget2].[Mois (Month)].&amp;["&amp;EV24&amp;"]","[DataBudget2].[Mois (Year)]","[DataBudget2].[Mois (Year)].&amp;["&amp;$EM$17&amp;"]")),0)</f>
        <v>0</v>
      </c>
      <c r="ER24" s="9" t="str">
        <f>IFERROR(IF(A_Budget2!BB15=0,"",A_Budget2!BB15),"")</f>
        <v/>
      </c>
      <c r="ES24" s="312">
        <f t="shared" ca="1" si="42"/>
        <v>0</v>
      </c>
      <c r="ET24" s="313">
        <f t="shared" ca="1" si="43"/>
        <v>0</v>
      </c>
      <c r="EU24" s="314">
        <f t="shared" ca="1" si="44"/>
        <v>0</v>
      </c>
      <c r="EV24" t="str">
        <f ca="1">IFERROR(VLOOKUP(ER24,Library!$R$18:$S$29,2,FALSE),Library!S24)</f>
        <v>juil</v>
      </c>
    </row>
    <row r="25" spans="3:173" x14ac:dyDescent="0.25">
      <c r="AC25" s="119"/>
      <c r="AD25" s="119"/>
      <c r="AE25" s="119"/>
      <c r="AF25" s="119"/>
      <c r="AG25" s="119"/>
      <c r="AH25" s="119"/>
      <c r="AI25" s="119"/>
      <c r="AJ25" s="39" t="str">
        <f>IF(ISBLANK($C$9),"",$C$9)</f>
        <v>Category6</v>
      </c>
      <c r="AK25" s="39">
        <f t="shared" si="46"/>
        <v>1.8E-3</v>
      </c>
      <c r="AL25" s="39">
        <f t="shared" si="47"/>
        <v>1.8E-3</v>
      </c>
      <c r="AM25" s="39">
        <f t="shared" si="48"/>
        <v>1.8E-3</v>
      </c>
      <c r="AN25" s="39">
        <f t="shared" si="49"/>
        <v>1.8E-3</v>
      </c>
      <c r="AO25" s="39">
        <f t="shared" si="50"/>
        <v>1.8E-3</v>
      </c>
      <c r="AP25" s="39">
        <f t="shared" si="51"/>
        <v>1.8E-3</v>
      </c>
      <c r="AQ25" s="39">
        <f t="shared" si="52"/>
        <v>0</v>
      </c>
      <c r="AR25" s="39">
        <f t="shared" si="53"/>
        <v>0</v>
      </c>
      <c r="AT25" s="8"/>
      <c r="AU25" s="9">
        <f ca="1"/>
        <v>23</v>
      </c>
      <c r="AV25" s="9">
        <f ca="1"/>
        <v>2026</v>
      </c>
      <c r="AW25" s="9">
        <f ca="1"/>
        <v>0</v>
      </c>
      <c r="AX25" s="127">
        <f>N20</f>
        <v>0</v>
      </c>
      <c r="AY25" s="129">
        <f>ABS(AM118)</f>
        <v>0</v>
      </c>
      <c r="AZ25" s="132">
        <f>IFERROR(IF(AND($AT$4&gt;=4,ABS($AM$116)&lt;0),ABS($AM$116),0),NA())</f>
        <v>0</v>
      </c>
      <c r="BA25" s="10">
        <f>IFERROR(AY25+AZ25,NA())</f>
        <v>0</v>
      </c>
      <c r="BB25" s="127">
        <f>IFERROR(IF(AND($AT$4&gt;=4,$AM$115&gt;0),$AM$115,0),NA())</f>
        <v>0</v>
      </c>
      <c r="BC25" s="133">
        <f>IF(BB25-BA25&lt;0,0,BB25-BA25)</f>
        <v>0</v>
      </c>
      <c r="BD25" s="130">
        <f>BC25+AX25</f>
        <v>0</v>
      </c>
      <c r="BE25" s="138">
        <f>IF(BD25-BA25&lt;0,0,BD25-BA25)</f>
        <v>0</v>
      </c>
      <c r="BF25" s="131" t="e">
        <f>BE25/BD25</f>
        <v>#DIV/0!</v>
      </c>
      <c r="BG25" s="126" t="e">
        <f>IFERROR((0.1*BD25)/BD25,NA())</f>
        <v>#N/A</v>
      </c>
      <c r="BH25" s="126" t="e">
        <f>IFERROR((0.1*BD25)/BD25,NA())</f>
        <v>#N/A</v>
      </c>
      <c r="BI25" s="126" t="e">
        <f>IFERROR((0.2*BD25)/BD25,NA())</f>
        <v>#N/A</v>
      </c>
      <c r="BJ25" s="131" t="e">
        <f>IFERROR(IF($AT$4&gt;4,0,BF25),NA())</f>
        <v>#N/A</v>
      </c>
      <c r="BK25" s="131">
        <f>IFERROR(IF($AT$4&gt;4,BF25,0),NA())</f>
        <v>0</v>
      </c>
      <c r="BL25" s="128" t="e">
        <f>IF(BK25&gt;0,0,BC25/AX25)</f>
        <v>#DIV/0!</v>
      </c>
      <c r="BM25" s="135">
        <f>IF((BD25-BE25)=0,0,(BD25-BE25)/BD25)</f>
        <v>0</v>
      </c>
      <c r="BN25" s="126" t="str">
        <f>IFERROR(BF25,"")</f>
        <v/>
      </c>
      <c r="BO25" s="8">
        <f>IFERROR(BA25,"")</f>
        <v>0</v>
      </c>
      <c r="BP25" s="8">
        <f>IFERROR(AX25,"")</f>
        <v>0</v>
      </c>
      <c r="BQ25" s="8" t="str">
        <f>IFERROR(IF(BC25=0,"",BC25),"")</f>
        <v/>
      </c>
      <c r="DL25" s="103" t="str">
        <f t="shared" si="54"/>
        <v/>
      </c>
      <c r="DM25" s="157" t="str">
        <f t="shared" si="55"/>
        <v/>
      </c>
      <c r="DN25" s="9" t="str">
        <f t="shared" si="56"/>
        <v/>
      </c>
      <c r="DO25" s="90" t="str">
        <f t="shared" si="57"/>
        <v/>
      </c>
      <c r="DP25" s="103" t="str">
        <f t="shared" si="58"/>
        <v/>
      </c>
      <c r="DQ25" s="157" t="str">
        <f t="shared" si="58"/>
        <v/>
      </c>
      <c r="DR25" s="129" t="e">
        <f t="shared" si="59"/>
        <v>#N/A</v>
      </c>
      <c r="DS25" s="163" t="e" cm="1">
        <f t="array" ref="DS25">IFERROR(_xlfn.IFS(DN25="",NA(),DP25=0,0,DP25&lt;&gt;"",DP25),NA())</f>
        <v>#N/A</v>
      </c>
      <c r="DT25" s="160" t="e">
        <f t="shared" si="60"/>
        <v>#N/A</v>
      </c>
      <c r="DU25" s="11" t="e">
        <f t="shared" si="61"/>
        <v>#N/A</v>
      </c>
      <c r="DV25" s="11" t="e">
        <f t="shared" si="62"/>
        <v>#N/A</v>
      </c>
      <c r="DW25" s="129" t="str" cm="1">
        <f t="array" ref="DW25">IFERROR(_xlfn.IFS(DT25=0,"",$DO$19=1,TEXT(DS25, "0.00%"),$DO$19=2,TEXT(DS25, "0.00%"),$DO$19=3,TEXT(DS25,"0.00"&amp;WB_Data!$EJ$2),$DO$19=4,TEXT(DS25,"0.00"&amp;WB_Data!$EJ$2)),"")</f>
        <v/>
      </c>
      <c r="DX25" s="11" t="str" cm="1">
        <f t="array" ref="DX25">IFERROR(_xlfn.IFS(DT25=0,"",$DO$19=1,TEXT(DU25, "0.00%"),$DO$19=2,TEXT(DU25, "0.00%"),$DO$19=3,TEXT(DU25,"0.00"&amp;WB_Data!$EJ$2),$DO$19=4,TEXT(DU25,"0.00"&amp;WB_Data!$EJ$2)),"")</f>
        <v/>
      </c>
      <c r="EK25" s="5"/>
      <c r="EL25" s="170">
        <f ca="1">IFERROR(GETPIVOTDATA("[Measures].["&amp;A_Budget2!$BC$7&amp;"]",A_Budget2!$BA$7,"[DataBudget2].[Cat_3]","[DataBudget2].[Cat_3].&amp;["&amp;ControlChart_Budget2!$ER$17&amp;"]","[DataBudget2].[Mois (Month)]","[DataBudget2].[Mois (Month)].&amp;["&amp;EV25&amp;"]","[DataBudget2].[Mois (Year)]","[DataBudget2].[Mois (Year)].&amp;["&amp;$EL$17&amp;"]"),0)</f>
        <v>0</v>
      </c>
      <c r="EM25" s="165">
        <f ca="1">IFERROR(IF($EN$17=1,0,GETPIVOTDATA("[Measures].["&amp;A_Budget2!$BC$7&amp;"]",A_Budget2!$BA$7,"[DataBudget2].[Cat_3]","[DataBudget2].[Cat_3].&amp;["&amp;ControlChart_Budget2!$ER$17&amp;"]","[DataBudget2].[Mois (Month)]","[DataBudget2].[Mois (Month)].&amp;["&amp;EV25&amp;"]","[DataBudget2].[Mois (Year)]","[DataBudget2].[Mois (Year)].&amp;["&amp;$EM$17&amp;"]")),0)</f>
        <v>0</v>
      </c>
      <c r="EN25" s="139">
        <f ca="1">IFERROR(GETPIVOTDATA("[Measures].["&amp;A_Budget2!$BD$7&amp;"]",A_Budget2!$BA$7,"[DataBudget2].[Cat_3]","[DataBudget2].[Cat_3].&amp;["&amp;ControlChart_Budget2!$ER$17&amp;"]","[DataBudget2].[Mois (Month)]","[DataBudget2].[Mois (Month)].&amp;["&amp;EV25&amp;"]","[DataBudget2].[Mois (Year)]","[DataBudget2].[Mois (Year)].&amp;["&amp;$EL$17&amp;"]"),0)</f>
        <v>0</v>
      </c>
      <c r="EO25" s="139">
        <f ca="1">IFERROR(IF($EN$17=1,0,GETPIVOTDATA("[Measures].["&amp;A_Budget2!$BD$7&amp;"]",A_Budget2!$BA$7,"[DataBudget2].[Cat_3]","[DataBudget2].[Cat_3].&amp;["&amp;ControlChart_Budget2!$ER$17&amp;"]","[DataBudget2].[Mois (Month)]","[DataBudget2].[Mois (Month)].&amp;["&amp;EV25&amp;"]","[DataBudget2].[Mois (Year)]","[DataBudget2].[Mois (Year)].&amp;["&amp;$EM$17&amp;"]")),0)</f>
        <v>0</v>
      </c>
      <c r="EP25" s="167">
        <f ca="1">IFERROR(GETPIVOTDATA("[Measures].["&amp;A_Budget2!$BE$7&amp;"]",A_Budget2!$BA$7,"[DataBudget2].[Cat_3]","[DataBudget2].[Cat_3].&amp;["&amp;ControlChart_Budget2!$ER$17&amp;"]","[DataBudget2].[Mois (Month)]","[DataBudget2].[Mois (Month)].&amp;["&amp;EV25&amp;"]","[DataBudget2].[Mois (Year)]","[DataBudget2].[Mois (Year)].&amp;["&amp;$EL$17&amp;"]"),0)</f>
        <v>0</v>
      </c>
      <c r="EQ25" s="167">
        <f ca="1">IFERROR(IF($EN$17=1,0,GETPIVOTDATA("[Measures].["&amp;A_Budget2!$BE$7&amp;"]",A_Budget2!$BA$7,"[DataBudget2].[Cat_3]","[DataBudget2].[Cat_3].&amp;["&amp;ControlChart_Budget2!$ER$17&amp;"]","[DataBudget2].[Mois (Month)]","[DataBudget2].[Mois (Month)].&amp;["&amp;EV25&amp;"]","[DataBudget2].[Mois (Year)]","[DataBudget2].[Mois (Year)].&amp;["&amp;$EM$17&amp;"]")),0)</f>
        <v>0</v>
      </c>
      <c r="ER25" s="9" t="str">
        <f>IFERROR(IF(A_Budget2!BB16=0,"",A_Budget2!BB16),"")</f>
        <v/>
      </c>
      <c r="ES25" s="312">
        <f t="shared" ca="1" si="42"/>
        <v>0</v>
      </c>
      <c r="ET25" s="313">
        <f t="shared" ca="1" si="43"/>
        <v>0</v>
      </c>
      <c r="EU25" s="314">
        <f t="shared" ca="1" si="44"/>
        <v>0</v>
      </c>
      <c r="EV25" t="str">
        <f ca="1">IFERROR(VLOOKUP(ER25,Library!$R$18:$S$29,2,FALSE),Library!S25)</f>
        <v>août</v>
      </c>
    </row>
    <row r="26" spans="3:173" ht="12" thickBot="1" x14ac:dyDescent="0.3">
      <c r="AC26" s="119"/>
      <c r="AD26" s="119"/>
      <c r="AE26" s="119"/>
      <c r="AF26" s="119"/>
      <c r="AG26" s="119"/>
      <c r="AH26" s="119"/>
      <c r="AI26" s="119"/>
      <c r="AJ26" s="39" t="str">
        <f>IF(ISBLANK($C$10),"",$C$10)</f>
        <v>Category7</v>
      </c>
      <c r="AK26" s="39">
        <f t="shared" si="46"/>
        <v>0</v>
      </c>
      <c r="AL26" s="39">
        <f t="shared" si="47"/>
        <v>0</v>
      </c>
      <c r="AM26" s="39">
        <f t="shared" si="48"/>
        <v>0</v>
      </c>
      <c r="AN26" s="39">
        <f t="shared" si="49"/>
        <v>0</v>
      </c>
      <c r="AO26" s="39">
        <f t="shared" si="50"/>
        <v>0</v>
      </c>
      <c r="AP26" s="39">
        <f t="shared" si="51"/>
        <v>0</v>
      </c>
      <c r="AQ26" s="39">
        <f t="shared" si="52"/>
        <v>1.8E-3</v>
      </c>
      <c r="AR26" s="39">
        <f t="shared" si="53"/>
        <v>0</v>
      </c>
      <c r="AT26" s="8"/>
      <c r="AU26" s="9"/>
      <c r="AV26" s="9"/>
      <c r="AW26" s="9"/>
      <c r="AX26" s="127">
        <f>N21</f>
        <v>0</v>
      </c>
      <c r="AY26" s="129">
        <f>ABS(AM151)</f>
        <v>0</v>
      </c>
      <c r="AZ26" s="132">
        <f>IFERROR(IF(AND($AT$4&gt;=5,ABS($AM$149)&lt;0),ABS($AM$149),0),NA())</f>
        <v>0</v>
      </c>
      <c r="BA26" s="10">
        <f>IFERROR(AY26+AZ26,NA())</f>
        <v>0</v>
      </c>
      <c r="BB26" s="127">
        <f>IFERROR(IF(AND($AT$4&gt;=5,$AM$148&gt;0),$AM$148,0),NA())</f>
        <v>0</v>
      </c>
      <c r="BC26" s="133">
        <f>IF(BB26-BA26&lt;0,0,BB26-BA26)</f>
        <v>0</v>
      </c>
      <c r="BD26" s="130">
        <f>BC26+AX26</f>
        <v>0</v>
      </c>
      <c r="BE26" s="138">
        <f>IF(BD26-BA26&lt;0,0,BD26-BA26)</f>
        <v>0</v>
      </c>
      <c r="BF26" s="131" t="e">
        <f>BE26/BD26</f>
        <v>#DIV/0!</v>
      </c>
      <c r="BG26" s="126" t="e">
        <f>IFERROR((0.1*BD26)/BD26,NA())</f>
        <v>#N/A</v>
      </c>
      <c r="BH26" s="126" t="e">
        <f>IFERROR((0.1*BD26)/BD26,NA())</f>
        <v>#N/A</v>
      </c>
      <c r="BI26" s="126" t="e">
        <f>IFERROR((0.2*BD26)/BD26,NA())</f>
        <v>#N/A</v>
      </c>
      <c r="BJ26" s="131" t="e">
        <f>IFERROR(IF($AT$4&gt;5,0,BF26),NA())</f>
        <v>#N/A</v>
      </c>
      <c r="BK26" s="131">
        <f>IFERROR(IF($AT$4&gt;5,BF26,0),NA())</f>
        <v>0</v>
      </c>
      <c r="BL26" s="128" t="e">
        <f>IF(BK26&gt;0,0,BC26/AX26)</f>
        <v>#DIV/0!</v>
      </c>
      <c r="BM26" s="135">
        <f>IF((BD26-BE26)=0,0,(BD26-BE26)/BD26)</f>
        <v>0</v>
      </c>
      <c r="BN26" s="126" t="str">
        <f>IFERROR(BF26,"")</f>
        <v/>
      </c>
      <c r="BO26" s="8">
        <f>IFERROR(BA26,"")</f>
        <v>0</v>
      </c>
      <c r="BP26" s="8">
        <f>IFERROR(AX26,"")</f>
        <v>0</v>
      </c>
      <c r="BQ26" s="8" t="str">
        <f>IFERROR(IF(BC26=0,"",BC26),"")</f>
        <v/>
      </c>
      <c r="DL26" s="103" t="str">
        <f t="shared" si="54"/>
        <v/>
      </c>
      <c r="DM26" s="157" t="str">
        <f t="shared" si="55"/>
        <v/>
      </c>
      <c r="DN26" s="9" t="str">
        <f t="shared" si="56"/>
        <v/>
      </c>
      <c r="DO26" s="90" t="str">
        <f t="shared" si="57"/>
        <v/>
      </c>
      <c r="DP26" s="103" t="str">
        <f t="shared" si="58"/>
        <v/>
      </c>
      <c r="DQ26" s="157" t="str">
        <f t="shared" si="58"/>
        <v/>
      </c>
      <c r="DR26" s="129" t="e">
        <f t="shared" si="59"/>
        <v>#N/A</v>
      </c>
      <c r="DS26" s="163" t="e" cm="1">
        <f t="array" ref="DS26">IFERROR(_xlfn.IFS(DN26="",NA(),DP26=0,0,DP26&lt;&gt;"",DP26),NA())</f>
        <v>#N/A</v>
      </c>
      <c r="DT26" s="160" t="e">
        <f t="shared" si="60"/>
        <v>#N/A</v>
      </c>
      <c r="DU26" s="11" t="e">
        <f t="shared" si="61"/>
        <v>#N/A</v>
      </c>
      <c r="DV26" s="11" t="e">
        <f t="shared" si="62"/>
        <v>#N/A</v>
      </c>
      <c r="DW26" s="129" t="str" cm="1">
        <f t="array" ref="DW26">IFERROR(_xlfn.IFS(DT26=0,"",$DO$19=1,TEXT(DS26, "0.00%"),$DO$19=2,TEXT(DS26, "0.00%"),$DO$19=3,TEXT(DS26,"0.00"&amp;WB_Data!$EJ$2),$DO$19=4,TEXT(DS26,"0.00"&amp;WB_Data!$EJ$2)),"")</f>
        <v/>
      </c>
      <c r="DX26" s="11" t="str" cm="1">
        <f t="array" ref="DX26">IFERROR(_xlfn.IFS(DT26=0,"",$DO$19=1,TEXT(DU26, "0.00%"),$DO$19=2,TEXT(DU26, "0.00%"),$DO$19=3,TEXT(DU26,"0.00"&amp;WB_Data!$EJ$2),$DO$19=4,TEXT(DU26,"0.00"&amp;WB_Data!$EJ$2)),"")</f>
        <v/>
      </c>
      <c r="EK26" s="5"/>
      <c r="EL26" s="170">
        <f ca="1">IFERROR(GETPIVOTDATA("[Measures].["&amp;A_Budget2!$BC$7&amp;"]",A_Budget2!$BA$7,"[DataBudget2].[Cat_3]","[DataBudget2].[Cat_3].&amp;["&amp;ControlChart_Budget2!$ER$17&amp;"]","[DataBudget2].[Mois (Month)]","[DataBudget2].[Mois (Month)].&amp;["&amp;EV26&amp;"]","[DataBudget2].[Mois (Year)]","[DataBudget2].[Mois (Year)].&amp;["&amp;$EL$17&amp;"]"),0)</f>
        <v>0</v>
      </c>
      <c r="EM26" s="165">
        <f ca="1">IFERROR(IF($EN$17=1,0,GETPIVOTDATA("[Measures].["&amp;A_Budget2!$BC$7&amp;"]",A_Budget2!$BA$7,"[DataBudget2].[Cat_3]","[DataBudget2].[Cat_3].&amp;["&amp;ControlChart_Budget2!$ER$17&amp;"]","[DataBudget2].[Mois (Month)]","[DataBudget2].[Mois (Month)].&amp;["&amp;EV26&amp;"]","[DataBudget2].[Mois (Year)]","[DataBudget2].[Mois (Year)].&amp;["&amp;$EM$17&amp;"]")),0)</f>
        <v>0</v>
      </c>
      <c r="EN26" s="139">
        <f ca="1">IFERROR(GETPIVOTDATA("[Measures].["&amp;A_Budget2!$BD$7&amp;"]",A_Budget2!$BA$7,"[DataBudget2].[Cat_3]","[DataBudget2].[Cat_3].&amp;["&amp;ControlChart_Budget2!$ER$17&amp;"]","[DataBudget2].[Mois (Month)]","[DataBudget2].[Mois (Month)].&amp;["&amp;EV26&amp;"]","[DataBudget2].[Mois (Year)]","[DataBudget2].[Mois (Year)].&amp;["&amp;$EL$17&amp;"]"),0)</f>
        <v>0</v>
      </c>
      <c r="EO26" s="139">
        <f ca="1">IFERROR(IF($EN$17=1,0,GETPIVOTDATA("[Measures].["&amp;A_Budget2!$BD$7&amp;"]",A_Budget2!$BA$7,"[DataBudget2].[Cat_3]","[DataBudget2].[Cat_3].&amp;["&amp;ControlChart_Budget2!$ER$17&amp;"]","[DataBudget2].[Mois (Month)]","[DataBudget2].[Mois (Month)].&amp;["&amp;EV26&amp;"]","[DataBudget2].[Mois (Year)]","[DataBudget2].[Mois (Year)].&amp;["&amp;$EM$17&amp;"]")),0)</f>
        <v>0</v>
      </c>
      <c r="EP26" s="167">
        <f ca="1">IFERROR(GETPIVOTDATA("[Measures].["&amp;A_Budget2!$BE$7&amp;"]",A_Budget2!$BA$7,"[DataBudget2].[Cat_3]","[DataBudget2].[Cat_3].&amp;["&amp;ControlChart_Budget2!$ER$17&amp;"]","[DataBudget2].[Mois (Month)]","[DataBudget2].[Mois (Month)].&amp;["&amp;EV26&amp;"]","[DataBudget2].[Mois (Year)]","[DataBudget2].[Mois (Year)].&amp;["&amp;$EL$17&amp;"]"),0)</f>
        <v>0</v>
      </c>
      <c r="EQ26" s="167">
        <f ca="1">IFERROR(IF($EN$17=1,0,GETPIVOTDATA("[Measures].["&amp;A_Budget2!$BE$7&amp;"]",A_Budget2!$BA$7,"[DataBudget2].[Cat_3]","[DataBudget2].[Cat_3].&amp;["&amp;ControlChart_Budget2!$ER$17&amp;"]","[DataBudget2].[Mois (Month)]","[DataBudget2].[Mois (Month)].&amp;["&amp;EV26&amp;"]","[DataBudget2].[Mois (Year)]","[DataBudget2].[Mois (Year)].&amp;["&amp;$EM$17&amp;"]")),0)</f>
        <v>0</v>
      </c>
      <c r="ER26" s="9" t="str">
        <f>IFERROR(IF(A_Budget2!BB17=0,"",A_Budget2!BB17),"")</f>
        <v/>
      </c>
      <c r="ES26" s="312">
        <f t="shared" ca="1" si="42"/>
        <v>0</v>
      </c>
      <c r="ET26" s="313">
        <f t="shared" ca="1" si="43"/>
        <v>0</v>
      </c>
      <c r="EU26" s="314">
        <f t="shared" ca="1" si="44"/>
        <v>0</v>
      </c>
      <c r="EV26" t="str">
        <f ca="1">IFERROR(VLOOKUP(ER26,Library!$R$18:$S$29,2,FALSE),Library!S26)</f>
        <v>sept</v>
      </c>
    </row>
    <row r="27" spans="3:173" ht="12" thickBot="1" x14ac:dyDescent="0.3">
      <c r="AC27" s="119"/>
      <c r="AD27" s="119"/>
      <c r="AE27" s="119"/>
      <c r="AF27" s="119"/>
      <c r="AG27" s="119"/>
      <c r="AH27" s="119"/>
      <c r="AI27" s="119"/>
      <c r="AJ27" s="39" t="str">
        <f>IF(ISBLANK($C$11),"",$C$11)</f>
        <v/>
      </c>
      <c r="AK27" s="39">
        <f t="shared" si="46"/>
        <v>0</v>
      </c>
      <c r="AL27" s="39">
        <f t="shared" si="47"/>
        <v>0</v>
      </c>
      <c r="AM27" s="39">
        <f t="shared" si="48"/>
        <v>0</v>
      </c>
      <c r="AN27" s="39">
        <f t="shared" si="49"/>
        <v>0</v>
      </c>
      <c r="AO27" s="39">
        <f t="shared" si="50"/>
        <v>0</v>
      </c>
      <c r="AP27" s="39">
        <f t="shared" si="51"/>
        <v>0</v>
      </c>
      <c r="AQ27" s="39">
        <f t="shared" si="52"/>
        <v>0</v>
      </c>
      <c r="AR27" s="39">
        <f t="shared" si="53"/>
        <v>0</v>
      </c>
      <c r="AT27" s="304" cm="1">
        <f t="array" ref="AT27">_xlfn.IFS($AT$4=1,BO22,$AT$4=2,BO23,$AT$4=3,BO24,$AT$4=4,BO25,$AT$4=5,BO26)</f>
        <v>2.0000000000000001E-4</v>
      </c>
      <c r="AU27" s="304" cm="1">
        <f t="array" ref="AU27">_xlfn.IFS($AT$4=1,BP22,$AT$4=2,BP23,$AT$4=3,BP24,$AT$4=4,BP25,$AT$4=5,BP26)</f>
        <v>2E-3</v>
      </c>
      <c r="AV27" s="8" t="str">
        <f>IF(AU27&lt;&gt;"","/ "&amp;AU27&amp;WB_Data!EJ2,"")</f>
        <v>/ 0.002$</v>
      </c>
      <c r="AW27" s="303" cm="1">
        <f t="array" ref="AW27">_xlfn.IFS($AT$4=1,BQ22,$AT$4=2,BQ23,$AT$4=3,BQ24,$AT$4=4,BQ25,$AT$4=5,BQ26)</f>
        <v>0</v>
      </c>
      <c r="AX27" s="85" t="str">
        <f>IF(AW27="","","Extra")</f>
        <v>Extra</v>
      </c>
      <c r="CX27" s="188" t="str">
        <f ca="1">IF(CY27&lt;&gt;"",CW1,"")</f>
        <v/>
      </c>
      <c r="CY27" t="str">
        <f ca="1">E19</f>
        <v/>
      </c>
      <c r="CZ27" s="9"/>
      <c r="DA27" s="9" t="s">
        <v>14</v>
      </c>
      <c r="DB27" s="9">
        <f>IFERROR(IF(AT4&gt;2,CS6+CS10,0),0)</f>
        <v>0</v>
      </c>
      <c r="DL27" s="103" t="str">
        <f t="shared" si="54"/>
        <v/>
      </c>
      <c r="DM27" s="157" t="str">
        <f t="shared" si="55"/>
        <v/>
      </c>
      <c r="DN27" s="9" t="str">
        <f t="shared" si="56"/>
        <v/>
      </c>
      <c r="DO27" s="90" t="str">
        <f t="shared" si="57"/>
        <v/>
      </c>
      <c r="DP27" s="103" t="str">
        <f t="shared" si="58"/>
        <v/>
      </c>
      <c r="DQ27" s="157" t="str">
        <f t="shared" si="58"/>
        <v/>
      </c>
      <c r="DR27" s="129" t="e">
        <f t="shared" si="59"/>
        <v>#N/A</v>
      </c>
      <c r="DS27" s="163" t="e" cm="1">
        <f t="array" ref="DS27">IFERROR(_xlfn.IFS(DN27="",NA(),DP27=0,0,DP27&lt;&gt;"",DP27),NA())</f>
        <v>#N/A</v>
      </c>
      <c r="DT27" s="160" t="e">
        <f t="shared" si="60"/>
        <v>#N/A</v>
      </c>
      <c r="DU27" s="11" t="e">
        <f t="shared" si="61"/>
        <v>#N/A</v>
      </c>
      <c r="DV27" s="11" t="e">
        <f t="shared" si="62"/>
        <v>#N/A</v>
      </c>
      <c r="DW27" s="129" t="str" cm="1">
        <f t="array" ref="DW27">IFERROR(_xlfn.IFS(DT27=0,"",$DO$19=1,TEXT(DS27, "0.00%"),$DO$19=2,TEXT(DS27, "0.00%"),$DO$19=3,TEXT(DS27,"0.00"&amp;WB_Data!$EJ$2),$DO$19=4,TEXT(DS27,"0.00"&amp;WB_Data!$EJ$2)),"")</f>
        <v/>
      </c>
      <c r="DX27" s="11" t="str" cm="1">
        <f t="array" ref="DX27">IFERROR(_xlfn.IFS(DT27=0,"",$DO$19=1,TEXT(DU27, "0.00%"),$DO$19=2,TEXT(DU27, "0.00%"),$DO$19=3,TEXT(DU27,"0.00"&amp;WB_Data!$EJ$2),$DO$19=4,TEXT(DU27,"0.00"&amp;WB_Data!$EJ$2)),"")</f>
        <v/>
      </c>
      <c r="EK27" s="5"/>
      <c r="EL27" s="170">
        <f ca="1">IFERROR(GETPIVOTDATA("[Measures].["&amp;A_Budget2!$BC$7&amp;"]",A_Budget2!$BA$7,"[DataBudget2].[Cat_3]","[DataBudget2].[Cat_3].&amp;["&amp;ControlChart_Budget2!$ER$17&amp;"]","[DataBudget2].[Mois (Month)]","[DataBudget2].[Mois (Month)].&amp;["&amp;EV27&amp;"]","[DataBudget2].[Mois (Year)]","[DataBudget2].[Mois (Year)].&amp;["&amp;$EL$17&amp;"]"),0)</f>
        <v>0</v>
      </c>
      <c r="EM27" s="165">
        <f ca="1">IFERROR(IF($EN$17=1,0,GETPIVOTDATA("[Measures].["&amp;A_Budget2!$BC$7&amp;"]",A_Budget2!$BA$7,"[DataBudget2].[Cat_3]","[DataBudget2].[Cat_3].&amp;["&amp;ControlChart_Budget2!$ER$17&amp;"]","[DataBudget2].[Mois (Month)]","[DataBudget2].[Mois (Month)].&amp;["&amp;EV27&amp;"]","[DataBudget2].[Mois (Year)]","[DataBudget2].[Mois (Year)].&amp;["&amp;$EM$17&amp;"]")),0)</f>
        <v>0</v>
      </c>
      <c r="EN27" s="139">
        <f ca="1">IFERROR(GETPIVOTDATA("[Measures].["&amp;A_Budget2!$BD$7&amp;"]",A_Budget2!$BA$7,"[DataBudget2].[Cat_3]","[DataBudget2].[Cat_3].&amp;["&amp;ControlChart_Budget2!$ER$17&amp;"]","[DataBudget2].[Mois (Month)]","[DataBudget2].[Mois (Month)].&amp;["&amp;EV27&amp;"]","[DataBudget2].[Mois (Year)]","[DataBudget2].[Mois (Year)].&amp;["&amp;$EL$17&amp;"]"),0)</f>
        <v>0</v>
      </c>
      <c r="EO27" s="139">
        <f ca="1">IFERROR(IF($EN$17=1,0,GETPIVOTDATA("[Measures].["&amp;A_Budget2!$BD$7&amp;"]",A_Budget2!$BA$7,"[DataBudget2].[Cat_3]","[DataBudget2].[Cat_3].&amp;["&amp;ControlChart_Budget2!$ER$17&amp;"]","[DataBudget2].[Mois (Month)]","[DataBudget2].[Mois (Month)].&amp;["&amp;EV27&amp;"]","[DataBudget2].[Mois (Year)]","[DataBudget2].[Mois (Year)].&amp;["&amp;$EM$17&amp;"]")),0)</f>
        <v>0</v>
      </c>
      <c r="EP27" s="167">
        <f ca="1">IFERROR(GETPIVOTDATA("[Measures].["&amp;A_Budget2!$BE$7&amp;"]",A_Budget2!$BA$7,"[DataBudget2].[Cat_3]","[DataBudget2].[Cat_3].&amp;["&amp;ControlChart_Budget2!$ER$17&amp;"]","[DataBudget2].[Mois (Month)]","[DataBudget2].[Mois (Month)].&amp;["&amp;EV27&amp;"]","[DataBudget2].[Mois (Year)]","[DataBudget2].[Mois (Year)].&amp;["&amp;$EL$17&amp;"]"),0)</f>
        <v>0</v>
      </c>
      <c r="EQ27" s="167">
        <f ca="1">IFERROR(IF($EN$17=1,0,GETPIVOTDATA("[Measures].["&amp;A_Budget2!$BE$7&amp;"]",A_Budget2!$BA$7,"[DataBudget2].[Cat_3]","[DataBudget2].[Cat_3].&amp;["&amp;ControlChart_Budget2!$ER$17&amp;"]","[DataBudget2].[Mois (Month)]","[DataBudget2].[Mois (Month)].&amp;["&amp;EV27&amp;"]","[DataBudget2].[Mois (Year)]","[DataBudget2].[Mois (Year)].&amp;["&amp;$EM$17&amp;"]")),0)</f>
        <v>0</v>
      </c>
      <c r="ER27" s="9" t="str">
        <f>IFERROR(IF(A_Budget2!BB18=0,"",A_Budget2!BB18),"")</f>
        <v/>
      </c>
      <c r="ES27" s="312">
        <f t="shared" ca="1" si="42"/>
        <v>0</v>
      </c>
      <c r="ET27" s="313">
        <f t="shared" ca="1" si="43"/>
        <v>0</v>
      </c>
      <c r="EU27" s="314">
        <f t="shared" ca="1" si="44"/>
        <v>0</v>
      </c>
      <c r="EV27" t="str">
        <f ca="1">IFERROR(VLOOKUP(ER27,Library!$R$18:$S$29,2,FALSE),Library!S27)</f>
        <v>oct</v>
      </c>
    </row>
    <row r="28" spans="3:173" x14ac:dyDescent="0.25">
      <c r="AC28" s="119"/>
      <c r="AD28" s="119"/>
      <c r="AE28" s="119"/>
      <c r="AF28" s="119"/>
      <c r="AG28" s="119"/>
      <c r="AH28" s="119"/>
      <c r="AI28" s="119"/>
      <c r="AJ28" s="39" t="str">
        <f>IF(ISBLANK($C$12),"",$C$12)</f>
        <v/>
      </c>
      <c r="AK28" s="39">
        <f t="shared" si="46"/>
        <v>0</v>
      </c>
      <c r="AL28" s="39">
        <f t="shared" si="47"/>
        <v>0</v>
      </c>
      <c r="AM28" s="39">
        <f t="shared" si="48"/>
        <v>0</v>
      </c>
      <c r="AN28" s="39">
        <f t="shared" si="49"/>
        <v>0</v>
      </c>
      <c r="AO28" s="39">
        <f t="shared" si="50"/>
        <v>0</v>
      </c>
      <c r="AP28" s="39">
        <f t="shared" si="51"/>
        <v>0</v>
      </c>
      <c r="AQ28" s="39">
        <f t="shared" si="52"/>
        <v>0</v>
      </c>
      <c r="AR28" s="39">
        <f t="shared" si="53"/>
        <v>0</v>
      </c>
      <c r="CY28" s="126" t="str">
        <f>IF(CY31&lt;&gt;"",DB31,"")</f>
        <v/>
      </c>
      <c r="CZ28" s="9"/>
      <c r="DA28" s="9" t="s">
        <v>168</v>
      </c>
      <c r="DB28" s="9">
        <f>IF(DB27&lt;0,ABS(DB27),0)</f>
        <v>0</v>
      </c>
      <c r="DL28" s="103" t="str">
        <f t="shared" si="54"/>
        <v/>
      </c>
      <c r="DM28" s="157" t="str">
        <f t="shared" si="55"/>
        <v/>
      </c>
      <c r="DN28" s="9" t="str">
        <f t="shared" si="56"/>
        <v/>
      </c>
      <c r="DO28" s="90" t="str">
        <f t="shared" si="57"/>
        <v/>
      </c>
      <c r="DP28" s="103" t="str">
        <f t="shared" si="58"/>
        <v/>
      </c>
      <c r="DQ28" s="157" t="str">
        <f t="shared" si="58"/>
        <v/>
      </c>
      <c r="DR28" s="129" t="e">
        <f t="shared" si="59"/>
        <v>#N/A</v>
      </c>
      <c r="DS28" s="163" t="e" cm="1">
        <f t="array" ref="DS28">IFERROR(_xlfn.IFS(DN28="",NA(),DP28=0,0,DP28&lt;&gt;"",DP28),NA())</f>
        <v>#N/A</v>
      </c>
      <c r="DT28" s="160" t="e">
        <f t="shared" si="60"/>
        <v>#N/A</v>
      </c>
      <c r="DU28" s="11" t="e">
        <f t="shared" si="61"/>
        <v>#N/A</v>
      </c>
      <c r="DV28" s="11" t="e">
        <f t="shared" si="62"/>
        <v>#N/A</v>
      </c>
      <c r="DW28" s="129" t="str" cm="1">
        <f t="array" ref="DW28">IFERROR(_xlfn.IFS(DT28=0,"",$DO$19=1,TEXT(DS28, "0.00%"),$DO$19=2,TEXT(DS28, "0.00%"),$DO$19=3,TEXT(DS28,"0.00"&amp;WB_Data!$EJ$2),$DO$19=4,TEXT(DS28,"0.00"&amp;WB_Data!$EJ$2)),"")</f>
        <v/>
      </c>
      <c r="DX28" s="11" t="str" cm="1">
        <f t="array" ref="DX28">IFERROR(_xlfn.IFS(DT28=0,"",$DO$19=1,TEXT(DU28, "0.00%"),$DO$19=2,TEXT(DU28, "0.00%"),$DO$19=3,TEXT(DU28,"0.00"&amp;WB_Data!$EJ$2),$DO$19=4,TEXT(DU28,"0.00"&amp;WB_Data!$EJ$2)),"")</f>
        <v/>
      </c>
      <c r="EK28" s="5"/>
      <c r="EL28" s="170">
        <f ca="1">IFERROR(GETPIVOTDATA("[Measures].["&amp;A_Budget2!$BC$7&amp;"]",A_Budget2!$BA$7,"[DataBudget2].[Cat_3]","[DataBudget2].[Cat_3].&amp;["&amp;ControlChart_Budget2!$ER$17&amp;"]","[DataBudget2].[Mois (Month)]","[DataBudget2].[Mois (Month)].&amp;["&amp;EV28&amp;"]","[DataBudget2].[Mois (Year)]","[DataBudget2].[Mois (Year)].&amp;["&amp;$EL$17&amp;"]"),0)</f>
        <v>0</v>
      </c>
      <c r="EM28" s="165">
        <f ca="1">IFERROR(IF($EN$17=1,0,GETPIVOTDATA("[Measures].["&amp;A_Budget2!$BC$7&amp;"]",A_Budget2!$BA$7,"[DataBudget2].[Cat_3]","[DataBudget2].[Cat_3].&amp;["&amp;ControlChart_Budget2!$ER$17&amp;"]","[DataBudget2].[Mois (Month)]","[DataBudget2].[Mois (Month)].&amp;["&amp;EV28&amp;"]","[DataBudget2].[Mois (Year)]","[DataBudget2].[Mois (Year)].&amp;["&amp;$EM$17&amp;"]")),0)</f>
        <v>0</v>
      </c>
      <c r="EN28" s="139">
        <f ca="1">IFERROR(GETPIVOTDATA("[Measures].["&amp;A_Budget2!$BD$7&amp;"]",A_Budget2!$BA$7,"[DataBudget2].[Cat_3]","[DataBudget2].[Cat_3].&amp;["&amp;ControlChart_Budget2!$ER$17&amp;"]","[DataBudget2].[Mois (Month)]","[DataBudget2].[Mois (Month)].&amp;["&amp;EV28&amp;"]","[DataBudget2].[Mois (Year)]","[DataBudget2].[Mois (Year)].&amp;["&amp;$EL$17&amp;"]"),0)</f>
        <v>0</v>
      </c>
      <c r="EO28" s="139">
        <f ca="1">IFERROR(IF($EN$17=1,0,GETPIVOTDATA("[Measures].["&amp;A_Budget2!$BD$7&amp;"]",A_Budget2!$BA$7,"[DataBudget2].[Cat_3]","[DataBudget2].[Cat_3].&amp;["&amp;ControlChart_Budget2!$ER$17&amp;"]","[DataBudget2].[Mois (Month)]","[DataBudget2].[Mois (Month)].&amp;["&amp;EV28&amp;"]","[DataBudget2].[Mois (Year)]","[DataBudget2].[Mois (Year)].&amp;["&amp;$EM$17&amp;"]")),0)</f>
        <v>0</v>
      </c>
      <c r="EP28" s="167">
        <f ca="1">IFERROR(GETPIVOTDATA("[Measures].["&amp;A_Budget2!$BE$7&amp;"]",A_Budget2!$BA$7,"[DataBudget2].[Cat_3]","[DataBudget2].[Cat_3].&amp;["&amp;ControlChart_Budget2!$ER$17&amp;"]","[DataBudget2].[Mois (Month)]","[DataBudget2].[Mois (Month)].&amp;["&amp;EV28&amp;"]","[DataBudget2].[Mois (Year)]","[DataBudget2].[Mois (Year)].&amp;["&amp;$EL$17&amp;"]"),0)</f>
        <v>0</v>
      </c>
      <c r="EQ28" s="167">
        <f ca="1">IFERROR(IF($EN$17=1,0,GETPIVOTDATA("[Measures].["&amp;A_Budget2!$BE$7&amp;"]",A_Budget2!$BA$7,"[DataBudget2].[Cat_3]","[DataBudget2].[Cat_3].&amp;["&amp;ControlChart_Budget2!$ER$17&amp;"]","[DataBudget2].[Mois (Month)]","[DataBudget2].[Mois (Month)].&amp;["&amp;EV28&amp;"]","[DataBudget2].[Mois (Year)]","[DataBudget2].[Mois (Year)].&amp;["&amp;$EM$17&amp;"]")),0)</f>
        <v>0</v>
      </c>
      <c r="ER28" s="9" t="str">
        <f>IFERROR(IF(A_Budget2!BB19=0,"",A_Budget2!BB19),"")</f>
        <v/>
      </c>
      <c r="ES28" s="312">
        <f t="shared" ca="1" si="42"/>
        <v>0</v>
      </c>
      <c r="ET28" s="313">
        <f t="shared" ca="1" si="43"/>
        <v>0</v>
      </c>
      <c r="EU28" s="314">
        <f t="shared" ca="1" si="44"/>
        <v>0</v>
      </c>
      <c r="EV28" t="str">
        <f ca="1">IFERROR(VLOOKUP(ER28,Library!$R$18:$S$29,2,FALSE),Library!S28)</f>
        <v>nov</v>
      </c>
    </row>
    <row r="29" spans="3:173" x14ac:dyDescent="0.25">
      <c r="AC29" s="119"/>
      <c r="AD29" s="119"/>
      <c r="AE29" s="119"/>
      <c r="AF29" s="119"/>
      <c r="AG29" s="119"/>
      <c r="AH29" s="119"/>
      <c r="AI29" s="119"/>
      <c r="AJ29" s="39" t="str">
        <f>IF(ISBLANK($C$13),"",$C$13)</f>
        <v/>
      </c>
      <c r="AK29" s="39">
        <f t="shared" si="46"/>
        <v>0</v>
      </c>
      <c r="AL29" s="39">
        <f t="shared" si="47"/>
        <v>0</v>
      </c>
      <c r="AM29" s="39">
        <f t="shared" si="48"/>
        <v>0</v>
      </c>
      <c r="AN29" s="39">
        <f t="shared" si="49"/>
        <v>0</v>
      </c>
      <c r="AO29" s="39">
        <f t="shared" si="50"/>
        <v>0</v>
      </c>
      <c r="AP29" s="39">
        <f t="shared" si="51"/>
        <v>0</v>
      </c>
      <c r="AQ29" s="39">
        <f t="shared" si="52"/>
        <v>0</v>
      </c>
      <c r="AR29" s="39">
        <f t="shared" si="53"/>
        <v>0</v>
      </c>
      <c r="CY29" s="9" t="str">
        <f>IF(DB31&gt;1,CY36,IF(AND($AT$4&gt;2,CY31&lt;&gt;""),CY36,""))</f>
        <v/>
      </c>
      <c r="CZ29" s="9"/>
      <c r="DA29" s="9" t="s">
        <v>167</v>
      </c>
      <c r="DB29" s="9">
        <f>IF(DB27&gt;0,DB27,0)</f>
        <v>0</v>
      </c>
      <c r="DL29" s="103" t="str">
        <f t="shared" si="54"/>
        <v/>
      </c>
      <c r="DM29" s="157" t="str">
        <f t="shared" si="55"/>
        <v/>
      </c>
      <c r="DN29" s="9" t="str">
        <f t="shared" si="56"/>
        <v/>
      </c>
      <c r="DO29" s="90" t="str">
        <f t="shared" si="57"/>
        <v/>
      </c>
      <c r="DP29" s="103" t="str">
        <f t="shared" si="58"/>
        <v/>
      </c>
      <c r="DQ29" s="157" t="str">
        <f t="shared" si="58"/>
        <v/>
      </c>
      <c r="DR29" s="129" t="e">
        <f t="shared" si="59"/>
        <v>#N/A</v>
      </c>
      <c r="DS29" s="163" t="e" cm="1">
        <f t="array" ref="DS29">IFERROR(_xlfn.IFS(DN29="",NA(),DP29=0,0,DP29&lt;&gt;"",DP29),NA())</f>
        <v>#N/A</v>
      </c>
      <c r="DT29" s="160" t="e">
        <f t="shared" si="60"/>
        <v>#N/A</v>
      </c>
      <c r="DU29" s="11" t="e">
        <f t="shared" si="61"/>
        <v>#N/A</v>
      </c>
      <c r="DV29" s="11" t="e">
        <f t="shared" si="62"/>
        <v>#N/A</v>
      </c>
      <c r="DW29" s="129" t="str" cm="1">
        <f t="array" ref="DW29">IFERROR(_xlfn.IFS(DT29=0,"",$DO$19=1,TEXT(DS29, "0.00%"),$DO$19=2,TEXT(DS29, "0.00%"),$DO$19=3,TEXT(DS29,"0.00"&amp;WB_Data!$EJ$2),$DO$19=4,TEXT(DS29,"0.00"&amp;WB_Data!$EJ$2)),"")</f>
        <v/>
      </c>
      <c r="DX29" s="11" t="str" cm="1">
        <f t="array" ref="DX29">IFERROR(_xlfn.IFS(DT29=0,"",$DO$19=1,TEXT(DU29, "0.00%"),$DO$19=2,TEXT(DU29, "0.00%"),$DO$19=3,TEXT(DU29,"0.00"&amp;WB_Data!$EJ$2),$DO$19=4,TEXT(DU29,"0.00"&amp;WB_Data!$EJ$2)),"")</f>
        <v/>
      </c>
      <c r="EK29" s="5"/>
      <c r="EL29" s="170">
        <f ca="1">IFERROR(GETPIVOTDATA("[Measures].["&amp;A_Budget2!$BC$7&amp;"]",A_Budget2!$BA$7,"[DataBudget2].[Cat_3]","[DataBudget2].[Cat_3].&amp;["&amp;ControlChart_Budget2!$ER$17&amp;"]","[DataBudget2].[Mois (Month)]","[DataBudget2].[Mois (Month)].&amp;["&amp;EV29&amp;"]","[DataBudget2].[Mois (Year)]","[DataBudget2].[Mois (Year)].&amp;["&amp;$EL$17&amp;"]"),0)</f>
        <v>0</v>
      </c>
      <c r="EM29" s="165">
        <f ca="1">IFERROR(IF($EN$17=1,0,GETPIVOTDATA("[Measures].["&amp;A_Budget2!$BC$7&amp;"]",A_Budget2!$BA$7,"[DataBudget2].[Cat_3]","[DataBudget2].[Cat_3].&amp;["&amp;ControlChart_Budget2!$ER$17&amp;"]","[DataBudget2].[Mois (Month)]","[DataBudget2].[Mois (Month)].&amp;["&amp;EV29&amp;"]","[DataBudget2].[Mois (Year)]","[DataBudget2].[Mois (Year)].&amp;["&amp;$EM$17&amp;"]")),0)</f>
        <v>0</v>
      </c>
      <c r="EN29" s="139">
        <f ca="1">IFERROR(GETPIVOTDATA("[Measures].["&amp;A_Budget2!$BD$7&amp;"]",A_Budget2!$BA$7,"[DataBudget2].[Cat_3]","[DataBudget2].[Cat_3].&amp;["&amp;ControlChart_Budget2!$ER$17&amp;"]","[DataBudget2].[Mois (Month)]","[DataBudget2].[Mois (Month)].&amp;["&amp;EV29&amp;"]","[DataBudget2].[Mois (Year)]","[DataBudget2].[Mois (Year)].&amp;["&amp;$EL$17&amp;"]"),0)</f>
        <v>0</v>
      </c>
      <c r="EO29" s="139">
        <f ca="1">IFERROR(IF($EN$17=1,0,GETPIVOTDATA("[Measures].["&amp;A_Budget2!$BD$7&amp;"]",A_Budget2!$BA$7,"[DataBudget2].[Cat_3]","[DataBudget2].[Cat_3].&amp;["&amp;ControlChart_Budget2!$ER$17&amp;"]","[DataBudget2].[Mois (Month)]","[DataBudget2].[Mois (Month)].&amp;["&amp;EV29&amp;"]","[DataBudget2].[Mois (Year)]","[DataBudget2].[Mois (Year)].&amp;["&amp;$EM$17&amp;"]")),0)</f>
        <v>0</v>
      </c>
      <c r="EP29" s="167">
        <f ca="1">IFERROR(GETPIVOTDATA("[Measures].["&amp;A_Budget2!$BE$7&amp;"]",A_Budget2!$BA$7,"[DataBudget2].[Cat_3]","[DataBudget2].[Cat_3].&amp;["&amp;ControlChart_Budget2!$ER$17&amp;"]","[DataBudget2].[Mois (Month)]","[DataBudget2].[Mois (Month)].&amp;["&amp;EV29&amp;"]","[DataBudget2].[Mois (Year)]","[DataBudget2].[Mois (Year)].&amp;["&amp;$EL$17&amp;"]"),0)</f>
        <v>0</v>
      </c>
      <c r="EQ29" s="167">
        <f ca="1">IFERROR(IF($EN$17=1,0,GETPIVOTDATA("[Measures].["&amp;A_Budget2!$BE$7&amp;"]",A_Budget2!$BA$7,"[DataBudget2].[Cat_3]","[DataBudget2].[Cat_3].&amp;["&amp;ControlChart_Budget2!$ER$17&amp;"]","[DataBudget2].[Mois (Month)]","[DataBudget2].[Mois (Month)].&amp;["&amp;EV29&amp;"]","[DataBudget2].[Mois (Year)]","[DataBudget2].[Mois (Year)].&amp;["&amp;$EM$17&amp;"]")),0)</f>
        <v>0</v>
      </c>
      <c r="ER29" s="9" t="str">
        <f>IFERROR(IF(A_Budget2!BB20=0,"",A_Budget2!BB20),"")</f>
        <v/>
      </c>
      <c r="ES29" s="312">
        <f t="shared" ca="1" si="42"/>
        <v>0</v>
      </c>
      <c r="ET29" s="313">
        <f t="shared" ca="1" si="43"/>
        <v>0</v>
      </c>
      <c r="EU29" s="314">
        <f t="shared" ca="1" si="44"/>
        <v>0</v>
      </c>
      <c r="EV29" t="str">
        <f ca="1">IFERROR(VLOOKUP(ER29,Library!$R$18:$S$29,2,FALSE),Library!S29)</f>
        <v>déc</v>
      </c>
    </row>
    <row r="30" spans="3:173" x14ac:dyDescent="0.25">
      <c r="AC30" s="119"/>
      <c r="AD30" s="119"/>
      <c r="AE30" s="119"/>
      <c r="AF30" s="119"/>
      <c r="AG30" s="119"/>
      <c r="AH30" s="119"/>
      <c r="AI30" s="119"/>
      <c r="AJ30" s="39" t="str">
        <f>IF(ISBLANK($C$14),"",$C$14)</f>
        <v/>
      </c>
      <c r="AK30" s="39">
        <f t="shared" si="46"/>
        <v>0</v>
      </c>
      <c r="AL30" s="39">
        <f t="shared" si="47"/>
        <v>0</v>
      </c>
      <c r="AM30" s="39">
        <f t="shared" si="48"/>
        <v>0</v>
      </c>
      <c r="AN30" s="39">
        <f t="shared" si="49"/>
        <v>0</v>
      </c>
      <c r="AO30" s="39">
        <f t="shared" si="50"/>
        <v>0</v>
      </c>
      <c r="AP30" s="39">
        <f t="shared" si="51"/>
        <v>0</v>
      </c>
      <c r="AQ30" s="39">
        <f t="shared" si="52"/>
        <v>0</v>
      </c>
      <c r="AR30" s="39">
        <f t="shared" si="53"/>
        <v>0</v>
      </c>
      <c r="AT30" s="8">
        <f>AT2</f>
        <v>20</v>
      </c>
      <c r="AU30" s="8" t="str">
        <f>CONCATENATE("G17:G"&amp;AT30)</f>
        <v>G17:G20</v>
      </c>
      <c r="AV30" s="9" t="str">
        <f>CONCATENATE("H17:H"&amp;AT30)</f>
        <v>H17:H20</v>
      </c>
      <c r="AW30" s="8" t="str">
        <f>CONCATENATE("I17:I"&amp;AT30)</f>
        <v>I17:I20</v>
      </c>
      <c r="AX30" s="127" t="s">
        <v>105</v>
      </c>
      <c r="AY30" s="129" t="s">
        <v>14</v>
      </c>
      <c r="AZ30" s="9" t="s">
        <v>153</v>
      </c>
      <c r="BA30" s="10" t="s">
        <v>152</v>
      </c>
      <c r="BB30" s="9" t="s">
        <v>154</v>
      </c>
      <c r="BC30" s="133" t="s">
        <v>155</v>
      </c>
      <c r="BD30" s="130" t="s">
        <v>156</v>
      </c>
      <c r="BE30" s="130" t="s">
        <v>151</v>
      </c>
      <c r="BF30" s="130" t="s">
        <v>151</v>
      </c>
      <c r="BG30" s="9" t="s">
        <v>147</v>
      </c>
      <c r="BH30" s="9" t="s">
        <v>148</v>
      </c>
      <c r="BI30" s="9" t="s">
        <v>149</v>
      </c>
      <c r="BJ30" s="130" t="s">
        <v>159</v>
      </c>
      <c r="BK30" s="130" t="s">
        <v>158</v>
      </c>
      <c r="BL30" s="127" t="s">
        <v>157</v>
      </c>
      <c r="BM30" s="132" t="s">
        <v>150</v>
      </c>
      <c r="CY30" s="9" t="s">
        <v>14</v>
      </c>
      <c r="CZ30" s="9" cm="1">
        <f t="array" ref="CZ30">IFERROR(_xlfn.IFS(DB29&gt;0,0%,(DB28/CZ31)&gt;1.4,1.4,DB28&gt;=0,(DB28/CZ31)),0)</f>
        <v>0</v>
      </c>
      <c r="DA30" s="9"/>
      <c r="DB30" s="9" t="s">
        <v>169</v>
      </c>
      <c r="DL30" s="103" t="str">
        <f t="shared" si="54"/>
        <v/>
      </c>
      <c r="DM30" s="157" t="str">
        <f t="shared" si="55"/>
        <v/>
      </c>
      <c r="DN30" s="9" t="str">
        <f t="shared" si="56"/>
        <v/>
      </c>
      <c r="DO30" s="90" t="str">
        <f t="shared" si="57"/>
        <v/>
      </c>
      <c r="DP30" s="103" t="str">
        <f t="shared" si="58"/>
        <v/>
      </c>
      <c r="DQ30" s="157" t="str">
        <f t="shared" si="58"/>
        <v/>
      </c>
      <c r="DR30" s="129" t="e">
        <f t="shared" si="59"/>
        <v>#N/A</v>
      </c>
      <c r="DS30" s="163" t="e" cm="1">
        <f t="array" ref="DS30">IFERROR(_xlfn.IFS(DN30="",NA(),DP30=0,0,DP30&lt;&gt;"",DP30),NA())</f>
        <v>#N/A</v>
      </c>
      <c r="DT30" s="160" t="e">
        <f t="shared" si="60"/>
        <v>#N/A</v>
      </c>
      <c r="DU30" s="11" t="e">
        <f t="shared" si="61"/>
        <v>#N/A</v>
      </c>
      <c r="DV30" s="11" t="e">
        <f t="shared" si="62"/>
        <v>#N/A</v>
      </c>
      <c r="DW30" s="129" t="str" cm="1">
        <f t="array" ref="DW30">IFERROR(_xlfn.IFS(DT30=0,"",$DO$19=1,TEXT(DS30, "0.00%"),$DO$19=2,TEXT(DS30, "0.00%"),$DO$19=3,TEXT(DS30,"0.00"&amp;WB_Data!$EJ$2),$DO$19=4,TEXT(DS30,"0.00"&amp;WB_Data!$EJ$2)),"")</f>
        <v/>
      </c>
      <c r="DX30" s="11" t="str" cm="1">
        <f t="array" ref="DX30">IFERROR(_xlfn.IFS(DT30=0,"",$DO$19=1,TEXT(DU30, "0.00%"),$DO$19=2,TEXT(DU30, "0.00%"),$DO$19=3,TEXT(DU30,"0.00"&amp;WB_Data!$EJ$2),$DO$19=4,TEXT(DU30,"0.00"&amp;WB_Data!$EJ$2)),"")</f>
        <v/>
      </c>
      <c r="EK30" s="5"/>
      <c r="EL30" s="144"/>
      <c r="EM30" s="9"/>
      <c r="EN30" s="9"/>
      <c r="EO30" s="9"/>
      <c r="EP30" s="85" cm="1">
        <f t="array" aca="1" ref="EP30" ca="1">SUM(IFERROR(EP18:EP29,0))</f>
        <v>4.0000000000000002E-4</v>
      </c>
      <c r="EQ30" s="85"/>
      <c r="ER30" s="9"/>
      <c r="ES30" s="302">
        <f ca="1">IFERROR(SUM(ES18:ES29)/ES14,"")</f>
        <v>3.3333333333333335E-5</v>
      </c>
      <c r="ET30" s="313">
        <f ca="1">SUM(ET18:ET29)/ET14</f>
        <v>2E-3</v>
      </c>
      <c r="EU30" s="314">
        <f ca="1">SUM(EU18:EU29)/ET14</f>
        <v>2E-3</v>
      </c>
    </row>
    <row r="31" spans="3:173" x14ac:dyDescent="0.25">
      <c r="AC31" s="119"/>
      <c r="AD31" s="119"/>
      <c r="AE31" s="119"/>
      <c r="AF31" s="119"/>
      <c r="AG31" s="119"/>
      <c r="AH31" s="119"/>
      <c r="AI31" s="119"/>
      <c r="AJ31" s="39"/>
      <c r="AK31" s="39">
        <f t="shared" ref="AK31:AQ31" si="63">SUM(AK20:AK30)</f>
        <v>7.1999999999999998E-3</v>
      </c>
      <c r="AL31" s="39">
        <f t="shared" si="63"/>
        <v>7.1999999999999998E-3</v>
      </c>
      <c r="AM31" s="39">
        <f t="shared" si="63"/>
        <v>7.1999999999999998E-3</v>
      </c>
      <c r="AN31" s="39">
        <f t="shared" si="63"/>
        <v>7.1999999999999998E-3</v>
      </c>
      <c r="AO31" s="39">
        <f t="shared" si="63"/>
        <v>7.1999999999999998E-3</v>
      </c>
      <c r="AP31" s="39">
        <f t="shared" si="63"/>
        <v>7.1999999999999998E-3</v>
      </c>
      <c r="AQ31" s="39">
        <f t="shared" si="63"/>
        <v>1.8E-3</v>
      </c>
      <c r="AR31" s="39">
        <f t="shared" si="53"/>
        <v>0</v>
      </c>
      <c r="AT31" s="9" t="str">
        <f>AN3</f>
        <v>Category4</v>
      </c>
      <c r="AU31" s="9" cm="1">
        <f t="array" aca="1" ref="AU31:AU34" ca="1">INDIRECT(AU30)</f>
        <v>11</v>
      </c>
      <c r="AV31" s="9" cm="1">
        <f t="array" aca="1" ref="AV31:AV34" ca="1">INDIRECT(AV30)</f>
        <v>2025</v>
      </c>
      <c r="AW31" s="9" t="str" cm="1">
        <f t="array" aca="1" ref="AW31:AW34" ca="1">INDIRECT(AW30)</f>
        <v>Qtr1</v>
      </c>
      <c r="AX31" s="127">
        <f>P17</f>
        <v>2E-3</v>
      </c>
      <c r="AY31" s="129">
        <f>ABS(AN2)</f>
        <v>2.0000000000000001E-4</v>
      </c>
      <c r="AZ31" s="9"/>
      <c r="BA31" s="10">
        <f>IFERROR(AY31+AZ31,NA())</f>
        <v>2.0000000000000001E-4</v>
      </c>
      <c r="BB31" s="9"/>
      <c r="BC31" s="133">
        <f>IF(BB31-BA31&lt;0,0,BB31-BA31)</f>
        <v>0</v>
      </c>
      <c r="BD31" s="130">
        <f>BC31+AX31</f>
        <v>2E-3</v>
      </c>
      <c r="BE31" s="130">
        <f>IF(BD31-BA31&lt;0,0,BD31-BA31)</f>
        <v>1.8E-3</v>
      </c>
      <c r="BF31" s="131">
        <f>BE31/BD31</f>
        <v>0.89999999999999991</v>
      </c>
      <c r="BG31" s="126">
        <f>IFERROR((0.1*BD31)/BD31,NA())</f>
        <v>0.1</v>
      </c>
      <c r="BH31" s="126">
        <f>IFERROR((0.1*BD31)/BD31,NA())</f>
        <v>0.1</v>
      </c>
      <c r="BI31" s="126">
        <f>IFERROR((0.2*BD31)/BD31,NA())</f>
        <v>0.2</v>
      </c>
      <c r="BJ31" s="131">
        <f>IFERROR(IF($AT$4&gt;1,0,BF31),NA())</f>
        <v>0.89999999999999991</v>
      </c>
      <c r="BK31" s="131">
        <f>IFERROR(IF($AT$4&gt;1,BF31,0),NA())</f>
        <v>0</v>
      </c>
      <c r="BL31" s="128">
        <f>IF(BK31&gt;0,0,BC31/AX31)</f>
        <v>0</v>
      </c>
      <c r="BM31" s="135">
        <f>IF((BD31-BE31)=0,0,(BD31-BE31)/BD31)</f>
        <v>0.10000000000000005</v>
      </c>
      <c r="BN31" s="126">
        <f>IFERROR(BF31,"")</f>
        <v>0.89999999999999991</v>
      </c>
      <c r="BO31" s="8">
        <f>IFERROR(BA31,"")</f>
        <v>2.0000000000000001E-4</v>
      </c>
      <c r="BP31" s="8">
        <f>IFERROR(AX31,"")</f>
        <v>2E-3</v>
      </c>
      <c r="BQ31" s="117"/>
      <c r="CY31" s="9" t="str">
        <f>F19</f>
        <v/>
      </c>
      <c r="CZ31" s="9">
        <f>CT17</f>
        <v>0</v>
      </c>
      <c r="DA31" s="126">
        <v>0</v>
      </c>
      <c r="DB31" s="126">
        <f>CZ30</f>
        <v>0</v>
      </c>
      <c r="DL31" s="103" t="str">
        <f t="shared" si="54"/>
        <v/>
      </c>
      <c r="DM31" s="157" t="str">
        <f t="shared" si="55"/>
        <v/>
      </c>
      <c r="DN31" s="9" t="str">
        <f t="shared" si="56"/>
        <v/>
      </c>
      <c r="DO31" s="90" t="str">
        <f t="shared" si="57"/>
        <v/>
      </c>
      <c r="DP31" s="103" t="str">
        <f t="shared" si="58"/>
        <v/>
      </c>
      <c r="DQ31" s="157" t="str">
        <f t="shared" si="58"/>
        <v/>
      </c>
      <c r="DR31" s="129" t="e">
        <f>IFERROR(IF(DP31&lt;=0,DU31+DV31,MAX(CHOOSE($DO$19,$DR$1:$DR$16,$DR$1:$DR$16,$DS$1:$DS$16,$DS$1:$DS$16))*$DO$20-DS31),NA())</f>
        <v>#N/A</v>
      </c>
      <c r="DS31" s="163" t="e" cm="1">
        <f t="array" ref="DS31">IFERROR(_xlfn.IFS(DN31="",NA(),DP31=0,0,DP31&lt;&gt;"",DP31),NA())</f>
        <v>#N/A</v>
      </c>
      <c r="DT31" s="160" t="e">
        <f t="shared" si="60"/>
        <v>#N/A</v>
      </c>
      <c r="DU31" s="11" t="e">
        <f t="shared" si="61"/>
        <v>#N/A</v>
      </c>
      <c r="DV31" s="11" t="e">
        <f t="shared" si="62"/>
        <v>#N/A</v>
      </c>
      <c r="DW31" s="129" t="str" cm="1">
        <f t="array" ref="DW31">IFERROR(_xlfn.IFS(DT31=0,"",$DO$19=1,TEXT(DS31, "0.00%"),$DO$19=2,TEXT(DS31, "0.00%"),$DO$19=3,TEXT(DS31,"0.00"&amp;WB_Data!$EJ$2),$DO$19=4,TEXT(DS31,"0.00"&amp;WB_Data!$EJ$2)),"")</f>
        <v/>
      </c>
      <c r="DX31" s="11" t="str" cm="1">
        <f t="array" ref="DX31">IFERROR(_xlfn.IFS(DT31=0,"",$DO$19=1,TEXT(DU31, "0.00%"),$DO$19=2,TEXT(DU31, "0.00%"),$DO$19=3,TEXT(DU31,"0.00"&amp;WB_Data!$EJ$2),$DO$19=4,TEXT(DU31,"0.00"&amp;WB_Data!$EJ$2)),"")</f>
        <v/>
      </c>
    </row>
    <row r="32" spans="3:173" x14ac:dyDescent="0.25">
      <c r="AC32" s="119"/>
      <c r="AD32" s="119"/>
      <c r="AE32" s="119"/>
      <c r="AF32" s="119"/>
      <c r="AG32" s="119"/>
      <c r="AH32" s="119"/>
      <c r="AI32" s="119"/>
      <c r="AJ32" s="35" t="s">
        <v>162</v>
      </c>
      <c r="AK32" s="35">
        <f>IFERROR(IF($AA4=3,($AR$20/$AJ$3)*$AC$3,($AR$20/$AJ$3)*$AC4*$AC$3),0)</f>
        <v>0</v>
      </c>
      <c r="AL32" s="35">
        <f>IFERROR(IF($AA$5=3,($AR$21/$AJ$3)*$AC$3,($AR$21/$AJ$3)*$AC5*$AC$3),0)</f>
        <v>0</v>
      </c>
      <c r="AM32" s="35">
        <f>IFERROR(IF($AA$6=3,($AR$22/$AJ$3)*$AC$3,($AR$22/$AJ$3)*$AC6*$AC$3),0)</f>
        <v>0</v>
      </c>
      <c r="AN32" s="35">
        <f>IFERROR(IF($AA$7=3,($AR$23/$AJ$3)*$AC$3,($AR$23/$AJ$3)*$AC7*$AC$3),0)</f>
        <v>0</v>
      </c>
      <c r="AO32" s="35">
        <f>IFERROR(IF($AA$8=3,($AR24/$AJ$3)*$AC$3,($AR24/$AJ$3)*$AC$8*$AC$3),0)</f>
        <v>0</v>
      </c>
      <c r="AP32" s="35">
        <f>IFERROR(IF($AA$9=3,($AR25/$AJ$3)*$AC$3,($AR25/$AJ$3)*$AC$9*$AC$3),0)</f>
        <v>0</v>
      </c>
      <c r="AQ32" s="35">
        <f>IFERROR(IF($AA$10=3,($AR$26/$AJ$3)*$AC$3,($AR$26/$AJ$3)*$AC$10*$AC$3),0)</f>
        <v>0</v>
      </c>
      <c r="AR32" s="205">
        <f>SUM(AK32:AQ32)</f>
        <v>0</v>
      </c>
      <c r="AT32" s="8"/>
      <c r="AU32" s="9">
        <f ca="1"/>
        <v>21</v>
      </c>
      <c r="AV32" s="9">
        <f ca="1"/>
        <v>2026</v>
      </c>
      <c r="AW32" s="9" t="str">
        <f ca="1"/>
        <v>Qtr1</v>
      </c>
      <c r="AX32" s="127">
        <f>P18</f>
        <v>2E-3</v>
      </c>
      <c r="AY32" s="129">
        <f>ABS(AN43)</f>
        <v>0</v>
      </c>
      <c r="AZ32" s="132">
        <f>IFERROR(IF(AND($AT$4&gt;=2,ABS($AN$41)&lt;0),ABS($AN$41),0),NA())</f>
        <v>0</v>
      </c>
      <c r="BA32" s="10">
        <f>IFERROR(AY32+AZ32,NA())</f>
        <v>0</v>
      </c>
      <c r="BB32" s="127">
        <f>IFERROR(IF(AND($AT$4&gt;=2,$AN$40&gt;0),$AN$40,0),NA())</f>
        <v>0</v>
      </c>
      <c r="BC32" s="133">
        <f>IF(BB32-BA32&lt;0,0,BB32-BA32)</f>
        <v>0</v>
      </c>
      <c r="BD32" s="130">
        <f>BC32+AX32</f>
        <v>2E-3</v>
      </c>
      <c r="BE32" s="130">
        <f>IF(BD32-BA32&lt;0,0,BD32-BA32)</f>
        <v>2E-3</v>
      </c>
      <c r="BF32" s="131">
        <f>BE32/BD32</f>
        <v>1</v>
      </c>
      <c r="BG32" s="126">
        <f>IFERROR((0.1*BD32)/BD32,NA())</f>
        <v>0.1</v>
      </c>
      <c r="BH32" s="126">
        <f>IFERROR((0.1*BD32)/BD32,NA())</f>
        <v>0.1</v>
      </c>
      <c r="BI32" s="126">
        <f>IFERROR((0.2*BD32)/BD32,NA())</f>
        <v>0.2</v>
      </c>
      <c r="BJ32" s="131">
        <f>IFERROR(IF($AT$4&gt;2,0,BF32),NA())</f>
        <v>1</v>
      </c>
      <c r="BK32" s="131">
        <f>IFERROR(IF($AT$4&gt;2,BF32,0),NA())</f>
        <v>0</v>
      </c>
      <c r="BL32" s="128">
        <f>IF(BK32&gt;0,0,BC32/AX32)</f>
        <v>0</v>
      </c>
      <c r="BM32" s="135">
        <f>IF((BD32-BE32)=0,0,(BD32-BE32)/BD32)</f>
        <v>0</v>
      </c>
      <c r="BN32" s="126">
        <f>IFERROR(BF32,"")</f>
        <v>1</v>
      </c>
      <c r="BO32" s="8">
        <f>IFERROR(BA32,"")</f>
        <v>0</v>
      </c>
      <c r="BP32" s="8">
        <f>IFERROR(AX32,"")</f>
        <v>2E-3</v>
      </c>
      <c r="BQ32" s="8" t="str">
        <f>IFERROR(IF(BC32=0,"",BC32),"")</f>
        <v/>
      </c>
      <c r="CY32" s="9" t="s">
        <v>184</v>
      </c>
      <c r="CZ32" s="9"/>
      <c r="DA32" s="126">
        <v>1</v>
      </c>
      <c r="DB32" s="126">
        <v>0.01</v>
      </c>
      <c r="DL32" s="103" t="str">
        <f t="shared" si="54"/>
        <v/>
      </c>
      <c r="DM32" s="157" t="str">
        <f t="shared" si="55"/>
        <v/>
      </c>
      <c r="DN32" s="9" t="str">
        <f t="shared" si="56"/>
        <v/>
      </c>
      <c r="DO32" s="90" t="str">
        <f t="shared" si="57"/>
        <v/>
      </c>
      <c r="DP32" s="103" t="str">
        <f t="shared" si="58"/>
        <v/>
      </c>
      <c r="DQ32" s="157" t="str">
        <f t="shared" si="58"/>
        <v/>
      </c>
      <c r="DR32" s="129" t="e">
        <f t="shared" ref="DR32:DR37" si="64">IFERROR(IF(DP32&lt;=0,DU32+DV32,MAX(CHOOSE($DO$19,$DR$1:$DR$16,$DR$1:$DR$16,$DS$1:$DS$16,$DS$1:$DS$16))*$DO$20-DS32),NA())</f>
        <v>#N/A</v>
      </c>
      <c r="DS32" s="163" t="e" cm="1">
        <f t="array" ref="DS32">IFERROR(_xlfn.IFS(DN32="",NA(),DP32=0,0,DP32&lt;&gt;"",DP32),NA())</f>
        <v>#N/A</v>
      </c>
      <c r="DT32" s="160" t="e">
        <f t="shared" si="60"/>
        <v>#N/A</v>
      </c>
      <c r="DU32" s="11" t="e">
        <f t="shared" ref="DU32:DU37" si="65">IF(DN32="",NA(),DQ32)</f>
        <v>#N/A</v>
      </c>
      <c r="DV32" s="11" t="e">
        <f t="shared" si="62"/>
        <v>#N/A</v>
      </c>
      <c r="DW32" s="129" t="str" cm="1">
        <f t="array" ref="DW32">IFERROR(_xlfn.IFS(DT32=0,"",$DO$19=1,TEXT(DS32, "0.00%"),$DO$19=2,TEXT(DS32, "0.00%"),$DO$19=3,TEXT(DS32,"0.00"&amp;WB_Data!$EJ$2),$DO$19=4,TEXT(DS32,"0.00"&amp;WB_Data!$EJ$2)),"")</f>
        <v/>
      </c>
      <c r="DX32" s="11" t="str" cm="1">
        <f t="array" ref="DX32">IFERROR(_xlfn.IFS(DT32=0,"",$DO$19=1,TEXT(DU32, "0.00%"),$DO$19=2,TEXT(DU32, "0.00%"),$DO$19=3,TEXT(DU32,"0.00"&amp;WB_Data!$EJ$2),$DO$19=4,TEXT(DU32,"0.00"&amp;WB_Data!$EJ$2)),"")</f>
        <v/>
      </c>
    </row>
    <row r="33" spans="29:128" x14ac:dyDescent="0.25">
      <c r="AC33" s="5"/>
      <c r="AD33" s="5"/>
      <c r="AE33" s="5"/>
      <c r="AF33" s="5"/>
      <c r="AG33" s="5"/>
      <c r="AH33" s="5"/>
      <c r="AJ33" s="36" t="s">
        <v>163</v>
      </c>
      <c r="AK33" s="36">
        <f>IFERROR(IF($AA4=3,($AR$20/$AJ$3)*$AE$3,($AR$20/$AJ$3)*$AE4*$AE$3),0)</f>
        <v>0</v>
      </c>
      <c r="AL33" s="36">
        <f>IFERROR(IF($AA$5=3,($AR$21/$AJ$3)*$AE$3,($AR$21/$AJ$3)*$AE5*$AE$3),0)</f>
        <v>0</v>
      </c>
      <c r="AM33" s="36">
        <f>IFERROR(IF($AA$6=3,($AR$22/$AJ$3)*$AE$3,($AR$22/$AJ$3)*$AE6*$AE$3),0)</f>
        <v>0</v>
      </c>
      <c r="AN33" s="36">
        <f>IFERROR(IF($AA$7=3,($AR$23/$AJ$3)*$AE$3,($AR$23/$AJ$3)*$AE7*$AE$3),0)</f>
        <v>0</v>
      </c>
      <c r="AO33" s="36">
        <f>IFERROR(IF($AA$8=3,($AR24/$AJ$3)*$AE$3,($AR24/$AJ$3)*$AE$8*$AE$3),0)</f>
        <v>0</v>
      </c>
      <c r="AP33" s="36">
        <f>IFERROR(IF($AA$9=3,($AR25/$AJ$3)*$AE$3,($AR25/$AJ$3)*$AE$9*$AE$3),0)</f>
        <v>0</v>
      </c>
      <c r="AQ33" s="36">
        <f>IFERROR(IF($AA$10=3,($AR$26/$AJ$3)*$AE$3,($AR$26/$AJ$3)*$AE$10*$AE$3),0)</f>
        <v>0</v>
      </c>
      <c r="AR33" s="206">
        <f>SUM(AK33:AQ33)</f>
        <v>0</v>
      </c>
      <c r="AT33" s="8"/>
      <c r="AU33" s="9">
        <f ca="1"/>
        <v>22</v>
      </c>
      <c r="AV33" s="9">
        <f ca="1"/>
        <v>2026</v>
      </c>
      <c r="AW33" s="9" t="str">
        <f ca="1"/>
        <v>Grand Total</v>
      </c>
      <c r="AX33" s="127" t="str">
        <f>P19</f>
        <v/>
      </c>
      <c r="AY33" s="129">
        <f>ABS(AN82)</f>
        <v>0</v>
      </c>
      <c r="AZ33" s="132">
        <f>IFERROR(IF(AND($AT$4&gt;=3,ABS($AN$80)&lt;0),ABS($AN$80),0),NA())</f>
        <v>0</v>
      </c>
      <c r="BA33" s="10">
        <f>IFERROR(AY33+AZ33,NA())</f>
        <v>0</v>
      </c>
      <c r="BB33" s="127">
        <f>IFERROR(IF(AND($AT$4&gt;=3,$AN$79&gt;0),$AN$79,0),NA())</f>
        <v>0</v>
      </c>
      <c r="BC33" s="133">
        <f>IF(BB33-BA33&lt;0,0,BB33-BA33)</f>
        <v>0</v>
      </c>
      <c r="BD33" s="130" t="e">
        <f>BC33+AX33</f>
        <v>#VALUE!</v>
      </c>
      <c r="BE33" s="130" t="e">
        <f>IF(BD33-BA33&lt;0,0,BD33-BA33)</f>
        <v>#VALUE!</v>
      </c>
      <c r="BF33" s="131" t="e">
        <f>BE33/BD33</f>
        <v>#VALUE!</v>
      </c>
      <c r="BG33" s="126" t="e">
        <f>IFERROR((0.1*BD33)/BD33,NA())</f>
        <v>#N/A</v>
      </c>
      <c r="BH33" s="126" t="e">
        <f>IFERROR((0.1*BD33)/BD33,NA())</f>
        <v>#N/A</v>
      </c>
      <c r="BI33" s="126" t="e">
        <f>IFERROR((0.2*BD33)/BD33,NA())</f>
        <v>#N/A</v>
      </c>
      <c r="BJ33" s="131" t="e">
        <f>IFERROR(IF($AT$4&gt;3,0,BF33),NA())</f>
        <v>#N/A</v>
      </c>
      <c r="BK33" s="131">
        <f>IFERROR(IF($AT$4&gt;3,BF33,0),NA())</f>
        <v>0</v>
      </c>
      <c r="BL33" s="128" t="e">
        <f>IF(BK33&gt;0,0,BC33/AX33)</f>
        <v>#VALUE!</v>
      </c>
      <c r="BM33" s="135" t="e">
        <f>IF((BD33-BE33)=0,0,(BD33-BE33)/BD33)</f>
        <v>#VALUE!</v>
      </c>
      <c r="BN33" s="126" t="str">
        <f>IFERROR(BF33,"")</f>
        <v/>
      </c>
      <c r="BO33" s="8">
        <f>IFERROR(BA33,"")</f>
        <v>0</v>
      </c>
      <c r="BP33" s="8" t="str">
        <f>IFERROR(AX33,"")</f>
        <v/>
      </c>
      <c r="BQ33" s="8" t="str">
        <f>IFERROR(IF(BC33=0,"",BC33),"")</f>
        <v/>
      </c>
      <c r="CY33" s="9" t="s">
        <v>185</v>
      </c>
      <c r="CZ33" s="9"/>
      <c r="DA33" s="126">
        <v>0.1</v>
      </c>
      <c r="DB33" s="126">
        <f>(SUM(DA31:DA36)-DB31)+DB34</f>
        <v>3.2</v>
      </c>
      <c r="DL33" s="103" t="str">
        <f t="shared" si="54"/>
        <v/>
      </c>
      <c r="DM33" s="157" t="str">
        <f t="shared" si="55"/>
        <v/>
      </c>
      <c r="DN33" s="9" t="str">
        <f t="shared" si="56"/>
        <v/>
      </c>
      <c r="DO33" s="90" t="str">
        <f t="shared" si="57"/>
        <v/>
      </c>
      <c r="DP33" s="103" t="str">
        <f t="shared" si="58"/>
        <v/>
      </c>
      <c r="DQ33" s="157" t="str">
        <f t="shared" si="58"/>
        <v/>
      </c>
      <c r="DR33" s="129" t="e">
        <f t="shared" si="64"/>
        <v>#N/A</v>
      </c>
      <c r="DS33" s="163" t="e" cm="1">
        <f t="array" ref="DS33">IFERROR(_xlfn.IFS(DN33="",NA(),DP33=0,0,DP33&lt;&gt;"",DP33),NA())</f>
        <v>#N/A</v>
      </c>
      <c r="DT33" s="160" t="e">
        <f t="shared" si="60"/>
        <v>#N/A</v>
      </c>
      <c r="DU33" s="11" t="e">
        <f t="shared" si="65"/>
        <v>#N/A</v>
      </c>
      <c r="DV33" s="11" t="e">
        <f t="shared" si="62"/>
        <v>#N/A</v>
      </c>
      <c r="DW33" s="129" t="str" cm="1">
        <f t="array" ref="DW33">IFERROR(_xlfn.IFS(DT33=0,"",$DO$19=1,TEXT(DS33, "0.00%"),$DO$19=2,TEXT(DS33, "0.00%"),$DO$19=3,TEXT(DS33,"0.00"&amp;WB_Data!$EJ$2),$DO$19=4,TEXT(DS33,"0.00"&amp;WB_Data!$EJ$2)),"")</f>
        <v/>
      </c>
      <c r="DX33" s="11" t="str" cm="1">
        <f t="array" ref="DX33">IFERROR(_xlfn.IFS(DT33=0,"",$DO$19=1,TEXT(DU33, "0.00%"),$DO$19=2,TEXT(DU33, "0.00%"),$DO$19=3,TEXT(DU33,"0.00"&amp;WB_Data!$EJ$2),$DO$19=4,TEXT(DU33,"0.00"&amp;WB_Data!$EJ$2)),"")</f>
        <v/>
      </c>
    </row>
    <row r="34" spans="29:128" x14ac:dyDescent="0.25">
      <c r="AC34" s="5"/>
      <c r="AD34" s="5"/>
      <c r="AE34" s="5"/>
      <c r="AF34" s="5"/>
      <c r="AG34" s="5"/>
      <c r="AH34" s="5"/>
      <c r="AJ34" s="37" t="s">
        <v>164</v>
      </c>
      <c r="AK34" s="37">
        <f>IFERROR(IF($AA4=3,($AR$20/$AJ$3)*$AG$3,($AR$20/$AJ$3)*$AG4*$AG$3),0)</f>
        <v>0</v>
      </c>
      <c r="AL34" s="37">
        <f>IFERROR(IF($AA$5=3,($AR$21/$AJ$3)*$AG$3,($AR$21/$AJ$3)*$AG5*$AG$3),0)</f>
        <v>0</v>
      </c>
      <c r="AM34" s="37">
        <f>IFERROR(IF($AA$6=3,($AR$22/$AJ$3)*$AG$3,($AR$22/$AJ$3)*$AG6*$AG$3),0)</f>
        <v>0</v>
      </c>
      <c r="AN34" s="37">
        <f>IFERROR(IF($AA$7=3,($AR$23/$AJ$3)*$AG$3,($AR$23/$AJ$3)*$AG7*$AG$3),0)</f>
        <v>0</v>
      </c>
      <c r="AO34" s="37">
        <f>IFERROR(IF($AA$8=3,($AR24/$AJ$3)*$AG$3,($AR24/$AJ$3)*$AG$8*$AG$3),0)</f>
        <v>0</v>
      </c>
      <c r="AP34" s="37">
        <f>IFERROR(IF($AA$9=3,($AR25/$AJ$3)*$AG$3,($AR25/$AJ$3)*$AG9*$AG$3),0)</f>
        <v>0</v>
      </c>
      <c r="AQ34" s="37">
        <f>IFERROR(IF($AA$10=3,($AR$26/$AJ$3)*$AG$3,($AR$26/$AJ$3)*$AG$10*$AG$3),0)</f>
        <v>0</v>
      </c>
      <c r="AR34" s="207">
        <f>SUM(AK34:AQ34)</f>
        <v>0</v>
      </c>
      <c r="AT34" s="8"/>
      <c r="AU34" s="9">
        <f ca="1"/>
        <v>23</v>
      </c>
      <c r="AV34" s="9">
        <f ca="1"/>
        <v>2026</v>
      </c>
      <c r="AW34" s="9">
        <f ca="1"/>
        <v>0</v>
      </c>
      <c r="AX34" s="127">
        <f>P20</f>
        <v>0</v>
      </c>
      <c r="AY34" s="129">
        <f>ABS(AN118)</f>
        <v>0</v>
      </c>
      <c r="AZ34" s="132">
        <f>IFERROR(IF(AND($AT$4&gt;=4,ABS($AN$116)&lt;0),ABS($AN$116),0),NA())</f>
        <v>0</v>
      </c>
      <c r="BA34" s="10">
        <f>IFERROR(AY34+AZ34,NA())</f>
        <v>0</v>
      </c>
      <c r="BB34" s="127">
        <f>IFERROR(IF(AND($AT$4&gt;=4,$AN$115&gt;0),$AN$115,0),NA())</f>
        <v>0</v>
      </c>
      <c r="BC34" s="133">
        <f>IF(BB34-BA34&lt;0,0,BB34-BA34)</f>
        <v>0</v>
      </c>
      <c r="BD34" s="130">
        <f>BC34+AX34</f>
        <v>0</v>
      </c>
      <c r="BE34" s="130">
        <f>IF(BD34-BA34&lt;0,0,BD34-BA34)</f>
        <v>0</v>
      </c>
      <c r="BF34" s="131" t="e">
        <f>BE34/BD34</f>
        <v>#DIV/0!</v>
      </c>
      <c r="BG34" s="126" t="e">
        <f>IFERROR((0.1*BD34)/BD34,NA())</f>
        <v>#N/A</v>
      </c>
      <c r="BH34" s="126" t="e">
        <f>IFERROR((0.1*BD34)/BD34,NA())</f>
        <v>#N/A</v>
      </c>
      <c r="BI34" s="126" t="e">
        <f>IFERROR((0.2*BD34)/BD34,NA())</f>
        <v>#N/A</v>
      </c>
      <c r="BJ34" s="131" t="e">
        <f>IFERROR(IF($AT$4&gt;4,0,BF34),NA())</f>
        <v>#N/A</v>
      </c>
      <c r="BK34" s="131">
        <f>IFERROR(IF($AT$4&gt;4,BF34,0),NA())</f>
        <v>0</v>
      </c>
      <c r="BL34" s="128" t="e">
        <f>IF(BK34&gt;0,0,BC34/AX34)</f>
        <v>#DIV/0!</v>
      </c>
      <c r="BM34" s="135">
        <f>IF((BD34-BE34)=0,0,(BD34-BE34)/BD34)</f>
        <v>0</v>
      </c>
      <c r="BN34" s="126" t="str">
        <f>IFERROR(BF34,"")</f>
        <v/>
      </c>
      <c r="BO34" s="8">
        <f>IFERROR(BA34,"")</f>
        <v>0</v>
      </c>
      <c r="BP34" s="8">
        <f>IFERROR(AX34,"")</f>
        <v>0</v>
      </c>
      <c r="BQ34" s="8" t="str">
        <f>IFERROR(IF(BC34=0,"",BC34),"")</f>
        <v/>
      </c>
      <c r="CY34" s="9" t="s">
        <v>186</v>
      </c>
      <c r="CZ34" s="9"/>
      <c r="DA34" s="126">
        <v>0.2</v>
      </c>
      <c r="DB34" s="9" t="b">
        <f>IF(DB31&gt;1.1,(1-DB31))</f>
        <v>0</v>
      </c>
      <c r="DL34" s="103" t="str">
        <f t="shared" si="54"/>
        <v/>
      </c>
      <c r="DM34" s="157" t="str">
        <f t="shared" si="55"/>
        <v/>
      </c>
      <c r="DN34" s="9" t="str">
        <f t="shared" si="56"/>
        <v/>
      </c>
      <c r="DO34" s="90" t="str">
        <f t="shared" si="57"/>
        <v/>
      </c>
      <c r="DP34" s="103" t="str">
        <f t="shared" si="58"/>
        <v/>
      </c>
      <c r="DQ34" s="157" t="str">
        <f t="shared" si="58"/>
        <v/>
      </c>
      <c r="DR34" s="129" t="e">
        <f t="shared" si="64"/>
        <v>#N/A</v>
      </c>
      <c r="DS34" s="163" t="e" cm="1">
        <f t="array" ref="DS34">IFERROR(_xlfn.IFS(DN34="",NA(),DP34=0,0,DP34&lt;&gt;"",DP34),NA())</f>
        <v>#N/A</v>
      </c>
      <c r="DT34" s="160" t="e">
        <f t="shared" si="60"/>
        <v>#N/A</v>
      </c>
      <c r="DU34" s="11" t="e">
        <f t="shared" si="65"/>
        <v>#N/A</v>
      </c>
      <c r="DV34" s="11" t="e">
        <f t="shared" si="62"/>
        <v>#N/A</v>
      </c>
      <c r="DW34" s="129" t="str" cm="1">
        <f t="array" ref="DW34">IFERROR(_xlfn.IFS(DT34=0,"",$DO$19=1,TEXT(DS34, "0.00%"),$DO$19=2,TEXT(DS34, "0.00%"),$DO$19=3,TEXT(DS34,"0.00"&amp;WB_Data!$EJ$2),$DO$19=4,TEXT(DS34,"0.00"&amp;WB_Data!$EJ$2)),"")</f>
        <v/>
      </c>
      <c r="DX34" s="11" t="str" cm="1">
        <f t="array" ref="DX34">IFERROR(_xlfn.IFS(DT34=0,"",$DO$19=1,TEXT(DU34, "0.00%"),$DO$19=2,TEXT(DU34, "0.00%"),$DO$19=3,TEXT(DU34,"0.00"&amp;WB_Data!$EJ$2),$DO$19=4,TEXT(DU34,"0.00"&amp;WB_Data!$EJ$2)),"")</f>
        <v/>
      </c>
    </row>
    <row r="35" spans="29:128" x14ac:dyDescent="0.25">
      <c r="AC35" s="5"/>
      <c r="AD35" s="5"/>
      <c r="AE35" s="5"/>
      <c r="AF35" s="5"/>
      <c r="AG35" s="5"/>
      <c r="AH35" s="5"/>
      <c r="AJ35" s="198" t="s">
        <v>165</v>
      </c>
      <c r="AK35" s="198">
        <f>IFERROR(IF($AA4=3,($AR$20/$AJ$3)*$AI$3,($AR$20/$AJ$3)*$AI4*$AI$3),0)</f>
        <v>0</v>
      </c>
      <c r="AL35" s="198">
        <f>IFERROR(IF($AA$5=3,($AR$21/$AJ$3)*$AI$3,($AR$21/$AJ$3)*$AI5*$AI$3),0)</f>
        <v>0</v>
      </c>
      <c r="AM35" s="198">
        <f>IFERROR(IF($AA$6=3,($AR$22/$AJ$3)*$AI$3,($AR$22/$AJ$3)*$AI6*$AI$3),0)</f>
        <v>0</v>
      </c>
      <c r="AN35" s="198">
        <f>IFERROR(IF($AA$7=3,($AR$23/$AJ$3)*$AI$3,($AR$23/$AJ$3)*$AI7*$AI$3),0)</f>
        <v>0</v>
      </c>
      <c r="AO35" s="198">
        <f>IFERROR(IF($AA$8=3,($AR24/$AJ$3)*$AI$3,($AR24/$AJ$3)*$AI$8*$AI$3),0)</f>
        <v>0</v>
      </c>
      <c r="AP35" s="198">
        <f>IFERROR(IF($AA$9=3,($AR25/$AJ$3)*$AI$3,($AR25/$AJ$3)*$AI$9*$AI$3),0)</f>
        <v>0</v>
      </c>
      <c r="AQ35" s="198">
        <f>IFERROR(IF($AA$10=3,($AR$26/$AJ$3)*$AI$3,($AR$26/$AJ$3)*$AI$10*$AI$3),0)</f>
        <v>0</v>
      </c>
      <c r="AR35" s="208">
        <f>SUM(AK35:AQ35)</f>
        <v>0</v>
      </c>
      <c r="AT35" s="8"/>
      <c r="AU35" s="9"/>
      <c r="AV35" s="9"/>
      <c r="AW35" s="9"/>
      <c r="AX35" s="127">
        <f>P21</f>
        <v>0</v>
      </c>
      <c r="AY35" s="129">
        <f>ABS(AN151)</f>
        <v>0</v>
      </c>
      <c r="AZ35" s="132">
        <f>IFERROR(IF(AND($AT$4&gt;=5,ABS($AN$149)&lt;0),ABS($AN$149),0),NA())</f>
        <v>0</v>
      </c>
      <c r="BA35" s="10">
        <f>IFERROR(AY35+AZ35,NA())</f>
        <v>0</v>
      </c>
      <c r="BB35" s="127">
        <f>IFERROR(IF(AND($AT$4&gt;=5,$AN$148&gt;0),$AN$148,0),NA())</f>
        <v>0</v>
      </c>
      <c r="BC35" s="133">
        <f>IF(BB35-BA35&lt;0,0,BB35-BA35)</f>
        <v>0</v>
      </c>
      <c r="BD35" s="130">
        <f>BC35+AX35</f>
        <v>0</v>
      </c>
      <c r="BE35" s="130">
        <f>IF(BD35-BA35&lt;0,0,BD35-BA35)</f>
        <v>0</v>
      </c>
      <c r="BF35" s="131" t="e">
        <f>BE35/BD35</f>
        <v>#DIV/0!</v>
      </c>
      <c r="BG35" s="126" t="e">
        <f>IFERROR((0.1*BD35)/BD35,NA())</f>
        <v>#N/A</v>
      </c>
      <c r="BH35" s="126" t="e">
        <f>IFERROR((0.1*BD35)/BD35,NA())</f>
        <v>#N/A</v>
      </c>
      <c r="BI35" s="126" t="e">
        <f>IFERROR((0.2*BD35)/BD35,NA())</f>
        <v>#N/A</v>
      </c>
      <c r="BJ35" s="131" t="e">
        <f>IFERROR(IF($AT$4&gt;5,0,BF35),NA())</f>
        <v>#N/A</v>
      </c>
      <c r="BK35" s="131">
        <f>IFERROR(IF($AT$4&gt;5,BF35,0),NA())</f>
        <v>0</v>
      </c>
      <c r="BL35" s="128" t="e">
        <f>IF(BK35&gt;0,0,BC35/AX35)</f>
        <v>#DIV/0!</v>
      </c>
      <c r="BM35" s="135">
        <f>IF((BD35-BE35)=0,0,(BD35-BE35)/BD35)</f>
        <v>0</v>
      </c>
      <c r="BN35" s="126" t="str">
        <f>IFERROR(BF35,"")</f>
        <v/>
      </c>
      <c r="BO35" s="8">
        <f>IFERROR(BA35,"")</f>
        <v>0</v>
      </c>
      <c r="BP35" s="8">
        <f>IFERROR(AX35,"")</f>
        <v>0</v>
      </c>
      <c r="BQ35" s="8" t="str">
        <f>IFERROR(IF(BC35=0,"",BC35),"")</f>
        <v/>
      </c>
      <c r="CY35" s="9" t="s">
        <v>187</v>
      </c>
      <c r="CZ35" s="9"/>
      <c r="DA35" s="126">
        <v>0.3</v>
      </c>
      <c r="DB35" s="9"/>
      <c r="DL35" s="103" t="str">
        <f t="shared" si="54"/>
        <v/>
      </c>
      <c r="DM35" s="157" t="str">
        <f t="shared" si="55"/>
        <v/>
      </c>
      <c r="DN35" s="9" t="str">
        <f t="shared" si="56"/>
        <v/>
      </c>
      <c r="DO35" s="90" t="str">
        <f t="shared" si="57"/>
        <v/>
      </c>
      <c r="DP35" s="103" t="str">
        <f t="shared" si="58"/>
        <v/>
      </c>
      <c r="DQ35" s="157" t="str">
        <f t="shared" si="58"/>
        <v/>
      </c>
      <c r="DR35" s="129" t="e">
        <f t="shared" si="64"/>
        <v>#N/A</v>
      </c>
      <c r="DS35" s="163" t="e" cm="1">
        <f t="array" ref="DS35">IFERROR(_xlfn.IFS(DN35="",NA(),DP35=0,0,DP35&lt;&gt;"",DP35),NA())</f>
        <v>#N/A</v>
      </c>
      <c r="DT35" s="160" t="e">
        <f t="shared" si="60"/>
        <v>#N/A</v>
      </c>
      <c r="DU35" s="11" t="e">
        <f t="shared" si="65"/>
        <v>#N/A</v>
      </c>
      <c r="DV35" s="11" t="e">
        <f t="shared" si="62"/>
        <v>#N/A</v>
      </c>
      <c r="DW35" s="129" t="str" cm="1">
        <f t="array" ref="DW35">IFERROR(_xlfn.IFS(DT35=0,"",$DO$19=1,TEXT(DS35, "0.00%"),$DO$19=2,TEXT(DS35, "0.00%"),$DO$19=3,TEXT(DS35,"0.00"&amp;WB_Data!$EJ$2),$DO$19=4,TEXT(DS35,"0.00"&amp;WB_Data!$EJ$2)),"")</f>
        <v/>
      </c>
      <c r="DX35" s="11" t="str" cm="1">
        <f t="array" ref="DX35">IFERROR(_xlfn.IFS(DT35=0,"",$DO$19=1,TEXT(DU35, "0.00%"),$DO$19=2,TEXT(DU35, "0.00%"),$DO$19=3,TEXT(DU35,"0.00"&amp;WB_Data!$EJ$2),$DO$19=4,TEXT(DU35,"0.00"&amp;WB_Data!$EJ$2)),"")</f>
        <v/>
      </c>
    </row>
    <row r="36" spans="29:128" x14ac:dyDescent="0.25">
      <c r="AC36" s="5"/>
      <c r="AD36" s="5"/>
      <c r="AE36" s="5"/>
      <c r="AF36" s="5"/>
      <c r="AG36" s="5"/>
      <c r="AH36" s="5"/>
      <c r="AJ36" s="124" t="s">
        <v>162</v>
      </c>
      <c r="AK36" s="124">
        <f t="shared" ref="AK36:AQ36" si="66">AK32-AK16</f>
        <v>0</v>
      </c>
      <c r="AL36" s="124">
        <f t="shared" si="66"/>
        <v>0</v>
      </c>
      <c r="AM36" s="124">
        <f t="shared" si="66"/>
        <v>0</v>
      </c>
      <c r="AN36" s="124">
        <f t="shared" si="66"/>
        <v>0</v>
      </c>
      <c r="AO36" s="124">
        <f t="shared" si="66"/>
        <v>0</v>
      </c>
      <c r="AP36" s="124">
        <f t="shared" si="66"/>
        <v>0</v>
      </c>
      <c r="AQ36" s="124">
        <f t="shared" si="66"/>
        <v>0</v>
      </c>
      <c r="AR36" s="5"/>
      <c r="AT36" s="304" cm="1">
        <f t="array" ref="AT36">_xlfn.IFS($AT$4=1,BO31,$AT$4=2,BO32,$AT$4=3,BO33,$AT$4=4,BO34,$AT$4=5,BO35)</f>
        <v>2.0000000000000001E-4</v>
      </c>
      <c r="AU36" s="304" cm="1">
        <f t="array" ref="AU36">_xlfn.IFS($AT$4=1,BP31,$AT$4=2,BP32,$AT$4=3,BP33,$AT$4=4,BP34,$AT$4=5,BP35)</f>
        <v>2E-3</v>
      </c>
      <c r="AV36" s="8" t="str">
        <f>IF(AU36&lt;&gt;"","/ "&amp;AU36&amp;WB_Data!EJ2,"")</f>
        <v>/ 0.002$</v>
      </c>
      <c r="AW36" s="303" cm="1">
        <f t="array" ref="AW36">_xlfn.IFS($AT$4=1,BQ31,$AT$4=2,BQ32,$AT$4=3,BQ33,$AT$4=4,BQ34,$AT$4=5,BQ35)</f>
        <v>0</v>
      </c>
      <c r="AX36" s="85" t="str">
        <f>IF(AW36="","","Extra")</f>
        <v>Extra</v>
      </c>
      <c r="CY36" s="9" t="str" cm="1">
        <f t="array" ref="CY36">_xlfn.IFS(DB31&lt;=1,CY32,DB31&lt;=1.1,CY33,DB31&lt;=1.2,CY34,DB31&lt;=1.4,CY35,DB31&gt;=1.4,CY35)</f>
        <v>Good</v>
      </c>
      <c r="CZ36" s="9"/>
      <c r="DA36" s="126">
        <f>SUM(DA31:DA35)</f>
        <v>1.6</v>
      </c>
      <c r="DB36" s="9"/>
      <c r="DL36" s="103" t="str">
        <f t="shared" si="54"/>
        <v/>
      </c>
      <c r="DM36" s="157" t="str">
        <f t="shared" si="55"/>
        <v/>
      </c>
      <c r="DN36" s="9" t="str">
        <f t="shared" si="56"/>
        <v/>
      </c>
      <c r="DO36" s="90" t="str">
        <f t="shared" si="57"/>
        <v/>
      </c>
      <c r="DP36" s="103" t="str">
        <f t="shared" si="58"/>
        <v/>
      </c>
      <c r="DQ36" s="157" t="str">
        <f t="shared" si="58"/>
        <v/>
      </c>
      <c r="DR36" s="129" t="e">
        <f t="shared" si="64"/>
        <v>#N/A</v>
      </c>
      <c r="DS36" s="163" t="e" cm="1">
        <f t="array" ref="DS36">IFERROR(_xlfn.IFS(DN36="",NA(),DP36=0,0,DP36&lt;&gt;"",DP36),NA())</f>
        <v>#N/A</v>
      </c>
      <c r="DT36" s="160" t="e">
        <f t="shared" si="60"/>
        <v>#N/A</v>
      </c>
      <c r="DU36" s="11" t="e">
        <f t="shared" si="65"/>
        <v>#N/A</v>
      </c>
      <c r="DV36" s="11" t="e">
        <f t="shared" si="62"/>
        <v>#N/A</v>
      </c>
      <c r="DW36" s="129" t="str" cm="1">
        <f t="array" ref="DW36">IFERROR(_xlfn.IFS(DT36=0,"",$DO$19=1,TEXT(DS36, "0.00%"),$DO$19=2,TEXT(DS36, "0.00%"),$DO$19=3,TEXT(DS36,"0.00"&amp;WB_Data!$EJ$2),$DO$19=4,TEXT(DS36,"0.00"&amp;WB_Data!$EJ$2)),"")</f>
        <v/>
      </c>
      <c r="DX36" s="11" t="str" cm="1">
        <f t="array" ref="DX36">IFERROR(_xlfn.IFS(DT36=0,"",$DO$19=1,TEXT(DU36, "0.00%"),$DO$19=2,TEXT(DU36, "0.00%"),$DO$19=3,TEXT(DU36,"0.00"&amp;WB_Data!$EJ$2),$DO$19=4,TEXT(DU36,"0.00"&amp;WB_Data!$EJ$2)),"")</f>
        <v/>
      </c>
    </row>
    <row r="37" spans="29:128" x14ac:dyDescent="0.25">
      <c r="AC37" s="5"/>
      <c r="AD37" s="5"/>
      <c r="AE37" s="5"/>
      <c r="AF37" s="5"/>
      <c r="AG37" s="5"/>
      <c r="AH37" s="5"/>
      <c r="AJ37" s="124" t="s">
        <v>163</v>
      </c>
      <c r="AK37" s="124">
        <f>AK33-AK17</f>
        <v>0</v>
      </c>
      <c r="AL37" s="124">
        <f t="shared" ref="AK37:AP39" si="67">AL33-AL17</f>
        <v>0</v>
      </c>
      <c r="AM37" s="124">
        <f t="shared" si="67"/>
        <v>0</v>
      </c>
      <c r="AN37" s="124">
        <f t="shared" ref="AN37:AO39" si="68">AN33-AN17</f>
        <v>0</v>
      </c>
      <c r="AO37" s="124">
        <f t="shared" si="68"/>
        <v>0</v>
      </c>
      <c r="AP37" s="124">
        <f t="shared" si="67"/>
        <v>0</v>
      </c>
      <c r="AQ37" s="124">
        <f>AQ33-AQ17</f>
        <v>0</v>
      </c>
      <c r="AR37" s="5"/>
      <c r="DL37" s="103" t="str">
        <f t="shared" si="54"/>
        <v/>
      </c>
      <c r="DM37" s="157" t="str">
        <f t="shared" si="55"/>
        <v/>
      </c>
      <c r="DN37" s="9" t="str">
        <f t="shared" si="56"/>
        <v/>
      </c>
      <c r="DO37" s="90" t="str">
        <f t="shared" si="57"/>
        <v/>
      </c>
      <c r="DP37" s="103" t="str">
        <f t="shared" si="58"/>
        <v/>
      </c>
      <c r="DQ37" s="157" t="str">
        <f t="shared" si="58"/>
        <v/>
      </c>
      <c r="DR37" s="129" t="e">
        <f t="shared" si="64"/>
        <v>#N/A</v>
      </c>
      <c r="DS37" s="163" t="e" cm="1">
        <f t="array" ref="DS37">IFERROR(_xlfn.IFS(DN37="",NA(),DP37=0,0,DP37&lt;&gt;"",DP37),NA())</f>
        <v>#N/A</v>
      </c>
      <c r="DT37" s="160" t="e">
        <f t="shared" si="60"/>
        <v>#N/A</v>
      </c>
      <c r="DU37" s="11" t="e">
        <f t="shared" si="65"/>
        <v>#N/A</v>
      </c>
      <c r="DV37" s="11" t="e">
        <f t="shared" si="62"/>
        <v>#N/A</v>
      </c>
      <c r="DW37" s="129" t="str" cm="1">
        <f t="array" ref="DW37">IFERROR(_xlfn.IFS(DT37=0,"",$DO$19=1,TEXT(DS37, "0.00%"),$DO$19=2,TEXT(DS37, "0.00%"),$DO$19=3,TEXT(DS37,"0.00"&amp;WB_Data!$EJ$2),$DO$19=4,TEXT(DS37,"0.00"&amp;WB_Data!$EJ$2)),"")</f>
        <v/>
      </c>
      <c r="DX37" s="11" t="str" cm="1">
        <f t="array" ref="DX37">IFERROR(_xlfn.IFS(DT37=0,"",$DO$19=1,TEXT(DU37, "0.00%"),$DO$19=2,TEXT(DU37, "0.00%"),$DO$19=3,TEXT(DU37,"0.00"&amp;WB_Data!$EJ$2),$DO$19=4,TEXT(DU37,"0.00"&amp;WB_Data!$EJ$2)),"")</f>
        <v/>
      </c>
    </row>
    <row r="38" spans="29:128" x14ac:dyDescent="0.25">
      <c r="AC38" s="5"/>
      <c r="AD38" s="5"/>
      <c r="AE38" s="5"/>
      <c r="AF38" s="5"/>
      <c r="AG38" s="5"/>
      <c r="AH38" s="5"/>
      <c r="AJ38" s="124" t="s">
        <v>164</v>
      </c>
      <c r="AK38" s="124">
        <f t="shared" si="67"/>
        <v>0</v>
      </c>
      <c r="AL38" s="124">
        <f t="shared" si="67"/>
        <v>0</v>
      </c>
      <c r="AM38" s="124">
        <f t="shared" si="67"/>
        <v>0</v>
      </c>
      <c r="AN38" s="124">
        <f t="shared" si="68"/>
        <v>0</v>
      </c>
      <c r="AO38" s="124">
        <f t="shared" si="68"/>
        <v>0</v>
      </c>
      <c r="AP38" s="124">
        <f t="shared" si="67"/>
        <v>0</v>
      </c>
      <c r="AQ38" s="124">
        <f>AQ34-AQ18</f>
        <v>0</v>
      </c>
      <c r="AR38" s="5"/>
      <c r="DT38" s="86"/>
      <c r="DW38" s="88"/>
    </row>
    <row r="39" spans="29:128" x14ac:dyDescent="0.25">
      <c r="AC39" s="5"/>
      <c r="AD39" s="5"/>
      <c r="AE39" s="5"/>
      <c r="AF39" s="5"/>
      <c r="AG39" s="5"/>
      <c r="AH39" s="5"/>
      <c r="AJ39" s="124" t="s">
        <v>165</v>
      </c>
      <c r="AK39" s="124">
        <f t="shared" si="67"/>
        <v>0</v>
      </c>
      <c r="AL39" s="124">
        <f>AL35-AL19</f>
        <v>0</v>
      </c>
      <c r="AM39" s="124">
        <f t="shared" si="67"/>
        <v>0</v>
      </c>
      <c r="AN39" s="124">
        <f t="shared" si="68"/>
        <v>0</v>
      </c>
      <c r="AO39" s="124">
        <f t="shared" si="68"/>
        <v>0</v>
      </c>
      <c r="AP39" s="124">
        <f t="shared" si="67"/>
        <v>0</v>
      </c>
      <c r="AQ39" s="124">
        <f>AQ35-AQ19</f>
        <v>0</v>
      </c>
      <c r="AR39" s="5"/>
      <c r="AT39" s="8">
        <f>$AT$2</f>
        <v>20</v>
      </c>
      <c r="AU39" s="8" t="str">
        <f>CONCATENATE("G17:G"&amp;AT39)</f>
        <v>G17:G20</v>
      </c>
      <c r="AV39" s="9" t="str">
        <f>CONCATENATE("H17:H"&amp;AT39)</f>
        <v>H17:H20</v>
      </c>
      <c r="AW39" s="8" t="str">
        <f>CONCATENATE("I17:I"&amp;AT39)</f>
        <v>I17:I20</v>
      </c>
      <c r="AX39" s="127" t="s">
        <v>105</v>
      </c>
      <c r="AY39" s="129" t="s">
        <v>14</v>
      </c>
      <c r="AZ39" s="9" t="s">
        <v>153</v>
      </c>
      <c r="BA39" s="10" t="s">
        <v>152</v>
      </c>
      <c r="BB39" s="9" t="s">
        <v>154</v>
      </c>
      <c r="BC39" s="133" t="s">
        <v>155</v>
      </c>
      <c r="BD39" s="130" t="s">
        <v>156</v>
      </c>
      <c r="BE39" s="130" t="s">
        <v>151</v>
      </c>
      <c r="BF39" s="130" t="s">
        <v>151</v>
      </c>
      <c r="BG39" s="9" t="s">
        <v>147</v>
      </c>
      <c r="BH39" s="9" t="s">
        <v>148</v>
      </c>
      <c r="BI39" s="9" t="s">
        <v>149</v>
      </c>
      <c r="BJ39" s="130" t="s">
        <v>159</v>
      </c>
      <c r="BK39" s="130" t="s">
        <v>158</v>
      </c>
      <c r="BL39" s="127" t="s">
        <v>157</v>
      </c>
      <c r="BM39" s="132" t="s">
        <v>150</v>
      </c>
      <c r="DT39" s="86"/>
      <c r="DW39" s="88"/>
    </row>
    <row r="40" spans="29:128" x14ac:dyDescent="0.25">
      <c r="AC40" s="5"/>
      <c r="AD40" s="5"/>
      <c r="AE40" s="5"/>
      <c r="AF40" s="5"/>
      <c r="AG40" s="5"/>
      <c r="AH40" s="5"/>
      <c r="AJ40" s="125" t="s">
        <v>145</v>
      </c>
      <c r="AK40" s="125">
        <f>IF(AND($AT$4&gt;1,AK36&gt;=0),AK36,0)</f>
        <v>0</v>
      </c>
      <c r="AL40" s="125">
        <f t="shared" ref="AL40:AQ40" si="69">IF(AND($AT$4&gt;1,AL36&gt;=0),AL36,0)</f>
        <v>0</v>
      </c>
      <c r="AM40" s="125">
        <f t="shared" si="69"/>
        <v>0</v>
      </c>
      <c r="AN40" s="125">
        <f t="shared" si="69"/>
        <v>0</v>
      </c>
      <c r="AO40" s="125">
        <f t="shared" si="69"/>
        <v>0</v>
      </c>
      <c r="AP40" s="125">
        <f t="shared" si="69"/>
        <v>0</v>
      </c>
      <c r="AQ40" s="125">
        <f t="shared" si="69"/>
        <v>0</v>
      </c>
      <c r="AR40" s="5"/>
      <c r="AT40" s="9" t="str">
        <f>AO3</f>
        <v>Category5</v>
      </c>
      <c r="AU40" s="9" cm="1">
        <f t="array" aca="1" ref="AU40:AU43" ca="1">INDIRECT(AU39)</f>
        <v>11</v>
      </c>
      <c r="AV40" s="9" cm="1">
        <f t="array" aca="1" ref="AV40:AV43" ca="1">INDIRECT(AV39)</f>
        <v>2025</v>
      </c>
      <c r="AW40" s="9" t="str" cm="1">
        <f t="array" aca="1" ref="AW40:AW43" ca="1">INDIRECT(AW39)</f>
        <v>Qtr1</v>
      </c>
      <c r="AX40" s="127">
        <f>R17</f>
        <v>2E-3</v>
      </c>
      <c r="AY40" s="129">
        <f>ABS(AO2)</f>
        <v>2.0000000000000001E-4</v>
      </c>
      <c r="AZ40" s="9"/>
      <c r="BA40" s="10">
        <f>IFERROR(AY40+AZ40,NA())</f>
        <v>2.0000000000000001E-4</v>
      </c>
      <c r="BB40" s="9"/>
      <c r="BC40" s="133">
        <f>IF(BB40-BA40&lt;0,0,BB40-BA40)</f>
        <v>0</v>
      </c>
      <c r="BD40" s="130">
        <f>BC40+AX40</f>
        <v>2E-3</v>
      </c>
      <c r="BE40" s="130">
        <f>IF(BD40-BA40&lt;0,0,BD40-BA40)</f>
        <v>1.8E-3</v>
      </c>
      <c r="BF40" s="131">
        <f>BE40/BD40</f>
        <v>0.89999999999999991</v>
      </c>
      <c r="BG40" s="126">
        <f>IFERROR((0.1*BD40)/BD40,NA())</f>
        <v>0.1</v>
      </c>
      <c r="BH40" s="126">
        <f>IFERROR((0.1*BD40)/BD40,NA())</f>
        <v>0.1</v>
      </c>
      <c r="BI40" s="126">
        <f>IFERROR((0.2*BD40)/BD40,NA())</f>
        <v>0.2</v>
      </c>
      <c r="BJ40" s="131">
        <f>IFERROR(IF($AT$4&gt;1,0,BF40),NA())</f>
        <v>0.89999999999999991</v>
      </c>
      <c r="BK40" s="131">
        <f>IFERROR(IF($AT$4&gt;1,BF40,0),NA())</f>
        <v>0</v>
      </c>
      <c r="BL40" s="128">
        <f>IF(BK40&gt;0,0,BC40/AX40)</f>
        <v>0</v>
      </c>
      <c r="BM40" s="135">
        <f>IF((BD40-BE40)=0,0,(BD40-BE40)/BD40)</f>
        <v>0.10000000000000005</v>
      </c>
      <c r="BN40" s="126">
        <f>IFERROR(BF40,"")</f>
        <v>0.89999999999999991</v>
      </c>
      <c r="BO40" s="8">
        <f>IFERROR(BA40,"")</f>
        <v>2.0000000000000001E-4</v>
      </c>
      <c r="BP40" s="8">
        <f>IFERROR(AX40,"")</f>
        <v>2E-3</v>
      </c>
      <c r="BQ40" s="117"/>
      <c r="CY40" s="126" t="str">
        <f>IF(CY44&lt;&gt;"",DB44,"")</f>
        <v/>
      </c>
      <c r="CZ40" s="9"/>
      <c r="DA40" s="9" t="s">
        <v>14</v>
      </c>
      <c r="DB40" s="9">
        <f>IFERROR(IF(AT4&gt;3,CS7+CS11,0),0)</f>
        <v>0</v>
      </c>
      <c r="DT40" s="86"/>
      <c r="DW40" s="88"/>
    </row>
    <row r="41" spans="29:128" ht="12" thickBot="1" x14ac:dyDescent="0.3">
      <c r="AC41" s="119"/>
      <c r="AD41" s="119"/>
      <c r="AE41" s="119"/>
      <c r="AF41" s="119"/>
      <c r="AG41" s="119"/>
      <c r="AH41" s="119"/>
      <c r="AI41" s="119"/>
      <c r="AJ41" s="125" t="s">
        <v>160</v>
      </c>
      <c r="AK41" s="125">
        <f t="shared" ref="AK41:AQ41" si="70">IF(AK$36&lt;0,ABS(AK$36),0)</f>
        <v>0</v>
      </c>
      <c r="AL41" s="125">
        <f t="shared" si="70"/>
        <v>0</v>
      </c>
      <c r="AM41" s="125">
        <f t="shared" si="70"/>
        <v>0</v>
      </c>
      <c r="AN41" s="125">
        <f t="shared" si="70"/>
        <v>0</v>
      </c>
      <c r="AO41" s="125">
        <f t="shared" si="70"/>
        <v>0</v>
      </c>
      <c r="AP41" s="125">
        <f t="shared" si="70"/>
        <v>0</v>
      </c>
      <c r="AQ41" s="125">
        <f t="shared" si="70"/>
        <v>0</v>
      </c>
      <c r="AR41" s="5"/>
      <c r="AT41" s="8"/>
      <c r="AU41" s="9">
        <f ca="1"/>
        <v>21</v>
      </c>
      <c r="AV41" s="9">
        <f ca="1"/>
        <v>2026</v>
      </c>
      <c r="AW41" s="9" t="str">
        <f ca="1"/>
        <v>Qtr1</v>
      </c>
      <c r="AX41" s="127">
        <f>R18</f>
        <v>2E-3</v>
      </c>
      <c r="AY41" s="129">
        <f>ABS(AO43)</f>
        <v>0</v>
      </c>
      <c r="AZ41" s="132">
        <f>IFERROR(IF(AND($AT$4&gt;=2,ABS($AO$41)&lt;0),ABS($AO$41),0),NA())</f>
        <v>0</v>
      </c>
      <c r="BA41" s="10">
        <f>IFERROR(AY41+AZ41,NA())</f>
        <v>0</v>
      </c>
      <c r="BB41" s="127">
        <f>IFERROR(IF(AND($AT$4&gt;=2,$AO$40&gt;0),$AO$40,0),NA())</f>
        <v>0</v>
      </c>
      <c r="BC41" s="133">
        <f>IF(BB41-BA41&lt;0,0,BB41-BA41)</f>
        <v>0</v>
      </c>
      <c r="BD41" s="130">
        <f>BC41+AX41</f>
        <v>2E-3</v>
      </c>
      <c r="BE41" s="130">
        <f>IF(BD41-BA41&lt;0,0,BD41-BA41)</f>
        <v>2E-3</v>
      </c>
      <c r="BF41" s="131">
        <f>BE41/BD41</f>
        <v>1</v>
      </c>
      <c r="BG41" s="126">
        <f>IFERROR((0.1*BD41)/BD41,NA())</f>
        <v>0.1</v>
      </c>
      <c r="BH41" s="126">
        <f>IFERROR((0.1*BD41)/BD41,NA())</f>
        <v>0.1</v>
      </c>
      <c r="BI41" s="126">
        <f>IFERROR((0.2*BD41)/BD41,NA())</f>
        <v>0.2</v>
      </c>
      <c r="BJ41" s="131">
        <f>IFERROR(IF($AT$4&gt;2,0,BF41),NA())</f>
        <v>1</v>
      </c>
      <c r="BK41" s="131">
        <f>IFERROR(IF($AT$4&gt;2,BF41,0),NA())</f>
        <v>0</v>
      </c>
      <c r="BL41" s="128">
        <f>IF(BK41&gt;0,0,BC41/AX41)</f>
        <v>0</v>
      </c>
      <c r="BM41" s="135">
        <f>IF((BD41-BE41)=0,0,(BD41-BE41)/BD41)</f>
        <v>0</v>
      </c>
      <c r="BN41" s="126">
        <f>IFERROR(BF41,"")</f>
        <v>1</v>
      </c>
      <c r="BO41" s="8">
        <f>IFERROR(BA41,"")</f>
        <v>0</v>
      </c>
      <c r="BP41" s="8">
        <f>IFERROR(AX41,"")</f>
        <v>2E-3</v>
      </c>
      <c r="BQ41" s="8" t="str">
        <f>IFERROR(IF(BC41=0,"",BC41),"")</f>
        <v/>
      </c>
      <c r="CY41" s="9" t="str">
        <f>IF(DB44&gt;1,CY49,IF(AND($AT$4&gt;3,CY44&lt;&gt;""),CY49,""))</f>
        <v/>
      </c>
      <c r="CZ41" s="9"/>
      <c r="DA41" s="9" t="s">
        <v>168</v>
      </c>
      <c r="DB41" s="9">
        <f>IF(DB40&lt;0,ABS(DB40),0)</f>
        <v>0</v>
      </c>
      <c r="DT41" s="86"/>
      <c r="DW41" s="88"/>
    </row>
    <row r="42" spans="29:128" ht="12" thickBot="1" x14ac:dyDescent="0.3">
      <c r="AC42" s="119"/>
      <c r="AD42" s="119"/>
      <c r="AE42" s="119"/>
      <c r="AF42" s="119"/>
      <c r="AG42" s="119"/>
      <c r="AH42" s="119"/>
      <c r="AI42" s="119"/>
      <c r="AJ42" s="5"/>
      <c r="AK42" s="9">
        <f>J18</f>
        <v>2E-3</v>
      </c>
      <c r="AL42" s="9">
        <f>L18</f>
        <v>2E-3</v>
      </c>
      <c r="AM42" s="9">
        <f>N18</f>
        <v>2E-3</v>
      </c>
      <c r="AN42" s="9">
        <f>P18</f>
        <v>2E-3</v>
      </c>
      <c r="AO42" s="9">
        <f>R18</f>
        <v>2E-3</v>
      </c>
      <c r="AP42" s="9">
        <f>T18</f>
        <v>2E-3</v>
      </c>
      <c r="AQ42" s="9">
        <f>V18</f>
        <v>2E-3</v>
      </c>
      <c r="AR42" s="5"/>
      <c r="AT42" s="8"/>
      <c r="AU42" s="9">
        <f ca="1"/>
        <v>22</v>
      </c>
      <c r="AV42" s="9">
        <f ca="1"/>
        <v>2026</v>
      </c>
      <c r="AW42" s="9" t="str">
        <f ca="1"/>
        <v>Grand Total</v>
      </c>
      <c r="AX42" s="127" t="str">
        <f>R19</f>
        <v/>
      </c>
      <c r="AY42" s="129">
        <f>ABS(AO82)</f>
        <v>0</v>
      </c>
      <c r="AZ42" s="132">
        <f>IFERROR(IF(AND($AT$4&gt;=3,ABS($AO$80)&lt;0),ABS($AO$80),0),NA())</f>
        <v>0</v>
      </c>
      <c r="BA42" s="10">
        <f>IFERROR(AY42+AZ42,NA())</f>
        <v>0</v>
      </c>
      <c r="BB42" s="127">
        <f>IFERROR(IF(AND($AT$4&gt;=3,$AO$79&gt;0),$AO$79,0),NA())</f>
        <v>0</v>
      </c>
      <c r="BC42" s="133">
        <f>IF(BB42-BA42&lt;0,0,BB42-BA42)</f>
        <v>0</v>
      </c>
      <c r="BD42" s="130" t="e">
        <f>BC42+AX42</f>
        <v>#VALUE!</v>
      </c>
      <c r="BE42" s="130" t="e">
        <f>IF(BD42-BA42&lt;0,0,BD42-BA42)</f>
        <v>#VALUE!</v>
      </c>
      <c r="BF42" s="131" t="e">
        <f>BE42/BD42</f>
        <v>#VALUE!</v>
      </c>
      <c r="BG42" s="126" t="e">
        <f>IFERROR((0.1*BD42)/BD42,NA())</f>
        <v>#N/A</v>
      </c>
      <c r="BH42" s="126" t="e">
        <f>IFERROR((0.1*BD42)/BD42,NA())</f>
        <v>#N/A</v>
      </c>
      <c r="BI42" s="126" t="e">
        <f>IFERROR((0.2*BD42)/BD42,NA())</f>
        <v>#N/A</v>
      </c>
      <c r="BJ42" s="131" t="e">
        <f>IFERROR(IF($AT$4&gt;3,0,BF42),NA())</f>
        <v>#N/A</v>
      </c>
      <c r="BK42" s="131">
        <f>IFERROR(IF($AT$4&gt;3,BF42,0),NA())</f>
        <v>0</v>
      </c>
      <c r="BL42" s="128" t="e">
        <f>IF(BK42&gt;0,0,BC42/AX42)</f>
        <v>#VALUE!</v>
      </c>
      <c r="BM42" s="135" t="e">
        <f>IF((BD42-BE42)=0,0,(BD42-BE42)/BD42)</f>
        <v>#VALUE!</v>
      </c>
      <c r="BN42" s="126" t="str">
        <f>IFERROR(BF42,"")</f>
        <v/>
      </c>
      <c r="BO42" s="8">
        <f>IFERROR(BA42,"")</f>
        <v>0</v>
      </c>
      <c r="BP42" s="8" t="str">
        <f>IFERROR(AX42,"")</f>
        <v/>
      </c>
      <c r="BQ42" s="8" t="str">
        <f>IFERROR(IF(BC42=0,"",BC42),"")</f>
        <v/>
      </c>
      <c r="CX42" s="188" t="str">
        <f ca="1">IF(CY42&lt;&gt;"",CW1,"")</f>
        <v/>
      </c>
      <c r="CY42" s="144" t="str">
        <f ca="1">E20</f>
        <v/>
      </c>
      <c r="CZ42" s="9"/>
      <c r="DA42" s="9" t="s">
        <v>167</v>
      </c>
      <c r="DB42" s="9">
        <f>IF(DB40&gt;0,DB40,0)</f>
        <v>0</v>
      </c>
    </row>
    <row r="43" spans="29:128" x14ac:dyDescent="0.25">
      <c r="AC43" s="119"/>
      <c r="AD43" s="119"/>
      <c r="AE43" s="119"/>
      <c r="AF43" s="119"/>
      <c r="AG43" s="119"/>
      <c r="AH43" s="119"/>
      <c r="AI43" s="119"/>
      <c r="AJ43" s="5"/>
      <c r="AK43" s="9">
        <f>IF(AT4&gt;1,K18+AK41,AK41)</f>
        <v>0</v>
      </c>
      <c r="AL43" s="9">
        <f>IF(AT4&gt;1,M18+AL41,AL41)</f>
        <v>0</v>
      </c>
      <c r="AM43" s="9">
        <f>IF(AT4&gt;1,O18+AM41,AM41)</f>
        <v>0</v>
      </c>
      <c r="AN43" s="9">
        <f>IF(AT4&gt;1,Q18+AN41,AN41)</f>
        <v>0</v>
      </c>
      <c r="AO43" s="9">
        <f>IF(AT4&gt;1,S18+AO41,AO41)</f>
        <v>0</v>
      </c>
      <c r="AP43" s="9">
        <f>IF(AT4&gt;1,U18+AP41,AP41)</f>
        <v>0</v>
      </c>
      <c r="AQ43" s="9">
        <f>IF(AT4&gt;1,W18+AQ41,AQ41)</f>
        <v>0</v>
      </c>
      <c r="AR43" s="5"/>
      <c r="AT43" s="8"/>
      <c r="AU43" s="9">
        <f ca="1"/>
        <v>23</v>
      </c>
      <c r="AV43" s="9">
        <f ca="1"/>
        <v>2026</v>
      </c>
      <c r="AW43" s="9">
        <f ca="1"/>
        <v>0</v>
      </c>
      <c r="AX43" s="127">
        <f>R20</f>
        <v>0</v>
      </c>
      <c r="AY43" s="129">
        <f>ABS(AO118)</f>
        <v>0</v>
      </c>
      <c r="AZ43" s="132">
        <f>IFERROR(IF(AND($AT$4&gt;=4,ABS($AO$116)&lt;0),ABS($AO$116),0),NA())</f>
        <v>0</v>
      </c>
      <c r="BA43" s="10">
        <f>IFERROR(AY43+AZ43,NA())</f>
        <v>0</v>
      </c>
      <c r="BB43" s="127">
        <f>IFERROR(IF(AND($AT$4&gt;=4,$AO$115&gt;0),$AO$115,0),NA())</f>
        <v>0</v>
      </c>
      <c r="BC43" s="133">
        <f>IF(BB43-BA43&lt;0,0,BB43-BA43)</f>
        <v>0</v>
      </c>
      <c r="BD43" s="130">
        <f>BC43+AX43</f>
        <v>0</v>
      </c>
      <c r="BE43" s="130">
        <f>IF(BD43-BA43&lt;0,0,BD43-BA43)</f>
        <v>0</v>
      </c>
      <c r="BF43" s="131" t="e">
        <f>BE43/BD43</f>
        <v>#DIV/0!</v>
      </c>
      <c r="BG43" s="126" t="e">
        <f>IFERROR((0.1*BD43)/BD43,NA())</f>
        <v>#N/A</v>
      </c>
      <c r="BH43" s="126" t="e">
        <f>IFERROR((0.1*BD43)/BD43,NA())</f>
        <v>#N/A</v>
      </c>
      <c r="BI43" s="126" t="e">
        <f>IFERROR((0.2*BD43)/BD43,NA())</f>
        <v>#N/A</v>
      </c>
      <c r="BJ43" s="131" t="e">
        <f>IFERROR(IF($AT$4&gt;4,0,BF43),NA())</f>
        <v>#N/A</v>
      </c>
      <c r="BK43" s="131">
        <f>IFERROR(IF($AT$4&gt;4,BF43,0),NA())</f>
        <v>0</v>
      </c>
      <c r="BL43" s="128" t="e">
        <f>IF(BK43&gt;0,0,BC43/AX43)</f>
        <v>#DIV/0!</v>
      </c>
      <c r="BM43" s="135">
        <f>IF((BD43-BE43)=0,0,(BD43-BE43)/BD43)</f>
        <v>0</v>
      </c>
      <c r="BN43" s="126" t="str">
        <f>IFERROR(BF43,"")</f>
        <v/>
      </c>
      <c r="BO43" s="8">
        <f>IFERROR(BA43,"")</f>
        <v>0</v>
      </c>
      <c r="BP43" s="8">
        <f>IFERROR(AX43,"")</f>
        <v>0</v>
      </c>
      <c r="BQ43" s="8" t="str">
        <f>IFERROR(IF(BC43=0,"",BC43),"")</f>
        <v/>
      </c>
      <c r="CY43" s="9" t="s">
        <v>14</v>
      </c>
      <c r="CZ43" s="9" cm="1">
        <f t="array" ref="CZ43">IFERROR(_xlfn.IFS(DB42&gt;0,0%,(DB41/CZ44)&gt;1.4,1.4,DB41&gt;=0,(DB41/CZ44)),0)</f>
        <v>0</v>
      </c>
      <c r="DA43" s="9"/>
      <c r="DB43" s="9" t="s">
        <v>169</v>
      </c>
    </row>
    <row r="44" spans="29:128" x14ac:dyDescent="0.25">
      <c r="AC44" s="119"/>
      <c r="AD44" s="119"/>
      <c r="AE44" s="119"/>
      <c r="AF44" s="119"/>
      <c r="AG44" s="119"/>
      <c r="AH44" s="119"/>
      <c r="AI44" s="119"/>
      <c r="AJ44" s="204">
        <f>IF($AJ$3-1&lt;0,0,$AJ$3-1)</f>
        <v>0</v>
      </c>
      <c r="AK44" s="123" t="str">
        <f>$J$4</f>
        <v>Category1</v>
      </c>
      <c r="AL44" s="123" t="str">
        <f>$L$4</f>
        <v>Category2</v>
      </c>
      <c r="AM44" s="123" t="str">
        <f>$N$4</f>
        <v>Category3</v>
      </c>
      <c r="AN44" s="123" t="str">
        <f>$P$4</f>
        <v>Category4</v>
      </c>
      <c r="AO44" s="123" t="str">
        <f>$R$4</f>
        <v>Category5</v>
      </c>
      <c r="AP44" s="123" t="str">
        <f>$T$4</f>
        <v>Category6</v>
      </c>
      <c r="AQ44" s="123" t="str">
        <f>$V$4</f>
        <v>Category7</v>
      </c>
      <c r="AR44" s="22" t="s">
        <v>144</v>
      </c>
      <c r="AT44" s="8"/>
      <c r="AU44" s="9"/>
      <c r="AV44" s="9"/>
      <c r="AW44" s="9"/>
      <c r="AX44" s="127">
        <f>R21</f>
        <v>0</v>
      </c>
      <c r="AY44" s="129">
        <f>ABS(AO151)</f>
        <v>0</v>
      </c>
      <c r="AZ44" s="132">
        <f>IFERROR(IF(AND($AT$4&gt;=5,ABS($AO$149)&lt;0),ABS($AO$149),0),NA())</f>
        <v>0</v>
      </c>
      <c r="BA44" s="10">
        <f>IFERROR(AY44+AZ44,NA())</f>
        <v>0</v>
      </c>
      <c r="BB44" s="127">
        <f>IFERROR(IF(AND($AT$4&gt;=5,$AO$148&gt;0),$AO$148,0),NA())</f>
        <v>0</v>
      </c>
      <c r="BC44" s="133">
        <f>IF(BB44-BA44&lt;0,0,BB44-BA44)</f>
        <v>0</v>
      </c>
      <c r="BD44" s="130">
        <f>BC44+AX44</f>
        <v>0</v>
      </c>
      <c r="BE44" s="130">
        <f>IF(BD44-BA44&lt;0,0,BD44-BA44)</f>
        <v>0</v>
      </c>
      <c r="BF44" s="131" t="e">
        <f>BE44/BD44</f>
        <v>#DIV/0!</v>
      </c>
      <c r="BG44" s="126" t="e">
        <f>IFERROR((0.1*BD44)/BD44,NA())</f>
        <v>#N/A</v>
      </c>
      <c r="BH44" s="126" t="e">
        <f>IFERROR((0.1*BD44)/BD44,NA())</f>
        <v>#N/A</v>
      </c>
      <c r="BI44" s="126" t="e">
        <f>IFERROR((0.2*BD44)/BD44,NA())</f>
        <v>#N/A</v>
      </c>
      <c r="BJ44" s="131" t="e">
        <f>IFERROR(IF($AT$4&gt;5,0,BF44),NA())</f>
        <v>#N/A</v>
      </c>
      <c r="BK44" s="131">
        <f>IFERROR(IF($AT$4&gt;5,BF44,0),NA())</f>
        <v>0</v>
      </c>
      <c r="BL44" s="128" t="e">
        <f>IF(BK44&gt;0,0,BC44/AX44)</f>
        <v>#DIV/0!</v>
      </c>
      <c r="BM44" s="135">
        <f>IF((BD44-BE44)=0,0,(BD44-BE44)/BD44)</f>
        <v>0</v>
      </c>
      <c r="BN44" s="126" t="str">
        <f>IFERROR(BF44,"")</f>
        <v/>
      </c>
      <c r="BO44" s="8">
        <f>IFERROR(BA44,"")</f>
        <v>0</v>
      </c>
      <c r="BP44" s="8">
        <f>IFERROR(AX44,"")</f>
        <v>0</v>
      </c>
      <c r="BQ44" s="8" t="str">
        <f>IFERROR(IF(BC44=0,"",BC44),"")</f>
        <v/>
      </c>
      <c r="CY44" s="9" t="str">
        <f>F20</f>
        <v/>
      </c>
      <c r="CZ44" s="9">
        <f>CT18</f>
        <v>0</v>
      </c>
      <c r="DA44" s="126">
        <v>0</v>
      </c>
      <c r="DB44" s="126">
        <f>CZ43</f>
        <v>0</v>
      </c>
    </row>
    <row r="45" spans="29:128" x14ac:dyDescent="0.25">
      <c r="AC45" s="119"/>
      <c r="AD45" s="119"/>
      <c r="AE45" s="119"/>
      <c r="AF45" s="119"/>
      <c r="AG45" s="119"/>
      <c r="AH45" s="119"/>
      <c r="AI45" s="119"/>
      <c r="AJ45" s="210" t="str">
        <f>IF(ISBLANK($C$4),"",$C$4)</f>
        <v>Category1</v>
      </c>
      <c r="AK45" s="210">
        <f>IFERROR(IF($AK$43&gt;$AK$42,IF(AND(AJ45=$AK$44,AA4=3),($AK$43-$AK$42),IF(AND(AA4=2,$AA$4&lt;&gt;3),$AK$43-$AK$42)),0),0)</f>
        <v>0</v>
      </c>
      <c r="AL45" s="210">
        <f>IFERROR(IF($AL$43&gt;$AL$42,IF(AND(AJ45=$AL$44,AA4=3),($AL$43-$AL$42),IF(AND(AA4=2,$AA$5&lt;&gt;3),$AL$43-$AL$42)),0),0)</f>
        <v>0</v>
      </c>
      <c r="AM45" s="210">
        <f>IFERROR(IF($AM$43&gt;$AM$42,IF(AND(AJ45=$AM$44,AA4=3),($AM$43-$AM$42),IF(AND(AA4=2,$AA$6&lt;&gt;3),$AM$43-$AM$42)),0),0)</f>
        <v>0</v>
      </c>
      <c r="AN45" s="210">
        <f>IFERROR(IF($AN$43&gt;$AN$42,IF(AND(AJ45=$AN$44,AA4=3),($AN$43-$AN$42),IF(AND(AA4=2,$AA$7&lt;&gt;3),$AN$43-$AN$42)),0),0)</f>
        <v>0</v>
      </c>
      <c r="AO45" s="210">
        <f>IFERROR(IF($AO$43&gt;$AO$42,IF(AND(AJ45=$AO$44,AA4=3),($AO$43-$AO$42),IF(AND(AA4=2,$AA$8&lt;&gt;3),$AO$43-$AO$42)),0),0)</f>
        <v>0</v>
      </c>
      <c r="AP45" s="210">
        <f>IFERROR(IF($AP$43&gt;$AP$42,IF(AND(AJ45=$AP$44,AA4=3),($AP$43-$AP$42),IF(AND(AA4=2,$AA$9&lt;&gt;3),$AP$43-$AP$42)),0),0)</f>
        <v>0</v>
      </c>
      <c r="AQ45" s="210">
        <f>IFERROR(IF($AQ$43&gt;$AQ$42,IF(AND(AJ45=$AQ$44,AA4=3),($AQ$43-$AQ$42),IF(AND(AA4=2,$AA$10&lt;&gt;3),$AQ$43-$AQ$42)),0),0)</f>
        <v>0</v>
      </c>
      <c r="AR45" s="94">
        <f t="shared" ref="AR45:AR55" si="71">IF($AT$4&gt;1,SUM(AK45:AQ45),0)</f>
        <v>0</v>
      </c>
      <c r="AT45" s="304" cm="1">
        <f t="array" ref="AT45">_xlfn.IFS($AT$4=1,BO40,$AT$4=2,BO41,$AT$4=3,BO42,$AT$4=4,BO43,$AT$4=5,BO44)</f>
        <v>2.0000000000000001E-4</v>
      </c>
      <c r="AU45" s="304" cm="1">
        <f t="array" ref="AU45">_xlfn.IFS($AT$4=1,BP40,$AT$4=2,BP41,$AT$4=3,BP42,$AT$4=4,BP43,$AT$4=5,BP44)</f>
        <v>2E-3</v>
      </c>
      <c r="AV45" s="8" t="str">
        <f>IF(AU45&lt;&gt;"","/ "&amp;AU45&amp;WB_Data!EJ2,"")</f>
        <v>/ 0.002$</v>
      </c>
      <c r="AW45" s="303" cm="1">
        <f t="array" ref="AW45">_xlfn.IFS($AT$4=1,BQ40,$AT$4=2,BQ41,$AT$4=3,BQ42,$AT$4=4,BQ43,$AT$4=5,BQ44)</f>
        <v>0</v>
      </c>
      <c r="AX45" s="85" t="str">
        <f>IF(AW45="","","Extra")</f>
        <v>Extra</v>
      </c>
      <c r="CY45" s="9" t="s">
        <v>184</v>
      </c>
      <c r="CZ45" s="9"/>
      <c r="DA45" s="126">
        <v>1</v>
      </c>
      <c r="DB45" s="126">
        <v>0.01</v>
      </c>
    </row>
    <row r="46" spans="29:128" x14ac:dyDescent="0.25">
      <c r="AC46" s="119"/>
      <c r="AD46" s="119"/>
      <c r="AE46" s="119"/>
      <c r="AF46" s="119"/>
      <c r="AG46" s="119"/>
      <c r="AH46" s="119"/>
      <c r="AI46" s="119"/>
      <c r="AJ46" s="210" t="str">
        <f>IF(ISBLANK($C$5),"",$C$5)</f>
        <v>Category2</v>
      </c>
      <c r="AK46" s="210">
        <f t="shared" ref="AK46:AK55" si="72">IFERROR(IF($AK$43&gt;$AK$42,IF(AND(AJ46=$AK$44,AA5=3),($AK$43-$AK$42),IF(AND(AA5=2,$AA$4&lt;&gt;3),$AK$43-$AK$42)),0),0)</f>
        <v>0</v>
      </c>
      <c r="AL46" s="210">
        <f t="shared" ref="AL46:AL55" si="73">IFERROR(IF($AL$43&gt;$AL$42,IF(AND(AJ46=$AL$44,AA5=3),($AL$43-$AL$42),IF(AND(AA5=2,$AA$5&lt;&gt;3),$AL$43-$AL$42)),0),0)</f>
        <v>0</v>
      </c>
      <c r="AM46" s="210">
        <f t="shared" ref="AM46:AM55" si="74">IFERROR(IF($AM$43&gt;$AM$42,IF(AND(AJ46=$AM$44,AA5=3),($AM$43-$AM$42),IF(AND(AA5=2,$AA$6&lt;&gt;3),$AM$43-$AM$42)),0),0)</f>
        <v>0</v>
      </c>
      <c r="AN46" s="210">
        <f t="shared" ref="AN46:AN55" si="75">IFERROR(IF($AN$43&gt;$AN$42,IF(AND(AJ46=$AN$44,AA5=3),($AN$43-$AN$42),IF(AND(AA5=2,$AA$7&lt;&gt;3),$AN$43-$AN$42)),0),0)</f>
        <v>0</v>
      </c>
      <c r="AO46" s="210">
        <f t="shared" ref="AO46:AO55" si="76">IFERROR(IF($AO$43&gt;$AO$42,IF(AND(AJ46=$AO$44,AA5=3),($AO$43-$AO$42),IF(AND(AA5=2,$AA$8&lt;&gt;3),$AO$43-$AO$42)),0),0)</f>
        <v>0</v>
      </c>
      <c r="AP46" s="210">
        <f t="shared" ref="AP46:AP55" si="77">IFERROR(IF($AP$43&gt;$AP$42,IF(AND(AJ46=$AP$44,AA5=3),($AP$43-$AP$42),IF(AND(AA5=2,$AA$9&lt;&gt;3),$AP$43-$AP$42)),0),0)</f>
        <v>0</v>
      </c>
      <c r="AQ46" s="210">
        <f t="shared" ref="AQ46:AQ55" si="78">IFERROR(IF($AQ$43&gt;$AQ$42,IF(AND(AJ46=$AQ$44,AA5=3),($AQ$43-$AQ$42),IF(AND(AA5=2,$AA$10&lt;&gt;3),$AQ$43-$AQ$42)),0),0)</f>
        <v>0</v>
      </c>
      <c r="AR46" s="94">
        <f t="shared" si="71"/>
        <v>0</v>
      </c>
      <c r="CY46" s="9" t="s">
        <v>185</v>
      </c>
      <c r="CZ46" s="9"/>
      <c r="DA46" s="126">
        <v>0.1</v>
      </c>
      <c r="DB46" s="126">
        <f>(SUM(DA44:DA49)-DB44)+DB47</f>
        <v>3.2</v>
      </c>
    </row>
    <row r="47" spans="29:128" x14ac:dyDescent="0.25">
      <c r="AC47" s="119"/>
      <c r="AD47" s="119"/>
      <c r="AE47" s="119"/>
      <c r="AF47" s="119"/>
      <c r="AG47" s="119"/>
      <c r="AH47" s="119"/>
      <c r="AI47" s="119"/>
      <c r="AJ47" s="210" t="str">
        <f>IF(ISBLANK($C$6),"",$C$6)</f>
        <v>Category3</v>
      </c>
      <c r="AK47" s="210">
        <f t="shared" si="72"/>
        <v>0</v>
      </c>
      <c r="AL47" s="210">
        <f t="shared" si="73"/>
        <v>0</v>
      </c>
      <c r="AM47" s="210">
        <f t="shared" si="74"/>
        <v>0</v>
      </c>
      <c r="AN47" s="210">
        <f t="shared" si="75"/>
        <v>0</v>
      </c>
      <c r="AO47" s="210">
        <f t="shared" si="76"/>
        <v>0</v>
      </c>
      <c r="AP47" s="210">
        <f t="shared" si="77"/>
        <v>0</v>
      </c>
      <c r="AQ47" s="210">
        <f t="shared" si="78"/>
        <v>0</v>
      </c>
      <c r="AR47" s="94">
        <f t="shared" si="71"/>
        <v>0</v>
      </c>
      <c r="CY47" s="9" t="s">
        <v>186</v>
      </c>
      <c r="CZ47" s="9"/>
      <c r="DA47" s="126">
        <v>0.2</v>
      </c>
      <c r="DB47" s="9" t="b">
        <f>IF(DB44&gt;1.1,(1-DB44))</f>
        <v>0</v>
      </c>
    </row>
    <row r="48" spans="29:128" x14ac:dyDescent="0.25">
      <c r="AC48" s="119"/>
      <c r="AD48" s="119"/>
      <c r="AE48" s="119"/>
      <c r="AF48" s="119"/>
      <c r="AG48" s="119"/>
      <c r="AH48" s="119"/>
      <c r="AI48" s="119"/>
      <c r="AJ48" s="210" t="str">
        <f>IF(ISBLANK($C$7),"",$C$7)</f>
        <v>Category4</v>
      </c>
      <c r="AK48" s="210">
        <f t="shared" si="72"/>
        <v>0</v>
      </c>
      <c r="AL48" s="210">
        <f t="shared" si="73"/>
        <v>0</v>
      </c>
      <c r="AM48" s="210">
        <f t="shared" si="74"/>
        <v>0</v>
      </c>
      <c r="AN48" s="210">
        <f t="shared" si="75"/>
        <v>0</v>
      </c>
      <c r="AO48" s="210">
        <f t="shared" si="76"/>
        <v>0</v>
      </c>
      <c r="AP48" s="210">
        <f t="shared" si="77"/>
        <v>0</v>
      </c>
      <c r="AQ48" s="210">
        <f t="shared" si="78"/>
        <v>0</v>
      </c>
      <c r="AR48" s="94">
        <f t="shared" si="71"/>
        <v>0</v>
      </c>
      <c r="AT48" s="8">
        <f>$AT$2</f>
        <v>20</v>
      </c>
      <c r="AU48" s="8" t="str">
        <f>CONCATENATE("G17:G"&amp;AT48)</f>
        <v>G17:G20</v>
      </c>
      <c r="AV48" s="9" t="str">
        <f>CONCATENATE("H17:H"&amp;AT48)</f>
        <v>H17:H20</v>
      </c>
      <c r="AW48" s="8" t="str">
        <f>CONCATENATE("I17:I"&amp;AT48)</f>
        <v>I17:I20</v>
      </c>
      <c r="AX48" s="127" t="s">
        <v>105</v>
      </c>
      <c r="AY48" s="129" t="s">
        <v>14</v>
      </c>
      <c r="AZ48" s="9" t="s">
        <v>153</v>
      </c>
      <c r="BA48" s="10" t="s">
        <v>152</v>
      </c>
      <c r="BB48" s="9" t="s">
        <v>154</v>
      </c>
      <c r="BC48" s="133" t="s">
        <v>155</v>
      </c>
      <c r="BD48" s="130" t="s">
        <v>156</v>
      </c>
      <c r="BE48" s="130" t="s">
        <v>151</v>
      </c>
      <c r="BF48" s="130" t="s">
        <v>151</v>
      </c>
      <c r="BG48" s="9" t="s">
        <v>147</v>
      </c>
      <c r="BH48" s="9" t="s">
        <v>148</v>
      </c>
      <c r="BI48" s="9" t="s">
        <v>149</v>
      </c>
      <c r="BJ48" s="130" t="s">
        <v>159</v>
      </c>
      <c r="BK48" s="130" t="s">
        <v>158</v>
      </c>
      <c r="BL48" s="127" t="s">
        <v>157</v>
      </c>
      <c r="BM48" s="132" t="s">
        <v>150</v>
      </c>
      <c r="CY48" s="9" t="s">
        <v>187</v>
      </c>
      <c r="CZ48" s="9"/>
      <c r="DA48" s="126">
        <v>0.3</v>
      </c>
      <c r="DB48" s="9"/>
    </row>
    <row r="49" spans="29:106" x14ac:dyDescent="0.25">
      <c r="AC49" s="119"/>
      <c r="AD49" s="119"/>
      <c r="AE49" s="119"/>
      <c r="AF49" s="119"/>
      <c r="AG49" s="119"/>
      <c r="AH49" s="119"/>
      <c r="AI49" s="119"/>
      <c r="AJ49" s="210" t="str">
        <f>IF(ISBLANK($C$8),"",$C$8)</f>
        <v>Category5</v>
      </c>
      <c r="AK49" s="210">
        <f t="shared" si="72"/>
        <v>0</v>
      </c>
      <c r="AL49" s="210">
        <f t="shared" si="73"/>
        <v>0</v>
      </c>
      <c r="AM49" s="210">
        <f t="shared" si="74"/>
        <v>0</v>
      </c>
      <c r="AN49" s="210">
        <f t="shared" si="75"/>
        <v>0</v>
      </c>
      <c r="AO49" s="210">
        <f t="shared" si="76"/>
        <v>0</v>
      </c>
      <c r="AP49" s="210">
        <f t="shared" si="77"/>
        <v>0</v>
      </c>
      <c r="AQ49" s="210">
        <f t="shared" si="78"/>
        <v>0</v>
      </c>
      <c r="AR49" s="94">
        <f t="shared" si="71"/>
        <v>0</v>
      </c>
      <c r="AT49" s="9" t="str">
        <f>AP3</f>
        <v>Category6</v>
      </c>
      <c r="AU49" s="9" cm="1">
        <f t="array" aca="1" ref="AU49:AU52" ca="1">INDIRECT(AU48)</f>
        <v>11</v>
      </c>
      <c r="AV49" s="9" cm="1">
        <f t="array" aca="1" ref="AV49:AV52" ca="1">INDIRECT(AV48)</f>
        <v>2025</v>
      </c>
      <c r="AW49" s="9" t="str" cm="1">
        <f t="array" aca="1" ref="AW49:AW52" ca="1">INDIRECT(AW48)</f>
        <v>Qtr1</v>
      </c>
      <c r="AX49" s="127">
        <f>T17</f>
        <v>2E-3</v>
      </c>
      <c r="AY49" s="129">
        <f>ABS(AP2)</f>
        <v>2.0000000000000001E-4</v>
      </c>
      <c r="AZ49" s="9"/>
      <c r="BA49" s="10">
        <f>IFERROR(AY49+AZ49,NA())</f>
        <v>2.0000000000000001E-4</v>
      </c>
      <c r="BB49" s="9"/>
      <c r="BC49" s="133">
        <f>IF(BB49-BA49&lt;0,0,BB49-BA49)</f>
        <v>0</v>
      </c>
      <c r="BD49" s="130">
        <f>BC49+AX49</f>
        <v>2E-3</v>
      </c>
      <c r="BE49" s="130">
        <f>IF(BD49-BA49&lt;0,0,BD49-BA49)</f>
        <v>1.8E-3</v>
      </c>
      <c r="BF49" s="131">
        <f>BE49/BD49</f>
        <v>0.89999999999999991</v>
      </c>
      <c r="BG49" s="126">
        <f>IFERROR((0.1*BD49)/BD49,NA())</f>
        <v>0.1</v>
      </c>
      <c r="BH49" s="126">
        <f>IFERROR((0.1*BD49)/BD49,NA())</f>
        <v>0.1</v>
      </c>
      <c r="BI49" s="126">
        <f>IFERROR((0.2*BD49)/BD49,NA())</f>
        <v>0.2</v>
      </c>
      <c r="BJ49" s="131">
        <f>IFERROR(IF($AT$4&gt;1,0,BF49),NA())</f>
        <v>0.89999999999999991</v>
      </c>
      <c r="BK49" s="131">
        <f>IFERROR(IF($AT$4&gt;1,BF49,0),NA())</f>
        <v>0</v>
      </c>
      <c r="BL49" s="128">
        <f>IF(BK49&gt;0,0,BC49/AX49)</f>
        <v>0</v>
      </c>
      <c r="BM49" s="135">
        <f>IF((BD49-BE49)=0,0,(BD49-BE49)/BD49)</f>
        <v>0.10000000000000005</v>
      </c>
      <c r="BN49" s="126">
        <f>IFERROR(BF49,"")</f>
        <v>0.89999999999999991</v>
      </c>
      <c r="BO49" s="8">
        <f>IFERROR(BA49,"")</f>
        <v>2.0000000000000001E-4</v>
      </c>
      <c r="BP49" s="8">
        <f>IFERROR(AX49,"")</f>
        <v>2E-3</v>
      </c>
      <c r="BQ49" s="117"/>
      <c r="CY49" s="9" t="str" cm="1">
        <f t="array" ref="CY49">_xlfn.IFS(DB44&lt;=1,CY45,DB44&lt;=1.1,CY46,DB44&lt;=1.2,CY47,DB44&lt;=1.4,CY48,DB44&gt;=1.4,CY48)</f>
        <v>Good</v>
      </c>
      <c r="CZ49" s="9"/>
      <c r="DA49" s="126">
        <f>SUM(DA44:DA48)</f>
        <v>1.6</v>
      </c>
      <c r="DB49" s="9"/>
    </row>
    <row r="50" spans="29:106" x14ac:dyDescent="0.25">
      <c r="AC50" s="119"/>
      <c r="AD50" s="119"/>
      <c r="AE50" s="119"/>
      <c r="AF50" s="119"/>
      <c r="AG50" s="119"/>
      <c r="AH50" s="119"/>
      <c r="AJ50" s="210" t="str">
        <f>IF(ISBLANK($C$9),"",$C$9)</f>
        <v>Category6</v>
      </c>
      <c r="AK50" s="210">
        <f t="shared" si="72"/>
        <v>0</v>
      </c>
      <c r="AL50" s="210">
        <f t="shared" si="73"/>
        <v>0</v>
      </c>
      <c r="AM50" s="210">
        <f t="shared" si="74"/>
        <v>0</v>
      </c>
      <c r="AN50" s="210">
        <f t="shared" si="75"/>
        <v>0</v>
      </c>
      <c r="AO50" s="210">
        <f t="shared" si="76"/>
        <v>0</v>
      </c>
      <c r="AP50" s="210">
        <f t="shared" si="77"/>
        <v>0</v>
      </c>
      <c r="AQ50" s="210">
        <f t="shared" si="78"/>
        <v>0</v>
      </c>
      <c r="AR50" s="94">
        <f t="shared" si="71"/>
        <v>0</v>
      </c>
      <c r="AT50" s="8"/>
      <c r="AU50" s="9">
        <f ca="1"/>
        <v>21</v>
      </c>
      <c r="AV50" s="9">
        <f ca="1"/>
        <v>2026</v>
      </c>
      <c r="AW50" s="9" t="str">
        <f ca="1"/>
        <v>Qtr1</v>
      </c>
      <c r="AX50" s="127">
        <f>T18</f>
        <v>2E-3</v>
      </c>
      <c r="AY50" s="129">
        <f>ABS(AP43)</f>
        <v>0</v>
      </c>
      <c r="AZ50" s="132">
        <f>IFERROR(IF(AND($AT$4&gt;=2,ABS($AP$41)&lt;0),ABS($AP$41),0),NA())</f>
        <v>0</v>
      </c>
      <c r="BA50" s="10">
        <f>IFERROR(AY50+AZ50,NA())</f>
        <v>0</v>
      </c>
      <c r="BB50" s="127">
        <f>IFERROR(IF(AND($AT$4&gt;=2,$AP$40&gt;0),$AP$40,0),NA())</f>
        <v>0</v>
      </c>
      <c r="BC50" s="133">
        <f>IF(BB50-BA50&lt;0,0,BB50-BA50)</f>
        <v>0</v>
      </c>
      <c r="BD50" s="130">
        <f>BC50+AX50</f>
        <v>2E-3</v>
      </c>
      <c r="BE50" s="130">
        <f>IF(BD50-BA50&lt;0,0,BD50-BA50)</f>
        <v>2E-3</v>
      </c>
      <c r="BF50" s="131">
        <f>BE50/BD50</f>
        <v>1</v>
      </c>
      <c r="BG50" s="126">
        <f>IFERROR((0.1*BD50)/BD50,NA())</f>
        <v>0.1</v>
      </c>
      <c r="BH50" s="126">
        <f>IFERROR((0.1*BD50)/BD50,NA())</f>
        <v>0.1</v>
      </c>
      <c r="BI50" s="126">
        <f>IFERROR((0.2*BD50)/BD50,NA())</f>
        <v>0.2</v>
      </c>
      <c r="BJ50" s="131">
        <f>IFERROR(IF($AT$4&gt;2,0,BF50),NA())</f>
        <v>1</v>
      </c>
      <c r="BK50" s="131">
        <f>IFERROR(IF($AT$4&gt;2,BF50,0),NA())</f>
        <v>0</v>
      </c>
      <c r="BL50" s="128">
        <f>IF(BK50&gt;0,0,BC50/AX50)</f>
        <v>0</v>
      </c>
      <c r="BM50" s="135">
        <f>IF((BD50-BE50)=0,0,(BD50-BE50)/BD50)</f>
        <v>0</v>
      </c>
      <c r="BN50" s="126">
        <f>IFERROR(BF50,"")</f>
        <v>1</v>
      </c>
      <c r="BO50" s="8">
        <f>IFERROR(BA50,"")</f>
        <v>0</v>
      </c>
      <c r="BP50" s="8">
        <f>IFERROR(AX50,"")</f>
        <v>2E-3</v>
      </c>
      <c r="BQ50" s="8" t="str">
        <f>IFERROR(IF(BC50=0,"",BC50),"")</f>
        <v/>
      </c>
    </row>
    <row r="51" spans="29:106" x14ac:dyDescent="0.25">
      <c r="AC51" s="119"/>
      <c r="AD51" s="119"/>
      <c r="AE51" s="119"/>
      <c r="AF51" s="119"/>
      <c r="AG51" s="119"/>
      <c r="AH51" s="119"/>
      <c r="AI51" s="119"/>
      <c r="AJ51" s="210" t="str">
        <f>IF(ISBLANK($C$10),"",$C$10)</f>
        <v>Category7</v>
      </c>
      <c r="AK51" s="210">
        <f t="shared" si="72"/>
        <v>0</v>
      </c>
      <c r="AL51" s="210">
        <f t="shared" si="73"/>
        <v>0</v>
      </c>
      <c r="AM51" s="210">
        <f t="shared" si="74"/>
        <v>0</v>
      </c>
      <c r="AN51" s="210">
        <f t="shared" si="75"/>
        <v>0</v>
      </c>
      <c r="AO51" s="210">
        <f t="shared" si="76"/>
        <v>0</v>
      </c>
      <c r="AP51" s="210">
        <f t="shared" si="77"/>
        <v>0</v>
      </c>
      <c r="AQ51" s="210">
        <f t="shared" si="78"/>
        <v>0</v>
      </c>
      <c r="AR51" s="94">
        <f t="shared" si="71"/>
        <v>0</v>
      </c>
      <c r="AT51" s="8"/>
      <c r="AU51" s="9">
        <f ca="1"/>
        <v>22</v>
      </c>
      <c r="AV51" s="9">
        <f ca="1"/>
        <v>2026</v>
      </c>
      <c r="AW51" s="9" t="str">
        <f ca="1"/>
        <v>Grand Total</v>
      </c>
      <c r="AX51" s="127" t="str">
        <f>T19</f>
        <v/>
      </c>
      <c r="AY51" s="129">
        <f>ABS(AP82)</f>
        <v>0</v>
      </c>
      <c r="AZ51" s="132">
        <f>IFERROR(IF(AND($AT$4&gt;=3,ABS($AP$80)&lt;0),ABS($AP$80),0),NA())</f>
        <v>0</v>
      </c>
      <c r="BA51" s="10">
        <f>IFERROR(AY51+AZ51,NA())</f>
        <v>0</v>
      </c>
      <c r="BB51" s="127">
        <f>IFERROR(IF(AND($AT$4&gt;=3,$AP$79&gt;0),$AP$79,0),NA())</f>
        <v>0</v>
      </c>
      <c r="BC51" s="133">
        <f>IF(BB51-BA51&lt;0,0,BB51-BA51)</f>
        <v>0</v>
      </c>
      <c r="BD51" s="130" t="e">
        <f>BC51+AX51</f>
        <v>#VALUE!</v>
      </c>
      <c r="BE51" s="130" t="e">
        <f>IF(BD51-BA51&lt;0,0,BD51-BA51)</f>
        <v>#VALUE!</v>
      </c>
      <c r="BF51" s="131" t="e">
        <f>BE51/BD51</f>
        <v>#VALUE!</v>
      </c>
      <c r="BG51" s="126" t="e">
        <f>IFERROR((0.1*BD51)/BD51,NA())</f>
        <v>#N/A</v>
      </c>
      <c r="BH51" s="126" t="e">
        <f>IFERROR((0.1*BD51)/BD51,NA())</f>
        <v>#N/A</v>
      </c>
      <c r="BI51" s="126" t="e">
        <f>IFERROR((0.2*BD51)/BD51,NA())</f>
        <v>#N/A</v>
      </c>
      <c r="BJ51" s="131" t="e">
        <f>IFERROR(IF($AT$4&gt;3,0,BF51),NA())</f>
        <v>#N/A</v>
      </c>
      <c r="BK51" s="131">
        <f>IFERROR(IF($AT$4&gt;3,BF51,0),NA())</f>
        <v>0</v>
      </c>
      <c r="BL51" s="128" t="e">
        <f>IF(BK51&gt;0,0,BC51/AX51)</f>
        <v>#VALUE!</v>
      </c>
      <c r="BM51" s="135" t="e">
        <f>IF((BD51-BE51)=0,0,(BD51-BE51)/BD51)</f>
        <v>#VALUE!</v>
      </c>
      <c r="BN51" s="126" t="str">
        <f>IFERROR(BF51,"")</f>
        <v/>
      </c>
      <c r="BO51" s="8">
        <f>IFERROR(BA51,"")</f>
        <v>0</v>
      </c>
      <c r="BP51" s="8" t="str">
        <f>IFERROR(AX51,"")</f>
        <v/>
      </c>
      <c r="BQ51" s="8" t="str">
        <f>IFERROR(IF(BC51=0,"",BC51),"")</f>
        <v/>
      </c>
    </row>
    <row r="52" spans="29:106" x14ac:dyDescent="0.25">
      <c r="AC52" s="5"/>
      <c r="AD52" s="5"/>
      <c r="AE52" s="5"/>
      <c r="AF52" s="5"/>
      <c r="AG52" s="5"/>
      <c r="AH52" s="5"/>
      <c r="AJ52" s="210" t="str">
        <f>IF(ISBLANK($C$11),"",$C$11)</f>
        <v/>
      </c>
      <c r="AK52" s="210">
        <f t="shared" si="72"/>
        <v>0</v>
      </c>
      <c r="AL52" s="210">
        <f t="shared" si="73"/>
        <v>0</v>
      </c>
      <c r="AM52" s="210">
        <f t="shared" si="74"/>
        <v>0</v>
      </c>
      <c r="AN52" s="210">
        <f t="shared" si="75"/>
        <v>0</v>
      </c>
      <c r="AO52" s="210">
        <f t="shared" si="76"/>
        <v>0</v>
      </c>
      <c r="AP52" s="210">
        <f t="shared" si="77"/>
        <v>0</v>
      </c>
      <c r="AQ52" s="210">
        <f t="shared" si="78"/>
        <v>0</v>
      </c>
      <c r="AR52" s="94">
        <f t="shared" si="71"/>
        <v>0</v>
      </c>
      <c r="AT52" s="8"/>
      <c r="AU52" s="9">
        <f ca="1"/>
        <v>23</v>
      </c>
      <c r="AV52" s="9">
        <f ca="1"/>
        <v>2026</v>
      </c>
      <c r="AW52" s="9">
        <f ca="1"/>
        <v>0</v>
      </c>
      <c r="AX52" s="127">
        <f>T20</f>
        <v>0</v>
      </c>
      <c r="AY52" s="129">
        <f>ABS(AP118)</f>
        <v>0</v>
      </c>
      <c r="AZ52" s="132">
        <f>IFERROR(IF(AND($AT$4&gt;=4,ABS($AP$116)&lt;0),ABS($AP$116),0),NA())</f>
        <v>0</v>
      </c>
      <c r="BA52" s="10">
        <f>IFERROR(AY52+AZ52,NA())</f>
        <v>0</v>
      </c>
      <c r="BB52" s="127">
        <f>IFERROR(IF(AND($AT$4&gt;=4,$AP$115&gt;0),$AP$115,0),NA())</f>
        <v>0</v>
      </c>
      <c r="BC52" s="133">
        <f>IF(BB52-BA52&lt;0,0,BB52-BA52)</f>
        <v>0</v>
      </c>
      <c r="BD52" s="130">
        <f>BC52+AX52</f>
        <v>0</v>
      </c>
      <c r="BE52" s="130">
        <f>IF(BD52-BA52&lt;0,0,BD52-BA52)</f>
        <v>0</v>
      </c>
      <c r="BF52" s="131" t="e">
        <f>BE52/BD52</f>
        <v>#DIV/0!</v>
      </c>
      <c r="BG52" s="126" t="e">
        <f>IFERROR((0.1*BD52)/BD52,NA())</f>
        <v>#N/A</v>
      </c>
      <c r="BH52" s="126" t="e">
        <f>IFERROR((0.1*BD52)/BD52,NA())</f>
        <v>#N/A</v>
      </c>
      <c r="BI52" s="126" t="e">
        <f>IFERROR((0.2*BD52)/BD52,NA())</f>
        <v>#N/A</v>
      </c>
      <c r="BJ52" s="131" t="e">
        <f>IFERROR(IF($AT$4&gt;4,0,BF52),NA())</f>
        <v>#N/A</v>
      </c>
      <c r="BK52" s="131">
        <f>IFERROR(IF($AT$4&gt;4,BF52,0),NA())</f>
        <v>0</v>
      </c>
      <c r="BL52" s="128" t="e">
        <f>IF(BK52&gt;0,0,BC52/AX52)</f>
        <v>#DIV/0!</v>
      </c>
      <c r="BM52" s="135">
        <f>IF((BD52-BE52)=0,0,(BD52-BE52)/BD52)</f>
        <v>0</v>
      </c>
      <c r="BN52" s="126" t="str">
        <f>IFERROR(BF52,"")</f>
        <v/>
      </c>
      <c r="BO52" s="8">
        <f>IFERROR(BA52,"")</f>
        <v>0</v>
      </c>
      <c r="BP52" s="8">
        <f>IFERROR(AX52,"")</f>
        <v>0</v>
      </c>
      <c r="BQ52" s="8" t="str">
        <f>IFERROR(IF(BC52=0,"",BC52),"")</f>
        <v/>
      </c>
    </row>
    <row r="53" spans="29:106" x14ac:dyDescent="0.25">
      <c r="AC53" s="5"/>
      <c r="AD53" s="5"/>
      <c r="AE53" s="5"/>
      <c r="AF53" s="5"/>
      <c r="AG53" s="5"/>
      <c r="AH53" s="5"/>
      <c r="AJ53" s="210" t="str">
        <f>IF(ISBLANK($C$12),"",$C$12)</f>
        <v/>
      </c>
      <c r="AK53" s="210">
        <f t="shared" si="72"/>
        <v>0</v>
      </c>
      <c r="AL53" s="210">
        <f t="shared" si="73"/>
        <v>0</v>
      </c>
      <c r="AM53" s="210">
        <f t="shared" si="74"/>
        <v>0</v>
      </c>
      <c r="AN53" s="210">
        <f t="shared" si="75"/>
        <v>0</v>
      </c>
      <c r="AO53" s="210">
        <f t="shared" si="76"/>
        <v>0</v>
      </c>
      <c r="AP53" s="210">
        <f t="shared" si="77"/>
        <v>0</v>
      </c>
      <c r="AQ53" s="210">
        <f t="shared" si="78"/>
        <v>0</v>
      </c>
      <c r="AR53" s="94">
        <f t="shared" si="71"/>
        <v>0</v>
      </c>
      <c r="AT53" s="8"/>
      <c r="AU53" s="9"/>
      <c r="AV53" s="9"/>
      <c r="AW53" s="9"/>
      <c r="AX53" s="127">
        <f>T21</f>
        <v>0</v>
      </c>
      <c r="AY53" s="129">
        <f>ABS(AP151)</f>
        <v>0</v>
      </c>
      <c r="AZ53" s="132">
        <f>IFERROR(IF(AND($AT$4&gt;=5,ABS($AP$149)&lt;0),ABS($AP$149),0),NA())</f>
        <v>0</v>
      </c>
      <c r="BA53" s="10">
        <f>IFERROR(AY53+AZ53,NA())</f>
        <v>0</v>
      </c>
      <c r="BB53" s="127">
        <f>IFERROR(IF(AND($AT$4&gt;=5,$AP$148&gt;0),$AP$148,0),NA())</f>
        <v>0</v>
      </c>
      <c r="BC53" s="133">
        <f>IF(BB53-BA53&lt;0,0,BB53-BA53)</f>
        <v>0</v>
      </c>
      <c r="BD53" s="130">
        <f>BC53+AX53</f>
        <v>0</v>
      </c>
      <c r="BE53" s="130">
        <f>IF(BD53-BA53&lt;0,0,BD53-BA53)</f>
        <v>0</v>
      </c>
      <c r="BF53" s="131" t="e">
        <f>BE53/BD53</f>
        <v>#DIV/0!</v>
      </c>
      <c r="BG53" s="126" t="e">
        <f>IFERROR((0.1*BD53)/BD53,NA())</f>
        <v>#N/A</v>
      </c>
      <c r="BH53" s="126" t="e">
        <f>IFERROR((0.1*BD53)/BD53,NA())</f>
        <v>#N/A</v>
      </c>
      <c r="BI53" s="126" t="e">
        <f>IFERROR((0.2*BD53)/BD53,NA())</f>
        <v>#N/A</v>
      </c>
      <c r="BJ53" s="131" t="e">
        <f>IFERROR(IF($AT$4&gt;5,0,BF53),NA())</f>
        <v>#N/A</v>
      </c>
      <c r="BK53" s="131">
        <f>IFERROR(IF($AT$4&gt;5,BF53,0),NA())</f>
        <v>0</v>
      </c>
      <c r="BL53" s="128" t="e">
        <f>IF(BK53&gt;0,0,BC53/AX53)</f>
        <v>#DIV/0!</v>
      </c>
      <c r="BM53" s="135">
        <f>IF((BD53-BE53)=0,0,(BD53-BE53)/BD53)</f>
        <v>0</v>
      </c>
      <c r="BN53" s="126" t="str">
        <f>IFERROR(BF53,"")</f>
        <v/>
      </c>
      <c r="BO53" s="8">
        <f>IFERROR(BA53,"")</f>
        <v>0</v>
      </c>
      <c r="BP53" s="8">
        <f>IFERROR(AX53,"")</f>
        <v>0</v>
      </c>
      <c r="BQ53" s="8" t="str">
        <f>IFERROR(IF(BC53=0,"",BC53),"")</f>
        <v/>
      </c>
      <c r="CY53" s="126" t="str">
        <f>IF(CY57&lt;&gt;"",DB57,"")</f>
        <v/>
      </c>
      <c r="CZ53" s="9"/>
      <c r="DA53" s="9" t="s">
        <v>14</v>
      </c>
      <c r="DB53" s="9">
        <f>IFERROR(IF(AT4&gt;4,CS8+CS12,0),0)</f>
        <v>0</v>
      </c>
    </row>
    <row r="54" spans="29:106" ht="12" thickBot="1" x14ac:dyDescent="0.3">
      <c r="AC54" s="119"/>
      <c r="AD54" s="119"/>
      <c r="AE54" s="119"/>
      <c r="AF54" s="119"/>
      <c r="AG54" s="119"/>
      <c r="AH54" s="119"/>
      <c r="AI54" s="119"/>
      <c r="AJ54" s="210" t="str">
        <f>IF(ISBLANK($C$13),"",$C$13)</f>
        <v/>
      </c>
      <c r="AK54" s="210">
        <f t="shared" si="72"/>
        <v>0</v>
      </c>
      <c r="AL54" s="210">
        <f t="shared" si="73"/>
        <v>0</v>
      </c>
      <c r="AM54" s="210">
        <f t="shared" si="74"/>
        <v>0</v>
      </c>
      <c r="AN54" s="210">
        <f t="shared" si="75"/>
        <v>0</v>
      </c>
      <c r="AO54" s="210">
        <f t="shared" si="76"/>
        <v>0</v>
      </c>
      <c r="AP54" s="210">
        <f t="shared" si="77"/>
        <v>0</v>
      </c>
      <c r="AQ54" s="210">
        <f t="shared" si="78"/>
        <v>0</v>
      </c>
      <c r="AR54" s="94">
        <f t="shared" si="71"/>
        <v>0</v>
      </c>
      <c r="AT54" s="304" cm="1">
        <f t="array" ref="AT54">_xlfn.IFS($AT$4=1,BO49,$AT$4=2,BO50,$AT$4=3,BO51,$AT$4=4,BO52,$AT$4=5,BO53)</f>
        <v>2.0000000000000001E-4</v>
      </c>
      <c r="AU54" s="304" cm="1">
        <f t="array" ref="AU54">_xlfn.IFS($AT$4=1,BP49,$AT$4=2,BP50,$AT$4=3,BP51,$AT$4=4,BP52,$AT$4=5,BP53)</f>
        <v>2E-3</v>
      </c>
      <c r="AV54" s="8" t="str">
        <f>IF(AU54&lt;&gt;"","/ "&amp;AU54&amp;WB_Data!EJ2,"")</f>
        <v>/ 0.002$</v>
      </c>
      <c r="AW54" s="303" cm="1">
        <f t="array" ref="AW54">_xlfn.IFS($AT$4=1,BQ49,$AT$4=2,BQ50,$AT$4=3,BQ51,$AT$4=4,BQ52,$AT$4=5,BQ53)</f>
        <v>0</v>
      </c>
      <c r="AX54" s="85" t="str">
        <f>IF(AW54="","","Extra")</f>
        <v>Extra</v>
      </c>
      <c r="CY54" s="9" t="str">
        <f>IF(DB57&gt;1,CY62,IF(AND($AT$4&gt;4,CY57&lt;&gt;""),CY62,""))</f>
        <v/>
      </c>
      <c r="CZ54" s="9"/>
      <c r="DA54" s="9" t="s">
        <v>168</v>
      </c>
      <c r="DB54" s="9">
        <f>IF(DB53&lt;0,ABS(DB53),0)</f>
        <v>0</v>
      </c>
    </row>
    <row r="55" spans="29:106" ht="12" thickBot="1" x14ac:dyDescent="0.3">
      <c r="AC55" s="5"/>
      <c r="AD55" s="5"/>
      <c r="AE55" s="5"/>
      <c r="AF55" s="5"/>
      <c r="AG55" s="5"/>
      <c r="AH55" s="5"/>
      <c r="AJ55" s="210" t="str">
        <f>IF(ISBLANK($C$14),"",$C$14)</f>
        <v/>
      </c>
      <c r="AK55" s="210">
        <f t="shared" si="72"/>
        <v>0</v>
      </c>
      <c r="AL55" s="210">
        <f t="shared" si="73"/>
        <v>0</v>
      </c>
      <c r="AM55" s="210">
        <f t="shared" si="74"/>
        <v>0</v>
      </c>
      <c r="AN55" s="210">
        <f t="shared" si="75"/>
        <v>0</v>
      </c>
      <c r="AO55" s="210">
        <f t="shared" si="76"/>
        <v>0</v>
      </c>
      <c r="AP55" s="210">
        <f t="shared" si="77"/>
        <v>0</v>
      </c>
      <c r="AQ55" s="210">
        <f t="shared" si="78"/>
        <v>0</v>
      </c>
      <c r="AR55" s="94">
        <f t="shared" si="71"/>
        <v>0</v>
      </c>
      <c r="CX55" s="188" t="str">
        <f ca="1">IF(CY55&lt;&gt;"",CW1,"")</f>
        <v/>
      </c>
      <c r="CY55" s="144" t="str">
        <f ca="1">E21</f>
        <v/>
      </c>
      <c r="CZ55" s="9"/>
      <c r="DA55" s="9" t="s">
        <v>167</v>
      </c>
      <c r="DB55" s="9">
        <f>IF(DB53&gt;0,DB53,0)</f>
        <v>0</v>
      </c>
    </row>
    <row r="56" spans="29:106" x14ac:dyDescent="0.25">
      <c r="AC56" s="119"/>
      <c r="AD56" s="119"/>
      <c r="AE56" s="119"/>
      <c r="AF56" s="119"/>
      <c r="AG56" s="119"/>
      <c r="AH56" s="119"/>
      <c r="AI56" s="119"/>
      <c r="AJ56" s="210" t="s">
        <v>144</v>
      </c>
      <c r="AK56" s="210">
        <f t="shared" ref="AK56:AQ56" si="79">SUM(AK45:AK55)</f>
        <v>0</v>
      </c>
      <c r="AL56" s="210">
        <f t="shared" si="79"/>
        <v>0</v>
      </c>
      <c r="AM56" s="210">
        <f t="shared" si="79"/>
        <v>0</v>
      </c>
      <c r="AN56" s="210">
        <f t="shared" si="79"/>
        <v>0</v>
      </c>
      <c r="AO56" s="210">
        <f t="shared" si="79"/>
        <v>0</v>
      </c>
      <c r="AP56" s="210">
        <f t="shared" si="79"/>
        <v>0</v>
      </c>
      <c r="AQ56" s="210">
        <f t="shared" si="79"/>
        <v>0</v>
      </c>
      <c r="AR56" s="94"/>
      <c r="CY56" s="9" t="s">
        <v>14</v>
      </c>
      <c r="CZ56" s="9" cm="1">
        <f t="array" ref="CZ56">IFERROR(_xlfn.IFS(DB54&gt;0,0%,(DB54/CZ57)&gt;1.4,1.4,DB54&gt;=0,(DB54/CZ57)),0)</f>
        <v>0</v>
      </c>
      <c r="DA56" s="9"/>
      <c r="DB56" s="9" t="s">
        <v>169</v>
      </c>
    </row>
    <row r="57" spans="29:106" x14ac:dyDescent="0.25">
      <c r="AC57" s="119"/>
      <c r="AD57" s="119"/>
      <c r="AE57" s="119"/>
      <c r="AF57" s="119"/>
      <c r="AG57" s="119"/>
      <c r="AH57" s="119"/>
      <c r="AI57" s="119"/>
      <c r="AJ57" s="36" t="s">
        <v>163</v>
      </c>
      <c r="AK57" s="36">
        <f>IFERROR(IF($AA$4=3,($AR$45/$AJ$44)*$AE$3,($AR$45/$AJ$44)*$AE4*$AE$3),0)</f>
        <v>0</v>
      </c>
      <c r="AL57" s="36">
        <f>IFERROR(IF($AA$5=3,($AR$46/$AJ$44)*$AE$3,($AR$46/$AJ$44)*$AE5*$AE$3),0)</f>
        <v>0</v>
      </c>
      <c r="AM57" s="36">
        <f>IFERROR(IF($AA$6=3,($AR$47/$AJ$44)*$AE$3,($AR$47/$AJ$44)*$AE6*$AE$3),0)</f>
        <v>0</v>
      </c>
      <c r="AN57" s="36">
        <f>IFERROR(IF($AA$7=3,($AR$48/$AJ$44)*$AE$3,($AR$48/$AJ$44)*$AE7*$AE$3),0)</f>
        <v>0</v>
      </c>
      <c r="AO57" s="36">
        <f>IFERROR(IF($AA$8=3,($AR49/$AJ$44)*$AE$3,($AR49/$AJ$44)*$AE8*$AE$3),0)</f>
        <v>0</v>
      </c>
      <c r="AP57" s="36">
        <f>IFERROR(IF($AA$9=3,($AR$50/$AJ$44)*$AE$3,($AR$50/$AJ$44)*$AE9*$AE$3),0)</f>
        <v>0</v>
      </c>
      <c r="AQ57" s="36">
        <f>IFERROR(IF($AA10=3,($AR$51/$AJ$44)*$AE$3,($AR$51/$AJ$44)*$AE$10*$AE$3),0)</f>
        <v>0</v>
      </c>
      <c r="AR57" s="206">
        <f>SUM(AK57:AQ57)</f>
        <v>0</v>
      </c>
      <c r="AT57" s="8">
        <f>$AT$2</f>
        <v>20</v>
      </c>
      <c r="AU57" s="8" t="str">
        <f>CONCATENATE("G17:G"&amp;AT57)</f>
        <v>G17:G20</v>
      </c>
      <c r="AV57" s="9" t="str">
        <f>CONCATENATE("H17:H"&amp;AT57)</f>
        <v>H17:H20</v>
      </c>
      <c r="AW57" s="8" t="str">
        <f>CONCATENATE("I17:I"&amp;AT57)</f>
        <v>I17:I20</v>
      </c>
      <c r="AX57" s="127" t="s">
        <v>105</v>
      </c>
      <c r="AY57" s="129" t="s">
        <v>14</v>
      </c>
      <c r="AZ57" s="9" t="s">
        <v>153</v>
      </c>
      <c r="BA57" s="10" t="s">
        <v>152</v>
      </c>
      <c r="BB57" s="9" t="s">
        <v>154</v>
      </c>
      <c r="BC57" s="133" t="s">
        <v>155</v>
      </c>
      <c r="BD57" s="130" t="s">
        <v>156</v>
      </c>
      <c r="BE57" s="130" t="s">
        <v>151</v>
      </c>
      <c r="BF57" s="130" t="s">
        <v>151</v>
      </c>
      <c r="BG57" s="9" t="s">
        <v>147</v>
      </c>
      <c r="BH57" s="9" t="s">
        <v>148</v>
      </c>
      <c r="BI57" s="9" t="s">
        <v>149</v>
      </c>
      <c r="BJ57" s="130" t="s">
        <v>159</v>
      </c>
      <c r="BK57" s="130" t="s">
        <v>158</v>
      </c>
      <c r="BL57" s="127" t="s">
        <v>157</v>
      </c>
      <c r="BM57" s="132" t="s">
        <v>150</v>
      </c>
      <c r="CY57" s="9" t="str">
        <f>F21</f>
        <v/>
      </c>
      <c r="CZ57" s="9">
        <f>CT19</f>
        <v>0</v>
      </c>
      <c r="DA57" s="126">
        <v>0</v>
      </c>
      <c r="DB57" s="126">
        <f>CZ56</f>
        <v>0</v>
      </c>
    </row>
    <row r="58" spans="29:106" x14ac:dyDescent="0.25">
      <c r="AC58" s="119"/>
      <c r="AD58" s="119"/>
      <c r="AE58" s="119"/>
      <c r="AF58" s="119"/>
      <c r="AG58" s="119"/>
      <c r="AH58" s="119"/>
      <c r="AI58" s="119"/>
      <c r="AJ58" s="37" t="s">
        <v>164</v>
      </c>
      <c r="AK58" s="37">
        <f>IFERROR(IF($AA$4=3,($AR$45/$AJ$44)*$AG$3,($AR$45/$AJ$44)*$AG4*$AG$3),0)</f>
        <v>0</v>
      </c>
      <c r="AL58" s="37">
        <f>IFERROR(IF($AA$5=3,($AR$46/$AJ$44)*$AG$3,($AR$46/$AJ$44)*$AG5*$AG$3),0)</f>
        <v>0</v>
      </c>
      <c r="AM58" s="37">
        <f>IFERROR(IF($AA$6=3,($AR$47/$AJ$44)*$AG$3,($AR$47/$AJ$44)*$AG6*$AG$3),0)</f>
        <v>0</v>
      </c>
      <c r="AN58" s="37">
        <f>IFERROR(IF($AA$7=3,($AR$48/$AJ$44)*$AG$3,($AR$48/$AJ$44)*$AG7*$AG$3),0)</f>
        <v>0</v>
      </c>
      <c r="AO58" s="37">
        <f>IFERROR(IF($AA$8=3,($AR$49/$AJ$44)*$AG$3,($AR$49/$AJ$44)*$AG8*$AG$3),0)</f>
        <v>0</v>
      </c>
      <c r="AP58" s="37">
        <f>IFERROR(IF($AA$9=3,($AR$50/$AJ$44)*$AG$3,($AR$50/$AJ$44)*$AG9*$AG$3),0)</f>
        <v>0</v>
      </c>
      <c r="AQ58" s="37">
        <f>IFERROR(IF($AA10=3,($AR$51/$AJ$44)*$AG$3,($AR$51/$AJ$44)*$AG$10*$AG$3),0)</f>
        <v>0</v>
      </c>
      <c r="AR58" s="207">
        <f>SUM(AK58:AQ58)</f>
        <v>0</v>
      </c>
      <c r="AT58" s="9" t="str">
        <f>AQ3</f>
        <v>Category7</v>
      </c>
      <c r="AU58" s="9" cm="1">
        <f t="array" aca="1" ref="AU58:AU61" ca="1">INDIRECT(AU57)</f>
        <v>11</v>
      </c>
      <c r="AV58" s="9" cm="1">
        <f t="array" aca="1" ref="AV58:AV61" ca="1">INDIRECT(AV57)</f>
        <v>2025</v>
      </c>
      <c r="AW58" s="9" t="str" cm="1">
        <f t="array" aca="1" ref="AW58:AW61" ca="1">INDIRECT(AW57)</f>
        <v>Qtr1</v>
      </c>
      <c r="AX58" s="127">
        <f>V17</f>
        <v>2E-3</v>
      </c>
      <c r="AY58" s="129">
        <f>ABS(AQ2)</f>
        <v>2.0000000000000001E-4</v>
      </c>
      <c r="AZ58" s="9"/>
      <c r="BA58" s="10">
        <f>IFERROR(AY58+AZ58,NA())</f>
        <v>2.0000000000000001E-4</v>
      </c>
      <c r="BB58" s="9"/>
      <c r="BC58" s="133">
        <f>IF(BB58-BA58&lt;0,0,BB58-BA58)</f>
        <v>0</v>
      </c>
      <c r="BD58" s="130">
        <f>BC58+AX58</f>
        <v>2E-3</v>
      </c>
      <c r="BE58" s="130">
        <f>IF(BD58-BA58&lt;0,0,BD58-BA58)</f>
        <v>1.8E-3</v>
      </c>
      <c r="BF58" s="131">
        <f>BE58/BD58</f>
        <v>0.89999999999999991</v>
      </c>
      <c r="BG58" s="126">
        <f>IFERROR((0.1*BD58)/BD58,NA())</f>
        <v>0.1</v>
      </c>
      <c r="BH58" s="126">
        <f>IFERROR((0.1*BD58)/BD58,NA())</f>
        <v>0.1</v>
      </c>
      <c r="BI58" s="126">
        <f>IFERROR((0.2*BD58)/BD58,NA())</f>
        <v>0.2</v>
      </c>
      <c r="BJ58" s="131">
        <f>IFERROR(IF($AT$4&gt;1,0,BF58),NA())</f>
        <v>0.89999999999999991</v>
      </c>
      <c r="BK58" s="131">
        <f>IFERROR(IF($AT$4&gt;1,BF58,0),NA())</f>
        <v>0</v>
      </c>
      <c r="BL58" s="128">
        <f>IF(BK58&gt;0,0,BC58/AX58)</f>
        <v>0</v>
      </c>
      <c r="BM58" s="135">
        <f>IF((BD58-BE58)=0,0,(BD58-BE58)/BD58)</f>
        <v>0.10000000000000005</v>
      </c>
      <c r="BN58" s="126">
        <f>IFERROR(BF58,"")</f>
        <v>0.89999999999999991</v>
      </c>
      <c r="BO58" s="8">
        <f>IFERROR(BA58,"")</f>
        <v>2.0000000000000001E-4</v>
      </c>
      <c r="BP58" s="8">
        <f>IFERROR(AX58,"")</f>
        <v>2E-3</v>
      </c>
      <c r="BQ58" s="117"/>
      <c r="CY58" s="9" t="s">
        <v>184</v>
      </c>
      <c r="CZ58" s="9"/>
      <c r="DA58" s="126">
        <v>1</v>
      </c>
      <c r="DB58" s="126">
        <v>0.01</v>
      </c>
    </row>
    <row r="59" spans="29:106" x14ac:dyDescent="0.25">
      <c r="AC59" s="119"/>
      <c r="AD59" s="119"/>
      <c r="AE59" s="119"/>
      <c r="AF59" s="119"/>
      <c r="AG59" s="119"/>
      <c r="AH59" s="119"/>
      <c r="AI59" s="119"/>
      <c r="AJ59" s="198" t="s">
        <v>165</v>
      </c>
      <c r="AK59" s="198">
        <f>IFERROR(IF($AA$4=3,($AR$45/$AJ$44)*$AI$3,($AR$45/$AJ$44)*$AI4*$AI$3),0)</f>
        <v>0</v>
      </c>
      <c r="AL59" s="198">
        <f>IFERROR(IF($AA$5=3,($AR$46/$AJ$44)*$AI$3,($AR$46/$AJ$44)*$AI5*$AI$3),0)</f>
        <v>0</v>
      </c>
      <c r="AM59" s="198">
        <f>IFERROR(IF($AA$6=3,($AR$47/$AJ$44)*$AI$3,($AR$47/$AJ$44)*$AI6*$AI$3),0)</f>
        <v>0</v>
      </c>
      <c r="AN59" s="198">
        <f>IFERROR(IF($AA$7=3,($AR$48/$AJ$44)*$AI$3,($AR$48/$AJ$44)*$AI7*$AI$3),0)</f>
        <v>0</v>
      </c>
      <c r="AO59" s="198">
        <f>IFERROR(IF($AA$8=3,($AR$49/$AJ$44)*$AI$3,($AR$49/$AJ$44)*$AI8*$AI$3),0)</f>
        <v>0</v>
      </c>
      <c r="AP59" s="198">
        <f>IFERROR(IF($AA$9=3,($AR$50/$AJ$44)*$AI$3,($AR$50/$AJ$44)*$AI9*$AI$3),0)</f>
        <v>0</v>
      </c>
      <c r="AQ59" s="198">
        <f>IFERROR(IF($AA10=3,($AR$51/$AJ$44)*$AI$3,($AR$51/$AJ$44)*$AI$10*$AI$3),0)</f>
        <v>0</v>
      </c>
      <c r="AR59" s="208">
        <f>SUM(AK59:AQ59)</f>
        <v>0</v>
      </c>
      <c r="AT59" s="8"/>
      <c r="AU59" s="9">
        <f ca="1"/>
        <v>21</v>
      </c>
      <c r="AV59" s="9">
        <f ca="1"/>
        <v>2026</v>
      </c>
      <c r="AW59" s="9" t="str">
        <f ca="1"/>
        <v>Qtr1</v>
      </c>
      <c r="AX59" s="127">
        <f>V18</f>
        <v>2E-3</v>
      </c>
      <c r="AY59" s="129">
        <f>ABS(AQ43)</f>
        <v>0</v>
      </c>
      <c r="AZ59" s="132">
        <f>IFERROR(IF(AND($AT$4&gt;=2,ABS($AQ$41)&lt;0),ABS($AQ$41),0),NA())</f>
        <v>0</v>
      </c>
      <c r="BA59" s="10">
        <f>IFERROR(AY59+AZ59,NA())</f>
        <v>0</v>
      </c>
      <c r="BB59" s="127">
        <f>IFERROR(IF(AND($AT$4&gt;=2,$AQ$40&gt;0),$AQ$40,0),NA())</f>
        <v>0</v>
      </c>
      <c r="BC59" s="133">
        <f>IF(BB59-BA59&lt;0,0,BB59-BA59)</f>
        <v>0</v>
      </c>
      <c r="BD59" s="130">
        <f>BC59+AX59</f>
        <v>2E-3</v>
      </c>
      <c r="BE59" s="130">
        <f>IF(BD59-BA59&lt;0,0,BD59-BA59)</f>
        <v>2E-3</v>
      </c>
      <c r="BF59" s="131">
        <f>BE59/BD59</f>
        <v>1</v>
      </c>
      <c r="BG59" s="126">
        <f>IFERROR((0.1*BD59)/BD59,NA())</f>
        <v>0.1</v>
      </c>
      <c r="BH59" s="126">
        <f>IFERROR((0.1*BD59)/BD59,NA())</f>
        <v>0.1</v>
      </c>
      <c r="BI59" s="126">
        <f>IFERROR((0.2*BD59)/BD59,NA())</f>
        <v>0.2</v>
      </c>
      <c r="BJ59" s="131">
        <f>IFERROR(IF($AT$4&gt;2,0,BF59),NA())</f>
        <v>1</v>
      </c>
      <c r="BK59" s="131">
        <f>IFERROR(IF($AT$4&gt;2,BF59,0),NA())</f>
        <v>0</v>
      </c>
      <c r="BL59" s="128">
        <f>IF(BK59&gt;0,0,BC59/AX59)</f>
        <v>0</v>
      </c>
      <c r="BM59" s="135">
        <f>IF((BD59-BE59)=0,0,(BD59-BE59)/BD59)</f>
        <v>0</v>
      </c>
      <c r="BN59" s="126">
        <f>IFERROR(BF59,"")</f>
        <v>1</v>
      </c>
      <c r="BO59" s="8">
        <f>IFERROR(BA59,"")</f>
        <v>0</v>
      </c>
      <c r="BP59" s="8">
        <f>IFERROR(AX59,"")</f>
        <v>2E-3</v>
      </c>
      <c r="BQ59" s="8" t="str">
        <f>IFERROR(IF(BC59=0,"",BC59),"")</f>
        <v/>
      </c>
      <c r="CY59" s="9" t="s">
        <v>185</v>
      </c>
      <c r="CZ59" s="9"/>
      <c r="DA59" s="126">
        <v>0.1</v>
      </c>
      <c r="DB59" s="126">
        <f>(SUM(DA57:DA62)-DB57)+DB60</f>
        <v>3.2</v>
      </c>
    </row>
    <row r="60" spans="29:106" x14ac:dyDescent="0.25">
      <c r="AC60" s="119"/>
      <c r="AD60" s="119"/>
      <c r="AE60" s="119"/>
      <c r="AF60" s="119"/>
      <c r="AG60" s="119"/>
      <c r="AH60" s="119"/>
      <c r="AI60" s="119"/>
      <c r="AJ60" s="39" t="str">
        <f>IF(ISBLANK($C$4),"",$C$4)</f>
        <v>Category1</v>
      </c>
      <c r="AK60" s="39">
        <f>IFERROR(IF($AK$43&lt;$AK$42,IF(AND(AJ60=$AK$44,AA4=3),($AK$42-$AK$43),IF(AND(AA4=2,$AA$4&lt;&gt;3),$AK$42-$AK$43,0)),0),0)</f>
        <v>0</v>
      </c>
      <c r="AL60" s="39">
        <f>IFERROR(IF($AL$43&lt;$AL$42,IF(AND(AJ60=$AL$44,AA4=3),($AL$42-$AL$43),IF(AND(AA4=2,$AA$5&lt;&gt;3),$AL$42-$AL$43,0)),0),0)</f>
        <v>0</v>
      </c>
      <c r="AM60" s="39">
        <f>IFERROR(IF($AM$43&lt;$AM$42,IF(AND(AJ60=$AM$44,AA4=3),($AM$42-$AM$43),IF(AND(AA4=2,$AA$6&lt;&gt;3),$AM$42-$AM$43,0)),0),0)</f>
        <v>0</v>
      </c>
      <c r="AN60" s="39">
        <f>IFERROR(IF($AN$43&lt;$AN$42,IF(AND(AJ60=$AN$44,AA4=3),($AN$42-$AN$43),IF(AND(AA4=2,$AA$7&lt;&gt;3),$AN$42-$AN$43,0)),0),0)</f>
        <v>0</v>
      </c>
      <c r="AO60" s="39">
        <f>IFERROR(IF($AO$43&lt;$AO$42,IF(AND(AJ60=$AO$44,AA4=3),($AO$42-$AO$43),IF(AND(AA4=2,$AA$8&lt;&gt;3),$AO$42-$AO$43,0)),0),0)</f>
        <v>0</v>
      </c>
      <c r="AP60" s="39">
        <f>IFERROR(IF($AP$43&lt;$AP$42,IF(AND(AJ60=$AP$44,AA4=3),($AP$42-$AP$43),IF(AND(AA4=2,$AA$9&lt;&gt;3),$AP$42-$AP$43,0)),0),0)</f>
        <v>0</v>
      </c>
      <c r="AQ60" s="39">
        <f>IFERROR(IF($AQ$43&lt;$AQ$42,IF(AND(AJ60=$AQ$44,AA4=3),($AQ$42-$AQ$43),IF(AND(AA4=2,$AA$10&lt;&gt;3),$AQ$42-$AQ$43,0)),0),0)</f>
        <v>0</v>
      </c>
      <c r="AR60" s="122">
        <f t="shared" ref="AR60:AR70" si="80">IF($AT$4&gt;2,SUM(AK60:AQ60),0)</f>
        <v>0</v>
      </c>
      <c r="AT60" s="8"/>
      <c r="AU60" s="9">
        <f ca="1"/>
        <v>22</v>
      </c>
      <c r="AV60" s="9">
        <f ca="1"/>
        <v>2026</v>
      </c>
      <c r="AW60" s="9" t="str">
        <f ca="1"/>
        <v>Grand Total</v>
      </c>
      <c r="AX60" s="127" t="str">
        <f>V19</f>
        <v/>
      </c>
      <c r="AY60" s="129">
        <f>ABS(AQ82)</f>
        <v>0</v>
      </c>
      <c r="AZ60" s="132">
        <f>IFERROR(IF(AND($AT$4&gt;=3,ABS($AQ$80)&lt;0),ABS($AQ$80),0),NA())</f>
        <v>0</v>
      </c>
      <c r="BA60" s="10">
        <f>IFERROR(AY60+AZ60,NA())</f>
        <v>0</v>
      </c>
      <c r="BB60" s="127">
        <f>IFERROR(IF(AND($AT$4&gt;=3,$AQ$79&gt;0),$AQ$79,0),NA())</f>
        <v>0</v>
      </c>
      <c r="BC60" s="133">
        <f>IF(BB60-BA60&lt;0,0,BB60-BA60)</f>
        <v>0</v>
      </c>
      <c r="BD60" s="130" t="e">
        <f>BC60+AX60</f>
        <v>#VALUE!</v>
      </c>
      <c r="BE60" s="130" t="e">
        <f>IF(BD60-BA60&lt;0,0,BD60-BA60)</f>
        <v>#VALUE!</v>
      </c>
      <c r="BF60" s="131" t="e">
        <f>BE60/BD60</f>
        <v>#VALUE!</v>
      </c>
      <c r="BG60" s="126" t="e">
        <f>IFERROR((0.1*BD60)/BD60,NA())</f>
        <v>#N/A</v>
      </c>
      <c r="BH60" s="126" t="e">
        <f>IFERROR((0.1*BD60)/BD60,NA())</f>
        <v>#N/A</v>
      </c>
      <c r="BI60" s="126" t="e">
        <f>IFERROR((0.2*BD60)/BD60,NA())</f>
        <v>#N/A</v>
      </c>
      <c r="BJ60" s="131" t="e">
        <f>IFERROR(IF($AT$4&gt;3,0,BF60),NA())</f>
        <v>#N/A</v>
      </c>
      <c r="BK60" s="131">
        <f>IFERROR(IF($AT$4&gt;3,BF60,0),NA())</f>
        <v>0</v>
      </c>
      <c r="BL60" s="128" t="e">
        <f>IF(BK60&gt;0,0,BC60/AX60)</f>
        <v>#VALUE!</v>
      </c>
      <c r="BM60" s="135" t="e">
        <f>IF((BD60-BE60)=0,0,(BD60-BE60)/BD60)</f>
        <v>#VALUE!</v>
      </c>
      <c r="BN60" s="126" t="str">
        <f>IFERROR(BF60,"")</f>
        <v/>
      </c>
      <c r="BO60" s="8">
        <f>IFERROR(BA60,"")</f>
        <v>0</v>
      </c>
      <c r="BP60" s="8" t="str">
        <f>IFERROR(AX60,"")</f>
        <v/>
      </c>
      <c r="BQ60" s="8" t="str">
        <f>IFERROR(IF(BC60=0,"",BC60),"")</f>
        <v/>
      </c>
      <c r="CY60" s="9" t="s">
        <v>186</v>
      </c>
      <c r="CZ60" s="9"/>
      <c r="DA60" s="126">
        <v>0.2</v>
      </c>
      <c r="DB60" s="9" t="b">
        <f>IF(DB57&gt;1.1,(1-DB57))</f>
        <v>0</v>
      </c>
    </row>
    <row r="61" spans="29:106" x14ac:dyDescent="0.25">
      <c r="AC61" s="119"/>
      <c r="AD61" s="119"/>
      <c r="AE61" s="119"/>
      <c r="AF61" s="119"/>
      <c r="AG61" s="119"/>
      <c r="AH61" s="119"/>
      <c r="AI61" s="119"/>
      <c r="AJ61" s="39" t="str">
        <f>IF(ISBLANK($C$5),"",$C$5)</f>
        <v>Category2</v>
      </c>
      <c r="AK61" s="39">
        <f t="shared" ref="AK61:AK70" si="81">IFERROR(IF($AK$43&lt;$AK$42,IF(AND(AJ61=$AK$44,AA5=3),($AK$42-$AK$43),IF(AND(AA5=2,$AA$4&lt;&gt;3),$AK$42-$AK$43,0)),0),0)</f>
        <v>2E-3</v>
      </c>
      <c r="AL61" s="39">
        <f t="shared" ref="AL61:AL70" si="82">IFERROR(IF($AL$43&lt;$AL$42,IF(AND(AJ61=$AL$44,AA5=3),($AL$42-$AL$43),IF(AND(AA5=2,$AA$5&lt;&gt;3),$AL$42-$AL$43,0)),0),0)</f>
        <v>2E-3</v>
      </c>
      <c r="AM61" s="39">
        <f t="shared" ref="AM61:AM70" si="83">IFERROR(IF($AM$43&lt;$AM$42,IF(AND(AJ61=$AM$44,AA5=3),($AM$42-$AM$43),IF(AND(AA5=2,$AA$6&lt;&gt;3),$AM$42-$AM$43,0)),0),0)</f>
        <v>2E-3</v>
      </c>
      <c r="AN61" s="39">
        <f t="shared" ref="AN61:AN70" si="84">IFERROR(IF($AN$43&lt;$AN$42,IF(AND(AJ61=$AN$44,AA5=3),($AN$42-$AN$43),IF(AND(AA5=2,$AA$7&lt;&gt;3),$AN$42-$AN$43,0)),0),0)</f>
        <v>2E-3</v>
      </c>
      <c r="AO61" s="39">
        <f t="shared" ref="AO61:AO70" si="85">IFERROR(IF($AO$43&lt;$AO$42,IF(AND(AJ61=$AO$44,AA5=3),($AO$42-$AO$43),IF(AND(AA5=2,$AA$8&lt;&gt;3),$AO$42-$AO$43,0)),0),0)</f>
        <v>2E-3</v>
      </c>
      <c r="AP61" s="39">
        <f t="shared" ref="AP61:AP70" si="86">IFERROR(IF($AP$43&lt;$AP$42,IF(AND(AJ61=$AP$44,AA5=3),($AP$42-$AP$43),IF(AND(AA5=2,$AA$9&lt;&gt;3),$AP$42-$AP$43,0)),0),0)</f>
        <v>2E-3</v>
      </c>
      <c r="AQ61" s="39">
        <f t="shared" ref="AQ61:AQ70" si="87">IFERROR(IF($AQ$43&lt;$AQ$42,IF(AND(AJ61=$AQ$44,AA5=3),($AQ$42-$AQ$43),IF(AND(AA5=2,$AA$10&lt;&gt;3),$AQ$42-$AQ$43,0)),0),0)</f>
        <v>0</v>
      </c>
      <c r="AR61" s="122">
        <f t="shared" si="80"/>
        <v>0</v>
      </c>
      <c r="AT61" s="8"/>
      <c r="AU61" s="9">
        <f ca="1"/>
        <v>23</v>
      </c>
      <c r="AV61" s="9">
        <f ca="1"/>
        <v>2026</v>
      </c>
      <c r="AW61" s="9">
        <f ca="1"/>
        <v>0</v>
      </c>
      <c r="AX61" s="127">
        <f>V20</f>
        <v>0</v>
      </c>
      <c r="AY61" s="129">
        <f>ABS(AQ118)</f>
        <v>0</v>
      </c>
      <c r="AZ61" s="132">
        <f>IFERROR(IF(AND($AT$4&gt;=4,ABS($AQ$116)&lt;0),ABS($AQ$116),0),NA())</f>
        <v>0</v>
      </c>
      <c r="BA61" s="10">
        <f>IFERROR(AY61+AZ61,NA())</f>
        <v>0</v>
      </c>
      <c r="BB61" s="127">
        <f>IFERROR(IF(AND($AT$4&gt;=4,$AQ$115&gt;0),$AQ$115,0),NA())</f>
        <v>0</v>
      </c>
      <c r="BC61" s="133">
        <f>IF(BB61-BA61&lt;0,0,BB61-BA61)</f>
        <v>0</v>
      </c>
      <c r="BD61" s="130">
        <f>BC61+AX61</f>
        <v>0</v>
      </c>
      <c r="BE61" s="130">
        <f>IF(BD61-BA61&lt;0,0,BD61-BA61)</f>
        <v>0</v>
      </c>
      <c r="BF61" s="131" t="e">
        <f>BE61/BD61</f>
        <v>#DIV/0!</v>
      </c>
      <c r="BG61" s="126" t="e">
        <f>IFERROR((0.1*BD61)/BD61,NA())</f>
        <v>#N/A</v>
      </c>
      <c r="BH61" s="126" t="e">
        <f>IFERROR((0.1*BD61)/BD61,NA())</f>
        <v>#N/A</v>
      </c>
      <c r="BI61" s="126" t="e">
        <f>IFERROR((0.2*BD61)/BD61,NA())</f>
        <v>#N/A</v>
      </c>
      <c r="BJ61" s="131" t="e">
        <f>IFERROR(IF($AT$4&gt;4,0,BF61),NA())</f>
        <v>#N/A</v>
      </c>
      <c r="BK61" s="131">
        <f>IFERROR(IF($AT$4&gt;4,BF61,0),NA())</f>
        <v>0</v>
      </c>
      <c r="BL61" s="128" t="e">
        <f>IF(BK61&gt;0,0,BC61/AX61)</f>
        <v>#DIV/0!</v>
      </c>
      <c r="BM61" s="135">
        <f>IF((BD61-BE61)=0,0,(BD61-BE61)/BD61)</f>
        <v>0</v>
      </c>
      <c r="BN61" s="126" t="str">
        <f>IFERROR(BF61,"")</f>
        <v/>
      </c>
      <c r="BO61" s="8">
        <f>IFERROR(BA61,"")</f>
        <v>0</v>
      </c>
      <c r="BP61" s="8">
        <f>IFERROR(AX61,"")</f>
        <v>0</v>
      </c>
      <c r="BQ61" s="8" t="str">
        <f>IFERROR(IF(BC61=0,"",BC61),"")</f>
        <v/>
      </c>
      <c r="CY61" s="9" t="s">
        <v>187</v>
      </c>
      <c r="CZ61" s="9"/>
      <c r="DA61" s="126">
        <v>0.3</v>
      </c>
      <c r="DB61" s="9"/>
    </row>
    <row r="62" spans="29:106" x14ac:dyDescent="0.25">
      <c r="AC62" s="119"/>
      <c r="AD62" s="119"/>
      <c r="AE62" s="119"/>
      <c r="AF62" s="119"/>
      <c r="AG62" s="119"/>
      <c r="AH62" s="119"/>
      <c r="AI62" s="119"/>
      <c r="AJ62" s="39" t="str">
        <f>IF(ISBLANK($C$6),"",$C$6)</f>
        <v>Category3</v>
      </c>
      <c r="AK62" s="39">
        <f t="shared" si="81"/>
        <v>0</v>
      </c>
      <c r="AL62" s="39">
        <f t="shared" si="82"/>
        <v>0</v>
      </c>
      <c r="AM62" s="39">
        <f t="shared" si="83"/>
        <v>0</v>
      </c>
      <c r="AN62" s="39">
        <f t="shared" si="84"/>
        <v>0</v>
      </c>
      <c r="AO62" s="39">
        <f t="shared" si="85"/>
        <v>0</v>
      </c>
      <c r="AP62" s="39">
        <f t="shared" si="86"/>
        <v>0</v>
      </c>
      <c r="AQ62" s="39">
        <f t="shared" si="87"/>
        <v>0</v>
      </c>
      <c r="AR62" s="122">
        <f t="shared" si="80"/>
        <v>0</v>
      </c>
      <c r="AT62" s="8"/>
      <c r="AU62" s="9"/>
      <c r="AV62" s="9"/>
      <c r="AW62" s="9"/>
      <c r="AX62" s="127">
        <f>V21</f>
        <v>0</v>
      </c>
      <c r="AY62" s="129">
        <f>ABS(AQ151)</f>
        <v>0</v>
      </c>
      <c r="AZ62" s="132">
        <f>IFERROR(IF(AND($AT$4&gt;=5,ABS($AQ$149)&lt;0),ABS($AQ$149),0),NA())</f>
        <v>0</v>
      </c>
      <c r="BA62" s="10">
        <f>IFERROR(AY62+AZ62,NA())</f>
        <v>0</v>
      </c>
      <c r="BB62" s="127">
        <f>IFERROR(IF(AND($AT$4&gt;=5,$AQ$148&gt;0),$AQ$148,0),NA())</f>
        <v>0</v>
      </c>
      <c r="BC62" s="133">
        <f>IF(BB62-BA62&lt;0,0,BB62-BA62)</f>
        <v>0</v>
      </c>
      <c r="BD62" s="130">
        <f>BC62+AX62</f>
        <v>0</v>
      </c>
      <c r="BE62" s="130">
        <f>IF(BD62-BA62&lt;0,0,BD62-BA62)</f>
        <v>0</v>
      </c>
      <c r="BF62" s="131" t="e">
        <f>BE62/BD62</f>
        <v>#DIV/0!</v>
      </c>
      <c r="BG62" s="126" t="e">
        <f>IFERROR((0.1*BD62)/BD62,NA())</f>
        <v>#N/A</v>
      </c>
      <c r="BH62" s="126" t="e">
        <f>IFERROR((0.1*BD62)/BD62,NA())</f>
        <v>#N/A</v>
      </c>
      <c r="BI62" s="126" t="e">
        <f>IFERROR((0.2*BD62)/BD62,NA())</f>
        <v>#N/A</v>
      </c>
      <c r="BJ62" s="131" t="e">
        <f>IFERROR(IF($AT$4&gt;5,0,BF62),NA())</f>
        <v>#N/A</v>
      </c>
      <c r="BK62" s="131">
        <f>IFERROR(IF($AT$4&gt;5,BF62,0),NA())</f>
        <v>0</v>
      </c>
      <c r="BL62" s="128" t="e">
        <f>IF(BK62&gt;0,0,BC62/AX62)</f>
        <v>#DIV/0!</v>
      </c>
      <c r="BM62" s="135">
        <f>IF((BD62-BE62)=0,0,(BD62-BE62)/BD62)</f>
        <v>0</v>
      </c>
      <c r="BN62" s="126" t="str">
        <f>IFERROR(BF62,"")</f>
        <v/>
      </c>
      <c r="BO62" s="8">
        <f>IFERROR(BA62,"")</f>
        <v>0</v>
      </c>
      <c r="BP62" s="8">
        <f>IFERROR(AX62,"")</f>
        <v>0</v>
      </c>
      <c r="BQ62" s="8" t="str">
        <f>IFERROR(IF(BC62=0,"",BC62),"")</f>
        <v/>
      </c>
      <c r="CY62" s="9" t="str" cm="1">
        <f t="array" ref="CY62">_xlfn.IFS(DB57&lt;=1,CY58,DB57&lt;=1.1,CY59,DB57&lt;=1.2,CY60,DB57&lt;=1.4,CY61,DB57&gt;=1.4,CY61)</f>
        <v>Good</v>
      </c>
      <c r="CZ62" s="9"/>
      <c r="DA62" s="126">
        <f>SUM(DA57:DA61)</f>
        <v>1.6</v>
      </c>
      <c r="DB62" s="9"/>
    </row>
    <row r="63" spans="29:106" x14ac:dyDescent="0.25">
      <c r="AC63" s="119"/>
      <c r="AD63" s="119"/>
      <c r="AE63" s="119"/>
      <c r="AF63" s="119"/>
      <c r="AG63" s="119"/>
      <c r="AH63" s="119"/>
      <c r="AI63" s="119"/>
      <c r="AJ63" s="39" t="str">
        <f>IF(ISBLANK($C$7),"",$C$7)</f>
        <v>Category4</v>
      </c>
      <c r="AK63" s="39">
        <f t="shared" si="81"/>
        <v>2E-3</v>
      </c>
      <c r="AL63" s="39">
        <f t="shared" si="82"/>
        <v>2E-3</v>
      </c>
      <c r="AM63" s="39">
        <f t="shared" si="83"/>
        <v>2E-3</v>
      </c>
      <c r="AN63" s="39">
        <f t="shared" si="84"/>
        <v>2E-3</v>
      </c>
      <c r="AO63" s="39">
        <f t="shared" si="85"/>
        <v>2E-3</v>
      </c>
      <c r="AP63" s="39">
        <f t="shared" si="86"/>
        <v>2E-3</v>
      </c>
      <c r="AQ63" s="39">
        <f t="shared" si="87"/>
        <v>0</v>
      </c>
      <c r="AR63" s="122">
        <f t="shared" si="80"/>
        <v>0</v>
      </c>
      <c r="AT63" s="304" cm="1">
        <f t="array" ref="AT63">_xlfn.IFS($AT$4=1,BO58,$AT$4=2,BO59,$AT$4=3,BO60,$AT$4=4,BO61,$AT$4=5,BO62)</f>
        <v>2.0000000000000001E-4</v>
      </c>
      <c r="AU63" s="304" cm="1">
        <f t="array" ref="AU63">_xlfn.IFS($AT$4=1,BP58,$AT$4=2,BP59,$AT$4=3,BP60,$AT$4=4,BP61,$AT$4=5,BP62)</f>
        <v>2E-3</v>
      </c>
      <c r="AV63" s="8" t="str">
        <f>IF(AU63&lt;&gt;"","/ "&amp;AU63&amp;WB_Data!EJ2,"")</f>
        <v>/ 0.002$</v>
      </c>
      <c r="AW63" s="303" cm="1">
        <f t="array" ref="AW63">_xlfn.IFS($AT$4=1,BQ58,$AT$4=2,BQ59,$AT$4=3,BQ60,$AT$4=4,BQ61,$AT$4=5,BQ62)</f>
        <v>0</v>
      </c>
      <c r="AX63" s="85" t="str">
        <f>IF(AW63="","","Extra")</f>
        <v>Extra</v>
      </c>
    </row>
    <row r="64" spans="29:106" x14ac:dyDescent="0.25">
      <c r="AC64" s="5"/>
      <c r="AD64" s="5"/>
      <c r="AE64" s="5"/>
      <c r="AF64" s="5"/>
      <c r="AG64" s="5"/>
      <c r="AH64" s="5"/>
      <c r="AJ64" s="39" t="str">
        <f>IF(ISBLANK($C$8),"",$C$8)</f>
        <v>Category5</v>
      </c>
      <c r="AK64" s="39">
        <f t="shared" si="81"/>
        <v>2E-3</v>
      </c>
      <c r="AL64" s="39">
        <f t="shared" si="82"/>
        <v>2E-3</v>
      </c>
      <c r="AM64" s="39">
        <f t="shared" si="83"/>
        <v>2E-3</v>
      </c>
      <c r="AN64" s="39">
        <f t="shared" si="84"/>
        <v>2E-3</v>
      </c>
      <c r="AO64" s="39">
        <f t="shared" si="85"/>
        <v>2E-3</v>
      </c>
      <c r="AP64" s="39">
        <f t="shared" si="86"/>
        <v>2E-3</v>
      </c>
      <c r="AQ64" s="39">
        <f t="shared" si="87"/>
        <v>0</v>
      </c>
      <c r="AR64" s="122">
        <f t="shared" si="80"/>
        <v>0</v>
      </c>
    </row>
    <row r="65" spans="29:44" x14ac:dyDescent="0.25">
      <c r="AC65" s="5"/>
      <c r="AD65" s="5"/>
      <c r="AE65" s="5"/>
      <c r="AF65" s="5"/>
      <c r="AG65" s="5"/>
      <c r="AH65" s="5"/>
      <c r="AJ65" s="39" t="str">
        <f>IF(ISBLANK($C$9),"",$C$9)</f>
        <v>Category6</v>
      </c>
      <c r="AK65" s="39">
        <f t="shared" si="81"/>
        <v>2E-3</v>
      </c>
      <c r="AL65" s="39">
        <f t="shared" si="82"/>
        <v>2E-3</v>
      </c>
      <c r="AM65" s="39">
        <f t="shared" si="83"/>
        <v>2E-3</v>
      </c>
      <c r="AN65" s="39">
        <f t="shared" si="84"/>
        <v>2E-3</v>
      </c>
      <c r="AO65" s="39">
        <f t="shared" si="85"/>
        <v>2E-3</v>
      </c>
      <c r="AP65" s="39">
        <f t="shared" si="86"/>
        <v>2E-3</v>
      </c>
      <c r="AQ65" s="39">
        <f t="shared" si="87"/>
        <v>0</v>
      </c>
      <c r="AR65" s="122">
        <f t="shared" si="80"/>
        <v>0</v>
      </c>
    </row>
    <row r="66" spans="29:44" x14ac:dyDescent="0.25">
      <c r="AC66" s="5"/>
      <c r="AD66" s="5"/>
      <c r="AE66" s="5"/>
      <c r="AF66" s="5"/>
      <c r="AG66" s="5"/>
      <c r="AH66" s="5"/>
      <c r="AJ66" s="39" t="str">
        <f>IF(ISBLANK($C$10),"",$C$10)</f>
        <v>Category7</v>
      </c>
      <c r="AK66" s="39">
        <f t="shared" si="81"/>
        <v>0</v>
      </c>
      <c r="AL66" s="39">
        <f t="shared" si="82"/>
        <v>0</v>
      </c>
      <c r="AM66" s="39">
        <f t="shared" si="83"/>
        <v>0</v>
      </c>
      <c r="AN66" s="39">
        <f t="shared" si="84"/>
        <v>0</v>
      </c>
      <c r="AO66" s="39">
        <f t="shared" si="85"/>
        <v>0</v>
      </c>
      <c r="AP66" s="39">
        <f t="shared" si="86"/>
        <v>0</v>
      </c>
      <c r="AQ66" s="39">
        <f t="shared" si="87"/>
        <v>2E-3</v>
      </c>
      <c r="AR66" s="122">
        <f t="shared" si="80"/>
        <v>0</v>
      </c>
    </row>
    <row r="67" spans="29:44" x14ac:dyDescent="0.25">
      <c r="AC67" s="5"/>
      <c r="AD67" s="5"/>
      <c r="AE67" s="5"/>
      <c r="AF67" s="5"/>
      <c r="AG67" s="5"/>
      <c r="AH67" s="5"/>
      <c r="AJ67" s="39" t="str">
        <f>IF(ISBLANK($C$11),"",$C$11)</f>
        <v/>
      </c>
      <c r="AK67" s="39">
        <f t="shared" si="81"/>
        <v>0</v>
      </c>
      <c r="AL67" s="39">
        <f t="shared" si="82"/>
        <v>0</v>
      </c>
      <c r="AM67" s="39">
        <f t="shared" si="83"/>
        <v>0</v>
      </c>
      <c r="AN67" s="39">
        <f t="shared" si="84"/>
        <v>0</v>
      </c>
      <c r="AO67" s="39">
        <f t="shared" si="85"/>
        <v>0</v>
      </c>
      <c r="AP67" s="39">
        <f t="shared" si="86"/>
        <v>0</v>
      </c>
      <c r="AQ67" s="39">
        <f t="shared" si="87"/>
        <v>0</v>
      </c>
      <c r="AR67" s="122">
        <f t="shared" si="80"/>
        <v>0</v>
      </c>
    </row>
    <row r="68" spans="29:44" x14ac:dyDescent="0.25">
      <c r="AC68" s="5"/>
      <c r="AD68" s="5"/>
      <c r="AE68" s="5"/>
      <c r="AF68" s="5"/>
      <c r="AG68" s="5"/>
      <c r="AH68" s="5"/>
      <c r="AJ68" s="39" t="str">
        <f>IF(ISBLANK($C$12),"",$C$12)</f>
        <v/>
      </c>
      <c r="AK68" s="39">
        <f t="shared" si="81"/>
        <v>0</v>
      </c>
      <c r="AL68" s="39">
        <f t="shared" si="82"/>
        <v>0</v>
      </c>
      <c r="AM68" s="39">
        <f t="shared" si="83"/>
        <v>0</v>
      </c>
      <c r="AN68" s="39">
        <f t="shared" si="84"/>
        <v>0</v>
      </c>
      <c r="AO68" s="39">
        <f t="shared" si="85"/>
        <v>0</v>
      </c>
      <c r="AP68" s="39">
        <f t="shared" si="86"/>
        <v>0</v>
      </c>
      <c r="AQ68" s="39">
        <f t="shared" si="87"/>
        <v>0</v>
      </c>
      <c r="AR68" s="122">
        <f t="shared" si="80"/>
        <v>0</v>
      </c>
    </row>
    <row r="69" spans="29:44" x14ac:dyDescent="0.25">
      <c r="AC69" s="5"/>
      <c r="AD69" s="5"/>
      <c r="AE69" s="5"/>
      <c r="AF69" s="5"/>
      <c r="AG69" s="5"/>
      <c r="AH69" s="5"/>
      <c r="AJ69" s="39" t="str">
        <f>IF(ISBLANK($C$13),"",$C$13)</f>
        <v/>
      </c>
      <c r="AK69" s="39">
        <f t="shared" si="81"/>
        <v>0</v>
      </c>
      <c r="AL69" s="39">
        <f t="shared" si="82"/>
        <v>0</v>
      </c>
      <c r="AM69" s="39">
        <f t="shared" si="83"/>
        <v>0</v>
      </c>
      <c r="AN69" s="39">
        <f t="shared" si="84"/>
        <v>0</v>
      </c>
      <c r="AO69" s="39">
        <f t="shared" si="85"/>
        <v>0</v>
      </c>
      <c r="AP69" s="39">
        <f t="shared" si="86"/>
        <v>0</v>
      </c>
      <c r="AQ69" s="39">
        <f t="shared" si="87"/>
        <v>0</v>
      </c>
      <c r="AR69" s="122">
        <f t="shared" si="80"/>
        <v>0</v>
      </c>
    </row>
    <row r="70" spans="29:44" x14ac:dyDescent="0.25">
      <c r="AC70" s="5"/>
      <c r="AD70" s="5"/>
      <c r="AE70" s="5"/>
      <c r="AF70" s="5"/>
      <c r="AG70" s="5"/>
      <c r="AH70" s="5"/>
      <c r="AJ70" s="39" t="str">
        <f>IF(ISBLANK($C$14),"",$C$14)</f>
        <v/>
      </c>
      <c r="AK70" s="39">
        <f t="shared" si="81"/>
        <v>0</v>
      </c>
      <c r="AL70" s="39">
        <f t="shared" si="82"/>
        <v>0</v>
      </c>
      <c r="AM70" s="39">
        <f t="shared" si="83"/>
        <v>0</v>
      </c>
      <c r="AN70" s="39">
        <f t="shared" si="84"/>
        <v>0</v>
      </c>
      <c r="AO70" s="39">
        <f t="shared" si="85"/>
        <v>0</v>
      </c>
      <c r="AP70" s="39">
        <f t="shared" si="86"/>
        <v>0</v>
      </c>
      <c r="AQ70" s="39">
        <f t="shared" si="87"/>
        <v>0</v>
      </c>
      <c r="AR70" s="122">
        <f t="shared" si="80"/>
        <v>0</v>
      </c>
    </row>
    <row r="71" spans="29:44" x14ac:dyDescent="0.25">
      <c r="AC71" s="5"/>
      <c r="AD71" s="5"/>
      <c r="AE71" s="5"/>
      <c r="AF71" s="5"/>
      <c r="AG71" s="5"/>
      <c r="AH71" s="5"/>
      <c r="AJ71" s="122"/>
      <c r="AK71" s="39">
        <f t="shared" ref="AK71:AQ71" si="88">SUM(AK60:AK70)</f>
        <v>8.0000000000000002E-3</v>
      </c>
      <c r="AL71" s="39">
        <f t="shared" si="88"/>
        <v>8.0000000000000002E-3</v>
      </c>
      <c r="AM71" s="39">
        <f t="shared" si="88"/>
        <v>8.0000000000000002E-3</v>
      </c>
      <c r="AN71" s="39">
        <f t="shared" si="88"/>
        <v>8.0000000000000002E-3</v>
      </c>
      <c r="AO71" s="39">
        <f t="shared" si="88"/>
        <v>8.0000000000000002E-3</v>
      </c>
      <c r="AP71" s="39">
        <f t="shared" si="88"/>
        <v>8.0000000000000002E-3</v>
      </c>
      <c r="AQ71" s="39">
        <f t="shared" si="88"/>
        <v>2E-3</v>
      </c>
      <c r="AR71" s="122"/>
    </row>
    <row r="72" spans="29:44" x14ac:dyDescent="0.25">
      <c r="AC72" s="119"/>
      <c r="AD72" s="119"/>
      <c r="AE72" s="119"/>
      <c r="AF72" s="119"/>
      <c r="AG72" s="119"/>
      <c r="AH72" s="119"/>
      <c r="AI72" s="119"/>
      <c r="AJ72" s="39" t="s">
        <v>144</v>
      </c>
      <c r="AK72" s="45">
        <f>IF($AT$4&gt;2,SUM(AK60:AK70),0)</f>
        <v>0</v>
      </c>
      <c r="AL72" s="45">
        <f>AR61-AR45</f>
        <v>0</v>
      </c>
      <c r="AM72" s="45">
        <f>IF($AT$4&gt;2,SUM(AM60:AM70),0)</f>
        <v>0</v>
      </c>
      <c r="AN72" s="45">
        <f>AR63-AR46</f>
        <v>0</v>
      </c>
      <c r="AO72" s="45">
        <f>AR64-AR47</f>
        <v>0</v>
      </c>
      <c r="AP72" s="45">
        <f>IF($AT$4&gt;2,SUM(AP60:AP70),0)</f>
        <v>0</v>
      </c>
      <c r="AQ72" s="45">
        <f>AR66-AR48</f>
        <v>0</v>
      </c>
      <c r="AR72" s="122"/>
    </row>
    <row r="73" spans="29:44" x14ac:dyDescent="0.25">
      <c r="AC73" s="119"/>
      <c r="AD73" s="119"/>
      <c r="AE73" s="119"/>
      <c r="AF73" s="119"/>
      <c r="AG73" s="119"/>
      <c r="AH73" s="119"/>
      <c r="AI73" s="119"/>
      <c r="AJ73" s="36" t="s">
        <v>163</v>
      </c>
      <c r="AK73" s="36">
        <f>IFERROR(IF($AA$4=3,($AR$60/$AJ$44)*$AE$3,($AR$60/$AJ$44)*$AE4*$AE$3),0)</f>
        <v>0</v>
      </c>
      <c r="AL73" s="36">
        <f>IFERROR(IF($AA$5=3,($AR$61/$AJ$44)*$AE$3,($AR$61/$AJ$44)*$AE5*$AE$3),0)</f>
        <v>0</v>
      </c>
      <c r="AM73" s="36">
        <f>IFERROR(IF($AA$6=3,($AR$62/$AJ$44)*$AE$3,($AR$62/$AJ$44)*$AE6*$AE$3),0)</f>
        <v>0</v>
      </c>
      <c r="AN73" s="36">
        <f>IFERROR(IF($AA$7=3,($AR$63/$AJ$44)*$AE$3,($AR$63/$AJ$44)*$AE7*$AE$3),0)</f>
        <v>0</v>
      </c>
      <c r="AO73" s="36">
        <f>IFERROR(IF($AA$8=3,($AR64/$AJ$44)*$AE$3,($AR64/$AJ$44)*$AE$8*$AE$3),0)</f>
        <v>0</v>
      </c>
      <c r="AP73" s="36">
        <f>IFERROR(IF($AA$9=3,($AR65/$AJ$44)*$AE$3,($AR65/$AJ$44)*$AE$9*$AE$3),0)</f>
        <v>0</v>
      </c>
      <c r="AQ73" s="36">
        <f>IFERROR(IF($AA$10=3,($AR$66/$AJ$44)*$AE$3,($AR$66/$AJ$44)*$AE$10*$AE$3),0)</f>
        <v>0</v>
      </c>
      <c r="AR73" s="206">
        <f>SUM(AK73:AQ73)</f>
        <v>0</v>
      </c>
    </row>
    <row r="74" spans="29:44" x14ac:dyDescent="0.25">
      <c r="AC74" s="119"/>
      <c r="AD74" s="119"/>
      <c r="AE74" s="119"/>
      <c r="AF74" s="119"/>
      <c r="AG74" s="119"/>
      <c r="AH74" s="119"/>
      <c r="AI74" s="119"/>
      <c r="AJ74" s="37" t="s">
        <v>164</v>
      </c>
      <c r="AK74" s="37">
        <f>IFERROR(IF($AA4=3,($AR$60/$AJ$44)*$AG$3,($AR$60/$AJ$44)*$AG4*$AG$3),0)</f>
        <v>0</v>
      </c>
      <c r="AL74" s="37">
        <f>IFERROR(IF($AA$5=3,($AR$61/$AJ$44)*$AG$3,($AR$61/$AJ$44)*$AG5*$AG$3),0)</f>
        <v>0</v>
      </c>
      <c r="AM74" s="37">
        <f>IFERROR(IF($AA$6=3,($AR$62/$AJ$44)*$AG$3,($AR$62/$AJ$44)*$AG6*$AG$3),0)</f>
        <v>0</v>
      </c>
      <c r="AN74" s="37">
        <f>IFERROR(IF($AA$7=3,($AR$63/$AJ$44)*$AG$3,($AR$63/$AJ$44)*$AG7*$AG$3),0)</f>
        <v>0</v>
      </c>
      <c r="AO74" s="37">
        <f>IFERROR(IF($AA$8=3,($AR64/$AJ$44)*$AG$3,($AR64/$AJ$44)*$AG$8*$AG$3),0)</f>
        <v>0</v>
      </c>
      <c r="AP74" s="37">
        <f>IFERROR(IF($AA$9=3,($AR65/$AJ$44)*$AG$3,($AR65/$AJ$44)*$AG9*$AG$3),0)</f>
        <v>0</v>
      </c>
      <c r="AQ74" s="37">
        <f>IFERROR(IF($AA$10=3,($AR$66/$AJ$44)*$AG$3,($AR$66/$AJ$44)*$AG$10*$AG$3),0)</f>
        <v>0</v>
      </c>
      <c r="AR74" s="207">
        <f>SUM(AK74:AQ74)</f>
        <v>0</v>
      </c>
    </row>
    <row r="75" spans="29:44" x14ac:dyDescent="0.25">
      <c r="AC75" s="119"/>
      <c r="AD75" s="119"/>
      <c r="AE75" s="119"/>
      <c r="AF75" s="119"/>
      <c r="AG75" s="119"/>
      <c r="AH75" s="119"/>
      <c r="AI75" s="119"/>
      <c r="AJ75" s="198" t="s">
        <v>165</v>
      </c>
      <c r="AK75" s="198">
        <f>IFERROR(IF($AA4=3,($AR$60/$AJ$44)*$AI$3,($AR$60/$AJ$44)*$AI4*$AI$3),0)</f>
        <v>0</v>
      </c>
      <c r="AL75" s="198">
        <f>IFERROR(IF($AA$5=3,($AR$61/$AJ$44)*$AI$3,($AR$61/$AJ$44)*$AI5*$AI$3),0)</f>
        <v>0</v>
      </c>
      <c r="AM75" s="198">
        <f>IFERROR(IF($AA$6=3,($AR$62/$AJ$44)*$AI$3,($AR$62/$AJ$44)*$AI6*$AI$3),0)</f>
        <v>0</v>
      </c>
      <c r="AN75" s="198">
        <f>IFERROR(IF($AA$7=3,($AR$63/$AJ$44)*$AI$3,($AR$63/$AJ$44)*$AI7*$AI$3),0)</f>
        <v>0</v>
      </c>
      <c r="AO75" s="198">
        <f>IFERROR(IF($AA$8=3,($AR64/$AJ$44)*$AI$3,($AR64/$AJ$44)*$AI$8*$AI$3),0)</f>
        <v>0</v>
      </c>
      <c r="AP75" s="198">
        <f>IFERROR(IF($AA$9=3,($AR65/$AJ$44)*$AI$3,($AR65/$AJ$44)*$AI$9*$AI$3),0)</f>
        <v>0</v>
      </c>
      <c r="AQ75" s="198">
        <f>IFERROR(IF($AA$10=3,($AR$66/$AJ$44)*$AI$3,($AR$66/$AJ$44)*$AI$10*$AI$3),0)</f>
        <v>0</v>
      </c>
      <c r="AR75" s="208">
        <f>SUM(AK75:AQ75)</f>
        <v>0</v>
      </c>
    </row>
    <row r="76" spans="29:44" x14ac:dyDescent="0.25">
      <c r="AC76" s="119"/>
      <c r="AD76" s="119"/>
      <c r="AE76" s="119"/>
      <c r="AF76" s="119"/>
      <c r="AG76" s="119"/>
      <c r="AH76" s="119"/>
      <c r="AI76" s="119"/>
      <c r="AJ76" s="124" t="s">
        <v>163</v>
      </c>
      <c r="AK76" s="124">
        <f>AK73-AK57+AK37</f>
        <v>0</v>
      </c>
      <c r="AL76" s="124">
        <f t="shared" ref="AL76:AQ76" si="89">AL73-AL57+AL37</f>
        <v>0</v>
      </c>
      <c r="AM76" s="124">
        <f t="shared" si="89"/>
        <v>0</v>
      </c>
      <c r="AN76" s="124">
        <f t="shared" si="89"/>
        <v>0</v>
      </c>
      <c r="AO76" s="124">
        <f t="shared" si="89"/>
        <v>0</v>
      </c>
      <c r="AP76" s="124">
        <f t="shared" si="89"/>
        <v>0</v>
      </c>
      <c r="AQ76" s="124">
        <f t="shared" si="89"/>
        <v>0</v>
      </c>
    </row>
    <row r="77" spans="29:44" x14ac:dyDescent="0.25">
      <c r="AC77" s="119"/>
      <c r="AD77" s="119"/>
      <c r="AE77" s="119"/>
      <c r="AF77" s="119"/>
      <c r="AG77" s="119"/>
      <c r="AH77" s="119"/>
      <c r="AI77" s="119"/>
      <c r="AJ77" s="124" t="s">
        <v>164</v>
      </c>
      <c r="AK77" s="124">
        <f>AK74-AK58</f>
        <v>0</v>
      </c>
      <c r="AL77" s="124">
        <f t="shared" ref="AL77:AQ78" si="90">AL74-AL58</f>
        <v>0</v>
      </c>
      <c r="AM77" s="124">
        <f t="shared" si="90"/>
        <v>0</v>
      </c>
      <c r="AN77" s="124">
        <f t="shared" si="90"/>
        <v>0</v>
      </c>
      <c r="AO77" s="124">
        <f t="shared" si="90"/>
        <v>0</v>
      </c>
      <c r="AP77" s="124">
        <f t="shared" si="90"/>
        <v>0</v>
      </c>
      <c r="AQ77" s="124">
        <f t="shared" si="90"/>
        <v>0</v>
      </c>
    </row>
    <row r="78" spans="29:44" x14ac:dyDescent="0.25">
      <c r="AC78" s="119"/>
      <c r="AD78" s="119"/>
      <c r="AE78" s="119"/>
      <c r="AF78" s="119"/>
      <c r="AG78" s="119"/>
      <c r="AH78" s="119"/>
      <c r="AI78" s="119"/>
      <c r="AJ78" s="124" t="s">
        <v>165</v>
      </c>
      <c r="AK78" s="124">
        <f>AK75-AK59</f>
        <v>0</v>
      </c>
      <c r="AL78" s="124">
        <f t="shared" si="90"/>
        <v>0</v>
      </c>
      <c r="AM78" s="124">
        <f t="shared" si="90"/>
        <v>0</v>
      </c>
      <c r="AN78" s="124">
        <f t="shared" si="90"/>
        <v>0</v>
      </c>
      <c r="AO78" s="124">
        <f t="shared" si="90"/>
        <v>0</v>
      </c>
      <c r="AP78" s="124">
        <f>AP75-AP59</f>
        <v>0</v>
      </c>
      <c r="AQ78" s="124">
        <f t="shared" si="90"/>
        <v>0</v>
      </c>
    </row>
    <row r="79" spans="29:44" x14ac:dyDescent="0.25">
      <c r="AC79" s="119"/>
      <c r="AD79" s="119"/>
      <c r="AE79" s="119"/>
      <c r="AF79" s="119"/>
      <c r="AG79" s="119"/>
      <c r="AH79" s="119"/>
      <c r="AI79" s="119"/>
      <c r="AJ79" s="125" t="s">
        <v>145</v>
      </c>
      <c r="AK79" s="125">
        <f t="shared" ref="AK79:AQ79" si="91">IF(AND($AT$4&gt;1,AK76&gt;=0),AK76,0)</f>
        <v>0</v>
      </c>
      <c r="AL79" s="125">
        <f t="shared" si="91"/>
        <v>0</v>
      </c>
      <c r="AM79" s="125">
        <f t="shared" si="91"/>
        <v>0</v>
      </c>
      <c r="AN79" s="125">
        <f t="shared" si="91"/>
        <v>0</v>
      </c>
      <c r="AO79" s="125">
        <f t="shared" si="91"/>
        <v>0</v>
      </c>
      <c r="AP79" s="125">
        <f t="shared" si="91"/>
        <v>0</v>
      </c>
      <c r="AQ79" s="125">
        <f t="shared" si="91"/>
        <v>0</v>
      </c>
    </row>
    <row r="80" spans="29:44" x14ac:dyDescent="0.25">
      <c r="AC80" s="119"/>
      <c r="AD80" s="119"/>
      <c r="AE80" s="119"/>
      <c r="AF80" s="119"/>
      <c r="AG80" s="119"/>
      <c r="AH80" s="119"/>
      <c r="AI80" s="119"/>
      <c r="AJ80" s="125" t="s">
        <v>160</v>
      </c>
      <c r="AK80" s="125">
        <f>IF(AK$76&lt;0,ABS(AK$76),0)</f>
        <v>0</v>
      </c>
      <c r="AL80" s="125">
        <f t="shared" ref="AL80:AQ80" si="92">IF(AL$76&lt;0,ABS(AL$76),0)</f>
        <v>0</v>
      </c>
      <c r="AM80" s="125">
        <f t="shared" si="92"/>
        <v>0</v>
      </c>
      <c r="AN80" s="125">
        <f t="shared" si="92"/>
        <v>0</v>
      </c>
      <c r="AO80" s="125">
        <f t="shared" si="92"/>
        <v>0</v>
      </c>
      <c r="AP80" s="125">
        <f t="shared" si="92"/>
        <v>0</v>
      </c>
      <c r="AQ80" s="125">
        <f t="shared" si="92"/>
        <v>0</v>
      </c>
    </row>
    <row r="81" spans="29:44" x14ac:dyDescent="0.25">
      <c r="AC81" s="119"/>
      <c r="AD81" s="119"/>
      <c r="AE81" s="119"/>
      <c r="AF81" s="119"/>
      <c r="AG81" s="119"/>
      <c r="AH81" s="119"/>
      <c r="AI81" s="119"/>
      <c r="AJ81" s="5"/>
      <c r="AK81" s="9" t="str">
        <f>J19</f>
        <v/>
      </c>
      <c r="AL81" s="9" t="str">
        <f>L19</f>
        <v/>
      </c>
      <c r="AM81" s="9" t="str">
        <f>N19</f>
        <v/>
      </c>
      <c r="AN81" s="9" t="str">
        <f>P19</f>
        <v/>
      </c>
      <c r="AO81" s="9" t="str">
        <f>R19</f>
        <v/>
      </c>
      <c r="AP81" s="9" t="str">
        <f>T19</f>
        <v/>
      </c>
      <c r="AQ81" s="9" t="str">
        <f>V19</f>
        <v/>
      </c>
    </row>
    <row r="82" spans="29:44" x14ac:dyDescent="0.25">
      <c r="AC82" s="119"/>
      <c r="AD82" s="119"/>
      <c r="AE82" s="119"/>
      <c r="AF82" s="119"/>
      <c r="AG82" s="119"/>
      <c r="AH82" s="119"/>
      <c r="AI82" s="119"/>
      <c r="AJ82" s="5"/>
      <c r="AK82" s="9">
        <f>IF(AT4&gt;2,K19+AK80,AK80)</f>
        <v>0</v>
      </c>
      <c r="AL82" s="9">
        <f>IF(AT4&gt;2,M19+AL80,AL80)</f>
        <v>0</v>
      </c>
      <c r="AM82" s="9">
        <f>IF(AT4&gt;2,O19+AM80,AM80)</f>
        <v>0</v>
      </c>
      <c r="AN82" s="9">
        <f>IF(AT4&gt;2,Q19+AN80,AN80)</f>
        <v>0</v>
      </c>
      <c r="AO82" s="9">
        <f>IF(AT4&gt;2,S19+AO80,AO80)</f>
        <v>0</v>
      </c>
      <c r="AP82" s="9">
        <f>IF(AT4&gt;2,U19+AP80,AP80)</f>
        <v>0</v>
      </c>
      <c r="AQ82" s="9">
        <f>IF(AT4&gt;2,W19+AQ80,AQ80)</f>
        <v>0</v>
      </c>
    </row>
    <row r="83" spans="29:44" x14ac:dyDescent="0.25">
      <c r="AC83" s="5"/>
      <c r="AD83" s="5"/>
      <c r="AE83" s="5"/>
      <c r="AF83" s="5"/>
      <c r="AG83" s="5"/>
      <c r="AH83" s="5"/>
      <c r="AJ83" s="204">
        <f>IF($AJ$3-2&lt;0,0,$AJ$3-2)</f>
        <v>0</v>
      </c>
      <c r="AK83" s="22" t="str">
        <f>$J$4</f>
        <v>Category1</v>
      </c>
      <c r="AL83" s="22" t="str">
        <f>$L$4</f>
        <v>Category2</v>
      </c>
      <c r="AM83" s="22" t="str">
        <f>$N$4</f>
        <v>Category3</v>
      </c>
      <c r="AN83" s="22" t="str">
        <f>$P$4</f>
        <v>Category4</v>
      </c>
      <c r="AO83" s="22" t="str">
        <f>$R$4</f>
        <v>Category5</v>
      </c>
      <c r="AP83" s="22" t="str">
        <f>$T$4</f>
        <v>Category6</v>
      </c>
      <c r="AQ83" s="22" t="str">
        <f>$V$4</f>
        <v>Category7</v>
      </c>
      <c r="AR83" s="22" t="s">
        <v>144</v>
      </c>
    </row>
    <row r="84" spans="29:44" x14ac:dyDescent="0.25">
      <c r="AC84" s="5"/>
      <c r="AD84" s="5"/>
      <c r="AE84" s="5"/>
      <c r="AF84" s="5"/>
      <c r="AG84" s="5"/>
      <c r="AH84" s="5"/>
      <c r="AJ84" s="210" t="str">
        <f>IF(ISBLANK($C$4),"",$C$4)</f>
        <v>Category1</v>
      </c>
      <c r="AK84" s="210">
        <f>IFERROR(IF($AK$82&gt;$AK$81,IF(AND(AJ84=$AK$83,AA4=3),($AK$82-$AK$81),IF(AND(AA4=2,$AA$4&lt;&gt;3),$AK$82-$AK$81)),0),0)</f>
        <v>0</v>
      </c>
      <c r="AL84" s="210">
        <f>IFERROR(IF($AL$82&gt;$AL$81,IF(AND(AJ84=$AL$83,AA4=3),($AL$82-$AL$81),IF(AND(AA4=2,$AA$5&lt;&gt;3),$AL$82-$AL$81)),0),0)</f>
        <v>0</v>
      </c>
      <c r="AM84" s="210">
        <f>IFERROR(IF($AM$82&gt;$AM$81,IF(AND(AJ84=$AM$83,AA4=3),($AM$82-$AM$81),IF(AND(AA4=2,$AA$6&lt;&gt;3),$AM$82-$AM$81)),0),0)</f>
        <v>0</v>
      </c>
      <c r="AN84" s="210">
        <f>IFERROR(IF($AN$82&gt;$AN$81,IF(AND(AJ84=$AN$83,AA4=3),($AN$82-$AN$81),IF(AND(AA4=2,$AA$7&lt;&gt;3),$AN$82-$AN$81)),0),0)</f>
        <v>0</v>
      </c>
      <c r="AO84" s="210">
        <f>IFERROR(IF($AO$82&gt;$AO$81,IF(AND(AJ84=$AO$83,AA4=3),($AO$82-$AO$81),IF(AND(AA4=2,$AA$8&lt;&gt;3),$AO$82-$AO$81)),0),0)</f>
        <v>0</v>
      </c>
      <c r="AP84" s="210">
        <f>IFERROR(IF($AP$82&gt;$AP$81,IF(AND(AJ84=$AP$83,AA4=3),($AP$82-$AP$81),IF(AND(AA4=2,$AA$9&lt;&gt;3),$AP$82-$AP$81)),0),0)</f>
        <v>0</v>
      </c>
      <c r="AQ84" s="210">
        <f>IFERROR(IF($AQ$82&gt;$AQ$81,IF(AND(AJ84=$AQ$83,AA4=3),($AQ$82-$AQ$81),IF(AND(AA4=2,$AA$10&lt;&gt;3),$AQ$82-$AQ$81)),0),0)</f>
        <v>0</v>
      </c>
      <c r="AR84" s="94">
        <f>IF($AT$4&gt;2,SUM(AK84:AQ84),0)</f>
        <v>0</v>
      </c>
    </row>
    <row r="85" spans="29:44" x14ac:dyDescent="0.25">
      <c r="AC85" s="119"/>
      <c r="AD85" s="119"/>
      <c r="AE85" s="119"/>
      <c r="AF85" s="119"/>
      <c r="AG85" s="119"/>
      <c r="AH85" s="119"/>
      <c r="AI85" s="119"/>
      <c r="AJ85" s="210" t="str">
        <f>IF(ISBLANK($C$5),"",$C$5)</f>
        <v>Category2</v>
      </c>
      <c r="AK85" s="210">
        <f t="shared" ref="AK85:AK94" si="93">IFERROR(IF($AK$82&gt;$AK$81,IF(AND(AJ85=$AK$83,AA5=3),($AK$82-$AK$81),IF(AND(AA5=2,$AA$4&lt;&gt;3),$AK$82-$AK$81)),0),0)</f>
        <v>0</v>
      </c>
      <c r="AL85" s="210">
        <f t="shared" ref="AL85:AL94" si="94">IFERROR(IF($AL$82&gt;$AL$81,IF(AND(AJ85=$AL$83,AA5=3),($AL$82-$AL$81),IF(AND(AA5=2,$AA$5&lt;&gt;3),$AL$82-$AL$81)),0),0)</f>
        <v>0</v>
      </c>
      <c r="AM85" s="210">
        <f t="shared" ref="AM85:AM94" si="95">IFERROR(IF($AM$82&gt;$AM$81,IF(AND(AJ85=$AM$83,AA5=3),($AM$82-$AM$81),IF(AND(AA5=2,$AA$6&lt;&gt;3),$AM$82-$AM$81)),0),0)</f>
        <v>0</v>
      </c>
      <c r="AN85" s="210">
        <f t="shared" ref="AN85:AN94" si="96">IFERROR(IF($AN$82&gt;$AN$81,IF(AND(AJ85=$AN$83,AA5=3),($AN$82-$AN$81),IF(AND(AA5=2,$AA$7&lt;&gt;3),$AN$82-$AN$81)),0),0)</f>
        <v>0</v>
      </c>
      <c r="AO85" s="210">
        <f t="shared" ref="AO85:AO94" si="97">IFERROR(IF($AO$82&gt;$AO$81,IF(AND(AJ85=$AO$83,AA5=3),($AO$82-$AO$81),IF(AND(AA5=2,$AA$8&lt;&gt;3),$AO$82-$AO$81)),0),0)</f>
        <v>0</v>
      </c>
      <c r="AP85" s="210">
        <f t="shared" ref="AP85:AP94" si="98">IFERROR(IF($AP$82&gt;$AP$81,IF(AND(AJ85=$AP$83,AA5=3),($AP$82-$AP$81),IF(AND(AA5=2,$AA$9&lt;&gt;3),$AP$82-$AP$81)),0),0)</f>
        <v>0</v>
      </c>
      <c r="AQ85" s="210">
        <f t="shared" ref="AQ85:AQ94" si="99">IFERROR(IF($AQ$82&gt;$AQ$81,IF(AND(AJ85=$AQ$83,AA5=3),($AQ$82-$AQ$81),IF(AND(AA5=2,$AA$10&lt;&gt;3),$AQ$82-$AQ$81)),0),0)</f>
        <v>0</v>
      </c>
      <c r="AR85" s="94">
        <f t="shared" ref="AR85:AR94" si="100">IF($AT$4&gt;2,SUM(AK85:AQ85),0)</f>
        <v>0</v>
      </c>
    </row>
    <row r="86" spans="29:44" x14ac:dyDescent="0.25">
      <c r="AC86" s="5"/>
      <c r="AD86" s="5"/>
      <c r="AE86" s="5"/>
      <c r="AF86" s="5"/>
      <c r="AG86" s="5"/>
      <c r="AH86" s="5"/>
      <c r="AJ86" s="210" t="str">
        <f>IF(ISBLANK($C$6),"",$C$6)</f>
        <v>Category3</v>
      </c>
      <c r="AK86" s="210">
        <f t="shared" si="93"/>
        <v>0</v>
      </c>
      <c r="AL86" s="210">
        <f t="shared" si="94"/>
        <v>0</v>
      </c>
      <c r="AM86" s="210">
        <f t="shared" si="95"/>
        <v>0</v>
      </c>
      <c r="AN86" s="210">
        <f t="shared" si="96"/>
        <v>0</v>
      </c>
      <c r="AO86" s="210">
        <f t="shared" si="97"/>
        <v>0</v>
      </c>
      <c r="AP86" s="210">
        <f t="shared" si="98"/>
        <v>0</v>
      </c>
      <c r="AQ86" s="210">
        <f t="shared" si="99"/>
        <v>0</v>
      </c>
      <c r="AR86" s="94">
        <f t="shared" si="100"/>
        <v>0</v>
      </c>
    </row>
    <row r="87" spans="29:44" x14ac:dyDescent="0.25">
      <c r="AC87" s="119"/>
      <c r="AD87" s="119"/>
      <c r="AE87" s="119"/>
      <c r="AF87" s="119"/>
      <c r="AG87" s="119"/>
      <c r="AH87" s="119"/>
      <c r="AI87" s="119"/>
      <c r="AJ87" s="210" t="str">
        <f>IF(ISBLANK($C$7),"",$C$7)</f>
        <v>Category4</v>
      </c>
      <c r="AK87" s="210">
        <f t="shared" si="93"/>
        <v>0</v>
      </c>
      <c r="AL87" s="210">
        <f t="shared" si="94"/>
        <v>0</v>
      </c>
      <c r="AM87" s="210">
        <f t="shared" si="95"/>
        <v>0</v>
      </c>
      <c r="AN87" s="210">
        <f t="shared" si="96"/>
        <v>0</v>
      </c>
      <c r="AO87" s="210">
        <f t="shared" si="97"/>
        <v>0</v>
      </c>
      <c r="AP87" s="210">
        <f t="shared" si="98"/>
        <v>0</v>
      </c>
      <c r="AQ87" s="210">
        <f t="shared" si="99"/>
        <v>0</v>
      </c>
      <c r="AR87" s="94">
        <f t="shared" si="100"/>
        <v>0</v>
      </c>
    </row>
    <row r="88" spans="29:44" x14ac:dyDescent="0.25">
      <c r="AC88" s="119"/>
      <c r="AD88" s="119"/>
      <c r="AE88" s="119"/>
      <c r="AF88" s="119"/>
      <c r="AG88" s="119"/>
      <c r="AH88" s="119"/>
      <c r="AI88" s="119"/>
      <c r="AJ88" s="210" t="str">
        <f>IF(ISBLANK($C$8),"",$C$8)</f>
        <v>Category5</v>
      </c>
      <c r="AK88" s="210">
        <f t="shared" si="93"/>
        <v>0</v>
      </c>
      <c r="AL88" s="210">
        <f t="shared" si="94"/>
        <v>0</v>
      </c>
      <c r="AM88" s="210">
        <f t="shared" si="95"/>
        <v>0</v>
      </c>
      <c r="AN88" s="210">
        <f t="shared" si="96"/>
        <v>0</v>
      </c>
      <c r="AO88" s="210">
        <f t="shared" si="97"/>
        <v>0</v>
      </c>
      <c r="AP88" s="210">
        <f t="shared" si="98"/>
        <v>0</v>
      </c>
      <c r="AQ88" s="210">
        <f t="shared" si="99"/>
        <v>0</v>
      </c>
      <c r="AR88" s="94">
        <f t="shared" si="100"/>
        <v>0</v>
      </c>
    </row>
    <row r="89" spans="29:44" x14ac:dyDescent="0.25">
      <c r="AC89" s="119"/>
      <c r="AD89" s="119"/>
      <c r="AE89" s="119"/>
      <c r="AF89" s="119"/>
      <c r="AG89" s="119"/>
      <c r="AH89" s="119"/>
      <c r="AI89" s="119"/>
      <c r="AJ89" s="210" t="str">
        <f>IF(ISBLANK($C$9),"",$C$9)</f>
        <v>Category6</v>
      </c>
      <c r="AK89" s="210">
        <f t="shared" si="93"/>
        <v>0</v>
      </c>
      <c r="AL89" s="210">
        <f t="shared" si="94"/>
        <v>0</v>
      </c>
      <c r="AM89" s="210">
        <f t="shared" si="95"/>
        <v>0</v>
      </c>
      <c r="AN89" s="210">
        <f t="shared" si="96"/>
        <v>0</v>
      </c>
      <c r="AO89" s="210">
        <f t="shared" si="97"/>
        <v>0</v>
      </c>
      <c r="AP89" s="210">
        <f t="shared" si="98"/>
        <v>0</v>
      </c>
      <c r="AQ89" s="210">
        <f t="shared" si="99"/>
        <v>0</v>
      </c>
      <c r="AR89" s="94">
        <f t="shared" si="100"/>
        <v>0</v>
      </c>
    </row>
    <row r="90" spans="29:44" x14ac:dyDescent="0.25">
      <c r="AC90" s="119"/>
      <c r="AD90" s="119"/>
      <c r="AE90" s="119"/>
      <c r="AF90" s="119"/>
      <c r="AG90" s="119"/>
      <c r="AH90" s="119"/>
      <c r="AI90" s="119"/>
      <c r="AJ90" s="210" t="str">
        <f>IF(ISBLANK($C$10),"",$C$10)</f>
        <v>Category7</v>
      </c>
      <c r="AK90" s="210">
        <f t="shared" si="93"/>
        <v>0</v>
      </c>
      <c r="AL90" s="210">
        <f t="shared" si="94"/>
        <v>0</v>
      </c>
      <c r="AM90" s="210">
        <f t="shared" si="95"/>
        <v>0</v>
      </c>
      <c r="AN90" s="210">
        <f t="shared" si="96"/>
        <v>0</v>
      </c>
      <c r="AO90" s="210">
        <f t="shared" si="97"/>
        <v>0</v>
      </c>
      <c r="AP90" s="210">
        <f t="shared" si="98"/>
        <v>0</v>
      </c>
      <c r="AQ90" s="210">
        <f t="shared" si="99"/>
        <v>0</v>
      </c>
      <c r="AR90" s="94">
        <f t="shared" si="100"/>
        <v>0</v>
      </c>
    </row>
    <row r="91" spans="29:44" x14ac:dyDescent="0.25">
      <c r="AC91" s="119"/>
      <c r="AD91" s="119"/>
      <c r="AE91" s="119"/>
      <c r="AF91" s="119"/>
      <c r="AG91" s="119"/>
      <c r="AH91" s="119"/>
      <c r="AI91" s="119"/>
      <c r="AJ91" s="210" t="str">
        <f>IF(ISBLANK($C$11),"",$C$11)</f>
        <v/>
      </c>
      <c r="AK91" s="210">
        <f t="shared" si="93"/>
        <v>0</v>
      </c>
      <c r="AL91" s="210">
        <f t="shared" si="94"/>
        <v>0</v>
      </c>
      <c r="AM91" s="210">
        <f t="shared" si="95"/>
        <v>0</v>
      </c>
      <c r="AN91" s="210">
        <f t="shared" si="96"/>
        <v>0</v>
      </c>
      <c r="AO91" s="210">
        <f t="shared" si="97"/>
        <v>0</v>
      </c>
      <c r="AP91" s="210">
        <f t="shared" si="98"/>
        <v>0</v>
      </c>
      <c r="AQ91" s="210">
        <f t="shared" si="99"/>
        <v>0</v>
      </c>
      <c r="AR91" s="94">
        <f t="shared" si="100"/>
        <v>0</v>
      </c>
    </row>
    <row r="92" spans="29:44" x14ac:dyDescent="0.25">
      <c r="AC92" s="119"/>
      <c r="AD92" s="119"/>
      <c r="AE92" s="119"/>
      <c r="AF92" s="119"/>
      <c r="AG92" s="119"/>
      <c r="AH92" s="119"/>
      <c r="AI92" s="119"/>
      <c r="AJ92" s="210" t="str">
        <f>IF(ISBLANK($C$12),"",$C$12)</f>
        <v/>
      </c>
      <c r="AK92" s="210">
        <f t="shared" si="93"/>
        <v>0</v>
      </c>
      <c r="AL92" s="210">
        <f t="shared" si="94"/>
        <v>0</v>
      </c>
      <c r="AM92" s="210">
        <f t="shared" si="95"/>
        <v>0</v>
      </c>
      <c r="AN92" s="210">
        <f t="shared" si="96"/>
        <v>0</v>
      </c>
      <c r="AO92" s="210">
        <f t="shared" si="97"/>
        <v>0</v>
      </c>
      <c r="AP92" s="210">
        <f t="shared" si="98"/>
        <v>0</v>
      </c>
      <c r="AQ92" s="210">
        <f t="shared" si="99"/>
        <v>0</v>
      </c>
      <c r="AR92" s="94">
        <f t="shared" si="100"/>
        <v>0</v>
      </c>
    </row>
    <row r="93" spans="29:44" x14ac:dyDescent="0.25">
      <c r="AC93" s="119"/>
      <c r="AD93" s="119"/>
      <c r="AE93" s="119"/>
      <c r="AF93" s="119"/>
      <c r="AG93" s="119"/>
      <c r="AH93" s="119"/>
      <c r="AI93" s="119"/>
      <c r="AJ93" s="210" t="str">
        <f>IF(ISBLANK($C$13),"",$C$13)</f>
        <v/>
      </c>
      <c r="AK93" s="210">
        <f t="shared" si="93"/>
        <v>0</v>
      </c>
      <c r="AL93" s="210">
        <f t="shared" si="94"/>
        <v>0</v>
      </c>
      <c r="AM93" s="210">
        <f t="shared" si="95"/>
        <v>0</v>
      </c>
      <c r="AN93" s="210">
        <f t="shared" si="96"/>
        <v>0</v>
      </c>
      <c r="AO93" s="210">
        <f t="shared" si="97"/>
        <v>0</v>
      </c>
      <c r="AP93" s="210">
        <f t="shared" si="98"/>
        <v>0</v>
      </c>
      <c r="AQ93" s="210">
        <f t="shared" si="99"/>
        <v>0</v>
      </c>
      <c r="AR93" s="94">
        <f t="shared" si="100"/>
        <v>0</v>
      </c>
    </row>
    <row r="94" spans="29:44" x14ac:dyDescent="0.25">
      <c r="AC94" s="119"/>
      <c r="AD94" s="119"/>
      <c r="AE94" s="119"/>
      <c r="AF94" s="119"/>
      <c r="AG94" s="119"/>
      <c r="AH94" s="119"/>
      <c r="AI94" s="119"/>
      <c r="AJ94" s="210" t="str">
        <f>IF(ISBLANK($C$14),"",$C$14)</f>
        <v/>
      </c>
      <c r="AK94" s="210">
        <f t="shared" si="93"/>
        <v>0</v>
      </c>
      <c r="AL94" s="210">
        <f t="shared" si="94"/>
        <v>0</v>
      </c>
      <c r="AM94" s="210">
        <f t="shared" si="95"/>
        <v>0</v>
      </c>
      <c r="AN94" s="210">
        <f t="shared" si="96"/>
        <v>0</v>
      </c>
      <c r="AO94" s="210">
        <f t="shared" si="97"/>
        <v>0</v>
      </c>
      <c r="AP94" s="210">
        <f t="shared" si="98"/>
        <v>0</v>
      </c>
      <c r="AQ94" s="210">
        <f t="shared" si="99"/>
        <v>0</v>
      </c>
      <c r="AR94" s="94">
        <f t="shared" si="100"/>
        <v>0</v>
      </c>
    </row>
    <row r="95" spans="29:44" x14ac:dyDescent="0.25">
      <c r="AC95" s="5"/>
      <c r="AD95" s="5"/>
      <c r="AE95" s="5"/>
      <c r="AF95" s="5"/>
      <c r="AG95" s="5"/>
      <c r="AH95" s="5"/>
      <c r="AJ95" s="210" t="s">
        <v>144</v>
      </c>
      <c r="AK95" s="210">
        <f t="shared" ref="AK95:AQ95" si="101">SUM(AK84:AK94)</f>
        <v>0</v>
      </c>
      <c r="AL95" s="210">
        <f t="shared" si="101"/>
        <v>0</v>
      </c>
      <c r="AM95" s="210">
        <f t="shared" si="101"/>
        <v>0</v>
      </c>
      <c r="AN95" s="210">
        <f t="shared" si="101"/>
        <v>0</v>
      </c>
      <c r="AO95" s="210">
        <f t="shared" si="101"/>
        <v>0</v>
      </c>
      <c r="AP95" s="210">
        <f t="shared" si="101"/>
        <v>0</v>
      </c>
      <c r="AQ95" s="210">
        <f t="shared" si="101"/>
        <v>0</v>
      </c>
      <c r="AR95" s="94"/>
    </row>
    <row r="96" spans="29:44" x14ac:dyDescent="0.25">
      <c r="AC96" s="5"/>
      <c r="AD96" s="5"/>
      <c r="AE96" s="5"/>
      <c r="AF96" s="5"/>
      <c r="AG96" s="5"/>
      <c r="AH96" s="5"/>
      <c r="AJ96" s="37" t="s">
        <v>164</v>
      </c>
      <c r="AK96" s="37">
        <f>IFERROR(IF($AA$4=3,($AR84/$AJ$83)*$AG$3,($AR$44/$AJ$83)*$AG4*$AG$3),0)</f>
        <v>0</v>
      </c>
      <c r="AL96" s="37">
        <f>IFERROR(IF($AA$5=3,($AR$85/$AJ$83)*$AG$3,($AR$85/$AJ$83)*$AG5*$AG$3),0)</f>
        <v>0</v>
      </c>
      <c r="AM96" s="37">
        <f>IFERROR(IF($AA$6=3,($AR$86/$AJ$83)*$AG$3,($AR$86/$AJ$83)*$AG6*$AG$3),0)</f>
        <v>0</v>
      </c>
      <c r="AN96" s="37">
        <f>IFERROR(IF($AA$7=3,($AR$87/$AJ$83)*$AG$3,($AR$87/$AJ$83)*$AG7*$AG$3),0)</f>
        <v>0</v>
      </c>
      <c r="AO96" s="37">
        <f>IFERROR(IF($AA$8=3,($AR$88/$AJ$83)*$AG$3,($AR$88/$AJ$83)*$AG8*$AG$3),0)</f>
        <v>0</v>
      </c>
      <c r="AP96" s="37">
        <f>IFERROR(IF($AA$9=3,($AR$89/$AJ$83)*$AG$3,($AR$89/$AJ$83)*$AG9*$AG$3),0)</f>
        <v>0</v>
      </c>
      <c r="AQ96" s="37">
        <f>IFERROR(IF($AA$10=3,($AR$90/$AJ$83)*$AG$3,($AR$90/$AJ$83)*$AG$10*$AG$3),0)</f>
        <v>0</v>
      </c>
      <c r="AR96" s="207">
        <f>SUM(AK96:AQ96)</f>
        <v>0</v>
      </c>
    </row>
    <row r="97" spans="29:44" x14ac:dyDescent="0.25">
      <c r="AC97" s="5"/>
      <c r="AD97" s="5"/>
      <c r="AE97" s="5"/>
      <c r="AF97" s="5"/>
      <c r="AG97" s="5"/>
      <c r="AH97" s="5"/>
      <c r="AJ97" s="198" t="s">
        <v>165</v>
      </c>
      <c r="AK97" s="198">
        <f>IFERROR(IF($AA$4=3,($AR$84/$AJ$83)*$AI$3,($AR$84/$AJ$83)*$AI4*$AI$3),0)</f>
        <v>0</v>
      </c>
      <c r="AL97" s="198">
        <f>IFERROR(IF($AA$5=3,($AR$85/$AJ$83)*$AI$3,($AR$85/$AJ$83)*$AI5*$AI$3),0)</f>
        <v>0</v>
      </c>
      <c r="AM97" s="198">
        <f>IFERROR(IF($AA$6=3,($AR$86/$AJ$83)*$AI$3,($AR$86/$AJ$83)*$AI6*$AI$3),0)</f>
        <v>0</v>
      </c>
      <c r="AN97" s="198">
        <f>IFERROR(IF($AA$7=3,($AR$87/$AJ$83)*$AI$3,($AR$87/$AJ$83)*$AI7*$AI$3),0)</f>
        <v>0</v>
      </c>
      <c r="AO97" s="198">
        <f>IFERROR(IF($AA$8=3,($AR$88/$AJ$83)*$AI$3,($AR$88/$AJ$83)*$AI8*$AI$3),0)</f>
        <v>0</v>
      </c>
      <c r="AP97" s="198">
        <f>IFERROR(IF($AA$9=3,($AR$89/$AJ$83)*$AI$3,($AR$89/$AJ$83)*$AI9*$AI$3),0)</f>
        <v>0</v>
      </c>
      <c r="AQ97" s="198">
        <f>IFERROR(IF($AA$10=3,($AR$90/$AJ$83)*$AI$3,($AR$90/$AJ$83)*$AI$10*$AI$3),0)</f>
        <v>0</v>
      </c>
      <c r="AR97" s="208">
        <f>SUM(AK97:AQ97)</f>
        <v>0</v>
      </c>
    </row>
    <row r="98" spans="29:44" x14ac:dyDescent="0.25">
      <c r="AC98" s="5"/>
      <c r="AD98" s="5"/>
      <c r="AE98" s="5"/>
      <c r="AF98" s="5"/>
      <c r="AG98" s="5"/>
      <c r="AH98" s="5"/>
      <c r="AJ98" s="39" t="str">
        <f>IF(ISBLANK($C$4),"",$C$4)</f>
        <v>Category1</v>
      </c>
      <c r="AK98" s="39">
        <f>IFERROR(IF($AK$82&lt;$AK$81,IF(AND(AJ98=$AK$83,AA4=3),($AK$81-$AK$82),IF(AND(AA4=2,$AA$4&lt;&gt;3),$AK$81-$AK$82,0)),0),0)</f>
        <v>0</v>
      </c>
      <c r="AL98" s="39">
        <f>IFERROR(IF($AL$82&lt;$AL$81,IF(AND(AJ98=$AL$83,AA4=3),($AL$81-$AL$82),IF(AND(AA4=2,$AA$5&lt;&gt;3),$AL$81-$AL$82,0)),0),0)</f>
        <v>0</v>
      </c>
      <c r="AM98" s="39">
        <f>IFERROR(IF($AM$82&lt;$AM$81,IF(AND(AJ98=$AM$83,AA4=3),($AM$81-$AM$82),IF(AND(AA4=2,$AA$6&lt;&gt;3),$AM$81-$AM$82,0)),0),0)</f>
        <v>0</v>
      </c>
      <c r="AN98" s="39">
        <f>IFERROR(IF($AN$82&lt;$AN$81,IF(AND(AJ98=$AN$83,AA4=3),($AN$81-$AN$82),IF(AND(AA4=2,$AA$7&lt;&gt;3),$AN$81-$AN$82,0)),0),0)</f>
        <v>0</v>
      </c>
      <c r="AO98" s="39">
        <f>IFERROR(IF($AO$82&lt;$AO$81,IF(AND(AJ98=$AO$83,AA4=3),($AO$81-$AO$82),IF(AND(AA4=2,$AA$8&lt;&gt;3),$AO$81-$AO$82,0)),0),0)</f>
        <v>0</v>
      </c>
      <c r="AP98" s="39">
        <f>IFERROR(IF($AP$82&lt;$AP$81,IF(AND(AJ98=$AP$83,AA4=3),($AP$81-$AP$82),IF(AND(AA4=2,$AA$9&lt;&gt;3),$AP$81-$AP$82,0)),0),0)</f>
        <v>0</v>
      </c>
      <c r="AQ98" s="39">
        <f>IFERROR(IF($AQ$82&lt;$AQ$81,IF(AND(AJ98=$AQ$83,AA4=3),($AQ$81-$AQ$82),IF(AND(AA4=2,$AA$10&lt;&gt;3),$AQ$81-$AQ$82,0)),0),0)</f>
        <v>0</v>
      </c>
      <c r="AR98" s="122">
        <f>IF($AT$4&gt;3,SUM(AK98:AQ98),0)</f>
        <v>0</v>
      </c>
    </row>
    <row r="99" spans="29:44" x14ac:dyDescent="0.25">
      <c r="AC99" s="5"/>
      <c r="AD99" s="5"/>
      <c r="AE99" s="5"/>
      <c r="AF99" s="5"/>
      <c r="AG99" s="5"/>
      <c r="AH99" s="5"/>
      <c r="AJ99" s="39" t="str">
        <f>IF(ISBLANK($C$5),"",$C$5)</f>
        <v>Category2</v>
      </c>
      <c r="AK99" s="39">
        <f t="shared" ref="AK99:AK108" si="102">IFERROR(IF($AK$82&lt;$AK$81,IF(AND(AJ99=$AK$83,AA5=3),($AK$81-$AK$82),IF(AND(AA5=2,$AA$4&lt;&gt;3),$AK$81-$AK$82,0)),0),0)</f>
        <v>0</v>
      </c>
      <c r="AL99" s="39">
        <f t="shared" ref="AL99:AL108" si="103">IFERROR(IF($AL$82&lt;$AL$81,IF(AND(AJ99=$AL$83,AA5=3),($AL$81-$AL$82),IF(AND(AA5=2,$AA$5&lt;&gt;3),$AL$81-$AL$82,0)),0),0)</f>
        <v>0</v>
      </c>
      <c r="AM99" s="39">
        <f t="shared" ref="AM99:AM108" si="104">IFERROR(IF($AM$82&lt;$AM$81,IF(AND(AJ99=$AM$83,AA5=3),($AM$81-$AM$82),IF(AND(AA5=2,$AA$6&lt;&gt;3),$AM$81-$AM$82,0)),0),0)</f>
        <v>0</v>
      </c>
      <c r="AN99" s="39">
        <f t="shared" ref="AN99:AN108" si="105">IFERROR(IF($AN$82&lt;$AN$81,IF(AND(AJ99=$AN$83,AA5=3),($AN$81-$AN$82),IF(AND(AA5=2,$AA$7&lt;&gt;3),$AN$81-$AN$82,0)),0),0)</f>
        <v>0</v>
      </c>
      <c r="AO99" s="39">
        <f t="shared" ref="AO99:AO108" si="106">IFERROR(IF($AO$82&lt;$AO$81,IF(AND(AJ99=$AO$83,AA5=3),($AO$81-$AO$82),IF(AND(AA5=2,$AA$8&lt;&gt;3),$AO$81-$AO$82,0)),0),0)</f>
        <v>0</v>
      </c>
      <c r="AP99" s="39">
        <f t="shared" ref="AP99:AP108" si="107">IFERROR(IF($AP$82&lt;$AP$81,IF(AND(AJ99=$AP$83,AA5=3),($AP$81-$AP$82),IF(AND(AA5=2,$AA$9&lt;&gt;3),$AP$81-$AP$82,0)),0),0)</f>
        <v>0</v>
      </c>
      <c r="AQ99" s="39">
        <f t="shared" ref="AQ99:AQ108" si="108">IFERROR(IF($AQ$82&lt;$AQ$81,IF(AND(AJ99=$AQ$83,AA5=3),($AQ$81-$AQ$82),IF(AND(AA5=2,$AA$10&lt;&gt;3),$AQ$81-$AQ$82,0)),0),0)</f>
        <v>0</v>
      </c>
      <c r="AR99" s="122">
        <f t="shared" ref="AR99:AR108" si="109">IF($AT$4&gt;3,SUM(AK99:AQ99),0)</f>
        <v>0</v>
      </c>
    </row>
    <row r="100" spans="29:44" x14ac:dyDescent="0.25">
      <c r="AC100" s="5"/>
      <c r="AD100" s="5"/>
      <c r="AE100" s="5"/>
      <c r="AF100" s="5"/>
      <c r="AG100" s="5"/>
      <c r="AH100" s="5"/>
      <c r="AJ100" s="39" t="str">
        <f>IF(ISBLANK($C$6),"",$C$6)</f>
        <v>Category3</v>
      </c>
      <c r="AK100" s="39">
        <f t="shared" si="102"/>
        <v>0</v>
      </c>
      <c r="AL100" s="39">
        <f t="shared" si="103"/>
        <v>0</v>
      </c>
      <c r="AM100" s="39">
        <f t="shared" si="104"/>
        <v>0</v>
      </c>
      <c r="AN100" s="39">
        <f t="shared" si="105"/>
        <v>0</v>
      </c>
      <c r="AO100" s="39">
        <f t="shared" si="106"/>
        <v>0</v>
      </c>
      <c r="AP100" s="39">
        <f t="shared" si="107"/>
        <v>0</v>
      </c>
      <c r="AQ100" s="39">
        <f t="shared" si="108"/>
        <v>0</v>
      </c>
      <c r="AR100" s="122">
        <f t="shared" si="109"/>
        <v>0</v>
      </c>
    </row>
    <row r="101" spans="29:44" x14ac:dyDescent="0.25">
      <c r="AC101" s="5"/>
      <c r="AD101" s="5"/>
      <c r="AE101" s="5"/>
      <c r="AF101" s="5"/>
      <c r="AG101" s="5"/>
      <c r="AH101" s="5"/>
      <c r="AJ101" s="39" t="str">
        <f>IF(ISBLANK($C$7),"",$C$7)</f>
        <v>Category4</v>
      </c>
      <c r="AK101" s="39">
        <f t="shared" si="102"/>
        <v>0</v>
      </c>
      <c r="AL101" s="39">
        <f t="shared" si="103"/>
        <v>0</v>
      </c>
      <c r="AM101" s="39">
        <f t="shared" si="104"/>
        <v>0</v>
      </c>
      <c r="AN101" s="39">
        <f t="shared" si="105"/>
        <v>0</v>
      </c>
      <c r="AO101" s="39">
        <f t="shared" si="106"/>
        <v>0</v>
      </c>
      <c r="AP101" s="39">
        <f t="shared" si="107"/>
        <v>0</v>
      </c>
      <c r="AQ101" s="39">
        <f t="shared" si="108"/>
        <v>0</v>
      </c>
      <c r="AR101" s="122">
        <f t="shared" si="109"/>
        <v>0</v>
      </c>
    </row>
    <row r="102" spans="29:44" x14ac:dyDescent="0.25">
      <c r="AC102" s="5"/>
      <c r="AD102" s="5"/>
      <c r="AE102" s="5"/>
      <c r="AF102" s="5"/>
      <c r="AG102" s="5"/>
      <c r="AH102" s="5"/>
      <c r="AJ102" s="39" t="str">
        <f>IF(ISBLANK($C$8),"",$C$8)</f>
        <v>Category5</v>
      </c>
      <c r="AK102" s="39">
        <f t="shared" si="102"/>
        <v>0</v>
      </c>
      <c r="AL102" s="39">
        <f t="shared" si="103"/>
        <v>0</v>
      </c>
      <c r="AM102" s="39">
        <f t="shared" si="104"/>
        <v>0</v>
      </c>
      <c r="AN102" s="39">
        <f t="shared" si="105"/>
        <v>0</v>
      </c>
      <c r="AO102" s="39">
        <f t="shared" si="106"/>
        <v>0</v>
      </c>
      <c r="AP102" s="39">
        <f t="shared" si="107"/>
        <v>0</v>
      </c>
      <c r="AQ102" s="39">
        <f t="shared" si="108"/>
        <v>0</v>
      </c>
      <c r="AR102" s="122">
        <f t="shared" si="109"/>
        <v>0</v>
      </c>
    </row>
    <row r="103" spans="29:44" x14ac:dyDescent="0.25">
      <c r="AC103" s="119"/>
      <c r="AD103" s="119"/>
      <c r="AE103" s="119"/>
      <c r="AF103" s="119"/>
      <c r="AG103" s="119"/>
      <c r="AH103" s="119"/>
      <c r="AI103" s="119"/>
      <c r="AJ103" s="39" t="str">
        <f>IF(ISBLANK($C$9),"",$C$9)</f>
        <v>Category6</v>
      </c>
      <c r="AK103" s="39">
        <f t="shared" si="102"/>
        <v>0</v>
      </c>
      <c r="AL103" s="39">
        <f t="shared" si="103"/>
        <v>0</v>
      </c>
      <c r="AM103" s="39">
        <f t="shared" si="104"/>
        <v>0</v>
      </c>
      <c r="AN103" s="39">
        <f t="shared" si="105"/>
        <v>0</v>
      </c>
      <c r="AO103" s="39">
        <f t="shared" si="106"/>
        <v>0</v>
      </c>
      <c r="AP103" s="39">
        <f t="shared" si="107"/>
        <v>0</v>
      </c>
      <c r="AQ103" s="39">
        <f t="shared" si="108"/>
        <v>0</v>
      </c>
      <c r="AR103" s="122">
        <f t="shared" si="109"/>
        <v>0</v>
      </c>
    </row>
    <row r="104" spans="29:44" x14ac:dyDescent="0.25">
      <c r="AC104" s="119"/>
      <c r="AD104" s="119"/>
      <c r="AE104" s="119"/>
      <c r="AF104" s="119"/>
      <c r="AG104" s="119"/>
      <c r="AH104" s="119"/>
      <c r="AI104" s="119"/>
      <c r="AJ104" s="39" t="str">
        <f>IF(ISBLANK($C$10),"",$C$10)</f>
        <v>Category7</v>
      </c>
      <c r="AK104" s="39">
        <f t="shared" si="102"/>
        <v>0</v>
      </c>
      <c r="AL104" s="39">
        <f t="shared" si="103"/>
        <v>0</v>
      </c>
      <c r="AM104" s="39">
        <f t="shared" si="104"/>
        <v>0</v>
      </c>
      <c r="AN104" s="39">
        <f t="shared" si="105"/>
        <v>0</v>
      </c>
      <c r="AO104" s="39">
        <f t="shared" si="106"/>
        <v>0</v>
      </c>
      <c r="AP104" s="39">
        <f t="shared" si="107"/>
        <v>0</v>
      </c>
      <c r="AQ104" s="39">
        <f t="shared" si="108"/>
        <v>0</v>
      </c>
      <c r="AR104" s="122">
        <f t="shared" si="109"/>
        <v>0</v>
      </c>
    </row>
    <row r="105" spans="29:44" x14ac:dyDescent="0.25">
      <c r="AC105" s="119"/>
      <c r="AD105" s="119"/>
      <c r="AE105" s="119"/>
      <c r="AF105" s="119"/>
      <c r="AG105" s="119"/>
      <c r="AH105" s="119"/>
      <c r="AI105" s="119"/>
      <c r="AJ105" s="39" t="str">
        <f>IF(ISBLANK($C$11),"",$C$11)</f>
        <v/>
      </c>
      <c r="AK105" s="39">
        <f t="shared" si="102"/>
        <v>0</v>
      </c>
      <c r="AL105" s="39">
        <f t="shared" si="103"/>
        <v>0</v>
      </c>
      <c r="AM105" s="39">
        <f t="shared" si="104"/>
        <v>0</v>
      </c>
      <c r="AN105" s="39">
        <f t="shared" si="105"/>
        <v>0</v>
      </c>
      <c r="AO105" s="39">
        <f t="shared" si="106"/>
        <v>0</v>
      </c>
      <c r="AP105" s="39">
        <f t="shared" si="107"/>
        <v>0</v>
      </c>
      <c r="AQ105" s="39">
        <f t="shared" si="108"/>
        <v>0</v>
      </c>
      <c r="AR105" s="122">
        <f t="shared" si="109"/>
        <v>0</v>
      </c>
    </row>
    <row r="106" spans="29:44" x14ac:dyDescent="0.25">
      <c r="AC106" s="119"/>
      <c r="AD106" s="119"/>
      <c r="AE106" s="119"/>
      <c r="AF106" s="119"/>
      <c r="AG106" s="119"/>
      <c r="AH106" s="119"/>
      <c r="AI106" s="119"/>
      <c r="AJ106" s="39" t="str">
        <f>IF(ISBLANK($C$12),"",$C$12)</f>
        <v/>
      </c>
      <c r="AK106" s="39">
        <f t="shared" si="102"/>
        <v>0</v>
      </c>
      <c r="AL106" s="39">
        <f t="shared" si="103"/>
        <v>0</v>
      </c>
      <c r="AM106" s="39">
        <f t="shared" si="104"/>
        <v>0</v>
      </c>
      <c r="AN106" s="39">
        <f t="shared" si="105"/>
        <v>0</v>
      </c>
      <c r="AO106" s="39">
        <f t="shared" si="106"/>
        <v>0</v>
      </c>
      <c r="AP106" s="39">
        <f t="shared" si="107"/>
        <v>0</v>
      </c>
      <c r="AQ106" s="39">
        <f t="shared" si="108"/>
        <v>0</v>
      </c>
      <c r="AR106" s="122">
        <f t="shared" si="109"/>
        <v>0</v>
      </c>
    </row>
    <row r="107" spans="29:44" x14ac:dyDescent="0.25">
      <c r="AC107" s="119"/>
      <c r="AD107" s="119"/>
      <c r="AE107" s="119"/>
      <c r="AF107" s="119"/>
      <c r="AG107" s="119"/>
      <c r="AH107" s="119"/>
      <c r="AI107" s="119"/>
      <c r="AJ107" s="39" t="str">
        <f>IF(ISBLANK($C$13),"",$C$13)</f>
        <v/>
      </c>
      <c r="AK107" s="39">
        <f t="shared" si="102"/>
        <v>0</v>
      </c>
      <c r="AL107" s="39">
        <f t="shared" si="103"/>
        <v>0</v>
      </c>
      <c r="AM107" s="39">
        <f t="shared" si="104"/>
        <v>0</v>
      </c>
      <c r="AN107" s="39">
        <f t="shared" si="105"/>
        <v>0</v>
      </c>
      <c r="AO107" s="39">
        <f t="shared" si="106"/>
        <v>0</v>
      </c>
      <c r="AP107" s="39">
        <f t="shared" si="107"/>
        <v>0</v>
      </c>
      <c r="AQ107" s="39">
        <f t="shared" si="108"/>
        <v>0</v>
      </c>
      <c r="AR107" s="122">
        <f t="shared" si="109"/>
        <v>0</v>
      </c>
    </row>
    <row r="108" spans="29:44" x14ac:dyDescent="0.25">
      <c r="AC108" s="119"/>
      <c r="AD108" s="119"/>
      <c r="AE108" s="119"/>
      <c r="AF108" s="119"/>
      <c r="AG108" s="119"/>
      <c r="AH108" s="119"/>
      <c r="AI108" s="119"/>
      <c r="AJ108" s="39" t="str">
        <f>IF(ISBLANK($C$14),"",$C$14)</f>
        <v/>
      </c>
      <c r="AK108" s="39">
        <f t="shared" si="102"/>
        <v>0</v>
      </c>
      <c r="AL108" s="39">
        <f t="shared" si="103"/>
        <v>0</v>
      </c>
      <c r="AM108" s="39">
        <f t="shared" si="104"/>
        <v>0</v>
      </c>
      <c r="AN108" s="39">
        <f t="shared" si="105"/>
        <v>0</v>
      </c>
      <c r="AO108" s="39">
        <f t="shared" si="106"/>
        <v>0</v>
      </c>
      <c r="AP108" s="39">
        <f t="shared" si="107"/>
        <v>0</v>
      </c>
      <c r="AQ108" s="39">
        <f t="shared" si="108"/>
        <v>0</v>
      </c>
      <c r="AR108" s="122">
        <f t="shared" si="109"/>
        <v>0</v>
      </c>
    </row>
    <row r="109" spans="29:44" x14ac:dyDescent="0.25">
      <c r="AC109" s="119"/>
      <c r="AD109" s="119"/>
      <c r="AE109" s="119"/>
      <c r="AF109" s="119"/>
      <c r="AG109" s="119"/>
      <c r="AH109" s="119"/>
      <c r="AI109" s="119"/>
      <c r="AJ109" s="122"/>
      <c r="AK109" s="39">
        <f t="shared" ref="AK109:AQ109" si="110">SUM(AK98:AK108)</f>
        <v>0</v>
      </c>
      <c r="AL109" s="39">
        <f t="shared" si="110"/>
        <v>0</v>
      </c>
      <c r="AM109" s="39">
        <f t="shared" si="110"/>
        <v>0</v>
      </c>
      <c r="AN109" s="39">
        <f t="shared" si="110"/>
        <v>0</v>
      </c>
      <c r="AO109" s="39">
        <f t="shared" si="110"/>
        <v>0</v>
      </c>
      <c r="AP109" s="39">
        <f t="shared" si="110"/>
        <v>0</v>
      </c>
      <c r="AQ109" s="39">
        <f t="shared" si="110"/>
        <v>0</v>
      </c>
      <c r="AR109" s="122"/>
    </row>
    <row r="110" spans="29:44" x14ac:dyDescent="0.25">
      <c r="AC110" s="119"/>
      <c r="AD110" s="119"/>
      <c r="AE110" s="119"/>
      <c r="AF110" s="119"/>
      <c r="AG110" s="119"/>
      <c r="AH110" s="119"/>
      <c r="AI110" s="119"/>
      <c r="AJ110" s="39" t="s">
        <v>144</v>
      </c>
      <c r="AK110" s="45">
        <f>IF($AT$4&gt;2,SUM(AK98:AK108),0)</f>
        <v>0</v>
      </c>
      <c r="AL110" s="45">
        <f t="shared" ref="AL110:AQ110" si="111">IF($AT$4&gt;2,SUM(AL98:AL108),0)</f>
        <v>0</v>
      </c>
      <c r="AM110" s="45">
        <f t="shared" si="111"/>
        <v>0</v>
      </c>
      <c r="AN110" s="45">
        <f t="shared" si="111"/>
        <v>0</v>
      </c>
      <c r="AO110" s="45">
        <f t="shared" si="111"/>
        <v>0</v>
      </c>
      <c r="AP110" s="45">
        <f t="shared" si="111"/>
        <v>0</v>
      </c>
      <c r="AQ110" s="45">
        <f t="shared" si="111"/>
        <v>0</v>
      </c>
      <c r="AR110" s="39"/>
    </row>
    <row r="111" spans="29:44" x14ac:dyDescent="0.25">
      <c r="AC111" s="119"/>
      <c r="AD111" s="119"/>
      <c r="AE111" s="119"/>
      <c r="AF111" s="119"/>
      <c r="AG111" s="119"/>
      <c r="AH111" s="119"/>
      <c r="AI111" s="119"/>
      <c r="AJ111" s="37" t="s">
        <v>164</v>
      </c>
      <c r="AK111" s="37">
        <f>IFERROR(IF($AA4=3,($AR$98/$AJ$83)*$AG$3,($AR$98/$AJ$83)*$AG4*$AG$3),0)</f>
        <v>0</v>
      </c>
      <c r="AL111" s="37">
        <f>IFERROR(IF($AA$5=3,($AR$99/$AJ$83)*$AG$3,($AR$99/$AJ$83)*$AG5*$AG$3),0)</f>
        <v>0</v>
      </c>
      <c r="AM111" s="37">
        <f>IFERROR(IF($AA$6=3,($AR$100/$AJ$83)*$AG$3,($AR$100/$AJ$83)*$AG6*$AG$3),0)</f>
        <v>0</v>
      </c>
      <c r="AN111" s="37">
        <f>IFERROR(IF($AA$7=3,($AR$101/$AJ$83)*$AG$3,($AR$101/$AJ$83)*$AG7*$AG$3),0)</f>
        <v>0</v>
      </c>
      <c r="AO111" s="37">
        <f>IFERROR(IF($AA$8=3,($AR102/$AJ$83)*$AG$3,($AR102/$AJ$83)*$AG$8*$AG$3),0)</f>
        <v>0</v>
      </c>
      <c r="AP111" s="37">
        <f>IFERROR(IF($AA$9=3,($AR103/$AJ$83)*$AG$3,($AR103/$AJ$83)*$AG9*$AG$3),0)</f>
        <v>0</v>
      </c>
      <c r="AQ111" s="37">
        <f>IFERROR(IF($AA$10=3,($AR$104/$AJ$83)*$AG$3,($AR$104/$AJ$83)*$AG$10*$AG$3),0)</f>
        <v>0</v>
      </c>
      <c r="AR111" s="207">
        <f>SUM(AK111:AQ111)</f>
        <v>0</v>
      </c>
    </row>
    <row r="112" spans="29:44" x14ac:dyDescent="0.25">
      <c r="AC112" s="119"/>
      <c r="AD112" s="119"/>
      <c r="AE112" s="119"/>
      <c r="AF112" s="119"/>
      <c r="AG112" s="119"/>
      <c r="AH112" s="119"/>
      <c r="AI112" s="119"/>
      <c r="AJ112" s="198" t="s">
        <v>165</v>
      </c>
      <c r="AK112" s="198">
        <f>IFERROR(IF($AA4=3,($AR$98/$AJ$83)*$AI$3,($AR$98/$AJ$83)*$AI4*$AI$3),0)</f>
        <v>0</v>
      </c>
      <c r="AL112" s="198">
        <f>IFERROR(IF($AA$5=3,($AR$99/$AJ$83)*$AI$3,($AR$99/$AJ$83)*$AI5*$AI$3),0)</f>
        <v>0</v>
      </c>
      <c r="AM112" s="198">
        <f>IFERROR(IF($AA$6=3,($AR$100/$AJ$83)*$AI$3,($AR$100/$AJ$83)*$AI6*$AI$3),0)</f>
        <v>0</v>
      </c>
      <c r="AN112" s="198">
        <f>IFERROR(IF($AA$7=3,($AR$101/$AJ$83)*$AI$3,($AR$101/$AJ$83)*$AI7*$AI$3),0)</f>
        <v>0</v>
      </c>
      <c r="AO112" s="198">
        <f>IFERROR(IF($AA$8=3,($AR102/$AJ$83)*$AI$3,($AR102/$AJ$83)*$AI$8*$AI$3),0)</f>
        <v>0</v>
      </c>
      <c r="AP112" s="198">
        <f>IFERROR(IF($AA$9=3,($AR103/$AJ$83)*$AI$3,($AR103/$AJ$83)*$AI$9*$AI$3),0)</f>
        <v>0</v>
      </c>
      <c r="AQ112" s="198">
        <f>IFERROR(IF($AA$10=3,($AR$104/$AJ$83)*$AI$3,($AR$104/$AJ$83)*$AI$10*$AI$3),0)</f>
        <v>0</v>
      </c>
      <c r="AR112" s="208">
        <f>SUM(AK112:AQ112)</f>
        <v>0</v>
      </c>
    </row>
    <row r="113" spans="29:44" x14ac:dyDescent="0.25">
      <c r="AC113" s="119"/>
      <c r="AD113" s="119"/>
      <c r="AE113" s="119"/>
      <c r="AF113" s="119"/>
      <c r="AG113" s="119"/>
      <c r="AH113" s="119"/>
      <c r="AI113" s="119"/>
      <c r="AJ113" s="124" t="s">
        <v>164</v>
      </c>
      <c r="AK113" s="124">
        <f>AK111-AK96+AK77+AK38</f>
        <v>0</v>
      </c>
      <c r="AL113" s="124">
        <f t="shared" ref="AL113:AQ113" si="112">AL111-AL96+AL77+AL38</f>
        <v>0</v>
      </c>
      <c r="AM113" s="124">
        <f t="shared" si="112"/>
        <v>0</v>
      </c>
      <c r="AN113" s="124">
        <f t="shared" si="112"/>
        <v>0</v>
      </c>
      <c r="AO113" s="124">
        <f t="shared" si="112"/>
        <v>0</v>
      </c>
      <c r="AP113" s="124">
        <f t="shared" si="112"/>
        <v>0</v>
      </c>
      <c r="AQ113" s="124">
        <f t="shared" si="112"/>
        <v>0</v>
      </c>
    </row>
    <row r="114" spans="29:44" x14ac:dyDescent="0.25">
      <c r="AC114" s="5"/>
      <c r="AD114" s="5"/>
      <c r="AE114" s="5"/>
      <c r="AF114" s="5"/>
      <c r="AG114" s="5"/>
      <c r="AH114" s="5"/>
      <c r="AJ114" s="124" t="s">
        <v>165</v>
      </c>
      <c r="AK114" s="124">
        <f>AK112-AK97</f>
        <v>0</v>
      </c>
      <c r="AL114" s="124">
        <f t="shared" ref="AL114:AQ114" si="113">AL112-AL97</f>
        <v>0</v>
      </c>
      <c r="AM114" s="124">
        <f>AM112-AM97</f>
        <v>0</v>
      </c>
      <c r="AN114" s="124">
        <f t="shared" si="113"/>
        <v>0</v>
      </c>
      <c r="AO114" s="124">
        <f t="shared" si="113"/>
        <v>0</v>
      </c>
      <c r="AP114" s="124">
        <f t="shared" si="113"/>
        <v>0</v>
      </c>
      <c r="AQ114" s="124">
        <f t="shared" si="113"/>
        <v>0</v>
      </c>
    </row>
    <row r="115" spans="29:44" x14ac:dyDescent="0.25">
      <c r="AC115" s="5"/>
      <c r="AD115" s="5"/>
      <c r="AE115" s="5"/>
      <c r="AF115" s="5"/>
      <c r="AG115" s="5"/>
      <c r="AH115" s="5"/>
      <c r="AJ115" s="125" t="s">
        <v>145</v>
      </c>
      <c r="AK115" s="125">
        <f>IF(AND($AT$4&gt;1,AK113&gt;=0),AK113,0)</f>
        <v>0</v>
      </c>
      <c r="AL115" s="125">
        <f t="shared" ref="AL115:AQ115" si="114">IF(AND($AT$4&gt;1,AL113&gt;=0),AL113,0)</f>
        <v>0</v>
      </c>
      <c r="AM115" s="125">
        <f t="shared" si="114"/>
        <v>0</v>
      </c>
      <c r="AN115" s="125">
        <f t="shared" si="114"/>
        <v>0</v>
      </c>
      <c r="AO115" s="125">
        <f t="shared" si="114"/>
        <v>0</v>
      </c>
      <c r="AP115" s="125">
        <f t="shared" si="114"/>
        <v>0</v>
      </c>
      <c r="AQ115" s="125">
        <f t="shared" si="114"/>
        <v>0</v>
      </c>
    </row>
    <row r="116" spans="29:44" x14ac:dyDescent="0.25">
      <c r="AC116" s="119"/>
      <c r="AD116" s="119"/>
      <c r="AE116" s="119"/>
      <c r="AF116" s="119"/>
      <c r="AG116" s="119"/>
      <c r="AH116" s="119"/>
      <c r="AI116" s="119"/>
      <c r="AJ116" s="125" t="s">
        <v>160</v>
      </c>
      <c r="AK116" s="125">
        <f>IF(AK$113&lt;0,ABS(AK$113),0)</f>
        <v>0</v>
      </c>
      <c r="AL116" s="125">
        <f t="shared" ref="AL116:AQ116" si="115">IF(AL$113&lt;0,ABS(AL$113),0)</f>
        <v>0</v>
      </c>
      <c r="AM116" s="125">
        <f t="shared" si="115"/>
        <v>0</v>
      </c>
      <c r="AN116" s="125">
        <f t="shared" si="115"/>
        <v>0</v>
      </c>
      <c r="AO116" s="125">
        <f t="shared" si="115"/>
        <v>0</v>
      </c>
      <c r="AP116" s="125">
        <f t="shared" si="115"/>
        <v>0</v>
      </c>
      <c r="AQ116" s="125">
        <f t="shared" si="115"/>
        <v>0</v>
      </c>
    </row>
    <row r="117" spans="29:44" x14ac:dyDescent="0.25">
      <c r="AC117" s="5"/>
      <c r="AD117" s="5"/>
      <c r="AE117" s="5"/>
      <c r="AF117" s="5"/>
      <c r="AG117" s="5"/>
      <c r="AH117" s="5"/>
      <c r="AJ117" s="5"/>
      <c r="AK117" s="9">
        <f>J20</f>
        <v>0</v>
      </c>
      <c r="AL117" s="9">
        <f>L20</f>
        <v>0</v>
      </c>
      <c r="AM117" s="9">
        <f>N20</f>
        <v>0</v>
      </c>
      <c r="AN117" s="9">
        <f>P20</f>
        <v>0</v>
      </c>
      <c r="AO117" s="9">
        <f>R20</f>
        <v>0</v>
      </c>
      <c r="AP117" s="9">
        <f>T20</f>
        <v>0</v>
      </c>
      <c r="AQ117" s="9">
        <f>V20</f>
        <v>0</v>
      </c>
    </row>
    <row r="118" spans="29:44" x14ac:dyDescent="0.25">
      <c r="AC118" s="119"/>
      <c r="AD118" s="119"/>
      <c r="AE118" s="119"/>
      <c r="AF118" s="119"/>
      <c r="AG118" s="119"/>
      <c r="AH118" s="119"/>
      <c r="AI118" s="119"/>
      <c r="AJ118" s="5"/>
      <c r="AK118" s="9">
        <f>IF(AT4&gt;3,K20+AK116,AK116)</f>
        <v>0</v>
      </c>
      <c r="AL118" s="9">
        <f>IF(AT4&gt;3,M20+AL116,AL116)</f>
        <v>0</v>
      </c>
      <c r="AM118" s="9">
        <f>IF(AT4&gt;3,O20+AM116,AM116)</f>
        <v>0</v>
      </c>
      <c r="AN118" s="9">
        <f>IF(AT4&gt;3,Q20+AN116,AN116)</f>
        <v>0</v>
      </c>
      <c r="AO118" s="9">
        <f>IF(AT4&gt;3,S20+AO116,AO116)</f>
        <v>0</v>
      </c>
      <c r="AP118" s="9">
        <f>IF(AT4&gt;3,U20+AP116,AP116)</f>
        <v>0</v>
      </c>
      <c r="AQ118" s="9">
        <f>IF(AT4&gt;3,W20+AQ116,AQ116)</f>
        <v>0</v>
      </c>
    </row>
    <row r="119" spans="29:44" x14ac:dyDescent="0.25">
      <c r="AC119" s="119"/>
      <c r="AD119" s="119"/>
      <c r="AE119" s="119"/>
      <c r="AF119" s="119"/>
      <c r="AG119" s="119"/>
      <c r="AH119" s="119"/>
      <c r="AI119" s="119"/>
      <c r="AJ119" s="204">
        <f>IF($AJ$3-3&lt;0,0,$AJ$3-3)</f>
        <v>0</v>
      </c>
      <c r="AK119" s="22" t="str">
        <f>$J$4</f>
        <v>Category1</v>
      </c>
      <c r="AL119" s="22" t="str">
        <f>$L$4</f>
        <v>Category2</v>
      </c>
      <c r="AM119" s="22" t="str">
        <f>$N$4</f>
        <v>Category3</v>
      </c>
      <c r="AN119" s="22" t="str">
        <f>$P$4</f>
        <v>Category4</v>
      </c>
      <c r="AO119" s="22" t="str">
        <f>$R$4</f>
        <v>Category5</v>
      </c>
      <c r="AP119" s="22" t="str">
        <f>$T$4</f>
        <v>Category6</v>
      </c>
      <c r="AQ119" s="22" t="str">
        <f>$V$4</f>
        <v>Category7</v>
      </c>
      <c r="AR119" s="22" t="s">
        <v>144</v>
      </c>
    </row>
    <row r="120" spans="29:44" x14ac:dyDescent="0.25">
      <c r="AC120" s="119"/>
      <c r="AD120" s="119"/>
      <c r="AE120" s="119"/>
      <c r="AF120" s="119"/>
      <c r="AG120" s="119"/>
      <c r="AH120" s="119"/>
      <c r="AI120" s="119"/>
      <c r="AJ120" s="210" t="str">
        <f>IF(ISBLANK($C$4),"",$C$4)</f>
        <v>Category1</v>
      </c>
      <c r="AK120" s="210">
        <f>IFERROR(IF($AK$118&gt;$AK$117,IF(AND(AJ120=$AK$119,AA4=3),($AK$118-$AK$117),IF(AND(AA4=2,$AA$4&lt;&gt;3),$AK$118-$AK$117)),0),0)</f>
        <v>0</v>
      </c>
      <c r="AL120" s="210">
        <f>IFERROR(IF($AL$118&gt;$AL$117,IF(AND(AJ120=$AL$119,AA4=3),($AL$118-$AL$117),IF(AND(AA4=2,$AA$5&lt;&gt;3),$AL$118-$AL$117)),0),0)</f>
        <v>0</v>
      </c>
      <c r="AM120" s="210">
        <f>IFERROR(IF($AM$118&gt;$AM$117,IF(AND(AJ120=$AM$119,AA4=3),($AM$118-$AM$117),IF(AND(AA4=2,$AA$6&lt;&gt;3),$AM$118-$AM$117)),0),0)</f>
        <v>0</v>
      </c>
      <c r="AN120" s="210">
        <f>IFERROR(IF($AN$118&gt;$AN$117,IF(AND(AJ120=$AN$119,AA4=3),($AN$118-$AN$117),IF(AND(AA4=2,$AA$7&lt;&gt;3),$AN$118-$AN$117)),0),0)</f>
        <v>0</v>
      </c>
      <c r="AO120" s="210">
        <f>IFERROR(IF($AO$118&gt;$AO$117,IF(AND(AJ120=$AO$119,AA4=3),($AO$118-$AO$117),IF(AND(AA4=2,$AA$8&lt;&gt;3),$AO$118-$AO$117)),0),0)</f>
        <v>0</v>
      </c>
      <c r="AP120" s="210">
        <f>IFERROR(IF($AP$118&gt;$AP$117,IF(AND(AJ120=$AP$119,AA4=3),($AP$118-$AP$117),IF(AND(AA4=2,$AA$9&lt;&gt;3),$AP$118-$AP$117)),0),0)</f>
        <v>0</v>
      </c>
      <c r="AQ120" s="210">
        <f>IFERROR(IF($AQ$118&gt;$AQ$117,IF(AND(AJ120=$AQ$119,AA4=3),($AQ$118-$AQ$117),IF(AND(AA4=2,$AA$10&lt;&gt;3),$AQ$118-$AQ$117)),0),0)</f>
        <v>0</v>
      </c>
      <c r="AR120" s="94">
        <f>IF($AT$4&gt;3,SUM(AK120:AQ120),0)</f>
        <v>0</v>
      </c>
    </row>
    <row r="121" spans="29:44" x14ac:dyDescent="0.25">
      <c r="AC121" s="119"/>
      <c r="AD121" s="119"/>
      <c r="AE121" s="119"/>
      <c r="AF121" s="119"/>
      <c r="AG121" s="119"/>
      <c r="AH121" s="119"/>
      <c r="AI121" s="119"/>
      <c r="AJ121" s="210" t="str">
        <f>IF(ISBLANK($C$5),"",$C$5)</f>
        <v>Category2</v>
      </c>
      <c r="AK121" s="210">
        <f t="shared" ref="AK121:AK130" si="116">IFERROR(IF($AK$118&gt;$AK$117,IF(AND(AJ121=$AK$119,AA5=3),($AK$118-$AK$117),IF(AND(AA5=2,$AA$4&lt;&gt;3),$AK$118-$AK$117)),0),0)</f>
        <v>0</v>
      </c>
      <c r="AL121" s="210">
        <f t="shared" ref="AL121:AL130" si="117">IFERROR(IF($AL$118&gt;$AL$117,IF(AND(AJ121=$AL$119,AA5=3),($AL$118-$AL$117),IF(AND(AA5=2,$AA$5&lt;&gt;3),$AL$118-$AL$117)),0),0)</f>
        <v>0</v>
      </c>
      <c r="AM121" s="210">
        <f t="shared" ref="AM121:AM130" si="118">IFERROR(IF($AM$118&gt;$AM$117,IF(AND(AJ121=$AM$119,AA5=3),($AM$118-$AM$117),IF(AND(AA5=2,$AA$6&lt;&gt;3),$AM$118-$AM$117)),0),0)</f>
        <v>0</v>
      </c>
      <c r="AN121" s="210">
        <f t="shared" ref="AN121:AN130" si="119">IFERROR(IF($AN$118&gt;$AN$117,IF(AND(AJ121=$AN$119,AA5=3),($AN$118-$AN$117),IF(AND(AA5=2,$AA$7&lt;&gt;3),$AN$118-$AN$117)),0),0)</f>
        <v>0</v>
      </c>
      <c r="AO121" s="210">
        <f t="shared" ref="AO121:AO130" si="120">IFERROR(IF($AO$118&gt;$AO$117,IF(AND(AJ121=$AO$119,AA5=3),($AO$118-$AO$117),IF(AND(AA5=2,$AA$8&lt;&gt;3),$AO$118-$AO$117)),0),0)</f>
        <v>0</v>
      </c>
      <c r="AP121" s="210">
        <f t="shared" ref="AP121:AP130" si="121">IFERROR(IF($AP$118&gt;$AP$117,IF(AND(AJ121=$AP$119,AA5=3),($AP$118-$AP$117),IF(AND(AA5=2,$AA$9&lt;&gt;3),$AP$118-$AP$117)),0),0)</f>
        <v>0</v>
      </c>
      <c r="AQ121" s="210">
        <f t="shared" ref="AQ121:AQ130" si="122">IFERROR(IF($AQ$118&gt;$AQ$117,IF(AND(AJ121=$AQ$119,AA5=3),($AQ$118-$AQ$117),IF(AND(AA5=2,$AA$10&lt;&gt;3),$AQ$118-$AQ$117)),0),0)</f>
        <v>0</v>
      </c>
      <c r="AR121" s="94">
        <f t="shared" ref="AR121:AR130" si="123">IF($AT$4&gt;3,SUM(AK121:AQ121),0)</f>
        <v>0</v>
      </c>
    </row>
    <row r="122" spans="29:44" x14ac:dyDescent="0.25">
      <c r="AC122" s="119"/>
      <c r="AD122" s="119"/>
      <c r="AE122" s="119"/>
      <c r="AF122" s="119"/>
      <c r="AG122" s="119"/>
      <c r="AH122" s="119"/>
      <c r="AI122" s="119"/>
      <c r="AJ122" s="210" t="str">
        <f>IF(ISBLANK($C$6),"",$C$6)</f>
        <v>Category3</v>
      </c>
      <c r="AK122" s="210">
        <f t="shared" si="116"/>
        <v>0</v>
      </c>
      <c r="AL122" s="210">
        <f t="shared" si="117"/>
        <v>0</v>
      </c>
      <c r="AM122" s="210">
        <f t="shared" si="118"/>
        <v>0</v>
      </c>
      <c r="AN122" s="210">
        <f t="shared" si="119"/>
        <v>0</v>
      </c>
      <c r="AO122" s="210">
        <f t="shared" si="120"/>
        <v>0</v>
      </c>
      <c r="AP122" s="210">
        <f t="shared" si="121"/>
        <v>0</v>
      </c>
      <c r="AQ122" s="210">
        <f t="shared" si="122"/>
        <v>0</v>
      </c>
      <c r="AR122" s="94">
        <f t="shared" si="123"/>
        <v>0</v>
      </c>
    </row>
    <row r="123" spans="29:44" x14ac:dyDescent="0.25">
      <c r="AC123" s="119"/>
      <c r="AD123" s="119"/>
      <c r="AE123" s="119"/>
      <c r="AF123" s="119"/>
      <c r="AG123" s="119"/>
      <c r="AH123" s="119"/>
      <c r="AI123" s="119"/>
      <c r="AJ123" s="210" t="str">
        <f>IF(ISBLANK($C$7),"",$C$7)</f>
        <v>Category4</v>
      </c>
      <c r="AK123" s="210">
        <f t="shared" si="116"/>
        <v>0</v>
      </c>
      <c r="AL123" s="210">
        <f t="shared" si="117"/>
        <v>0</v>
      </c>
      <c r="AM123" s="210">
        <f t="shared" si="118"/>
        <v>0</v>
      </c>
      <c r="AN123" s="210">
        <f t="shared" si="119"/>
        <v>0</v>
      </c>
      <c r="AO123" s="210">
        <f t="shared" si="120"/>
        <v>0</v>
      </c>
      <c r="AP123" s="210">
        <f t="shared" si="121"/>
        <v>0</v>
      </c>
      <c r="AQ123" s="210">
        <f t="shared" si="122"/>
        <v>0</v>
      </c>
      <c r="AR123" s="94">
        <f t="shared" si="123"/>
        <v>0</v>
      </c>
    </row>
    <row r="124" spans="29:44" x14ac:dyDescent="0.25">
      <c r="AC124" s="119"/>
      <c r="AD124" s="119"/>
      <c r="AE124" s="119"/>
      <c r="AF124" s="119"/>
      <c r="AG124" s="119"/>
      <c r="AH124" s="119"/>
      <c r="AI124" s="119"/>
      <c r="AJ124" s="210" t="str">
        <f>IF(ISBLANK($C$8),"",$C$8)</f>
        <v>Category5</v>
      </c>
      <c r="AK124" s="210">
        <f t="shared" si="116"/>
        <v>0</v>
      </c>
      <c r="AL124" s="210">
        <f t="shared" si="117"/>
        <v>0</v>
      </c>
      <c r="AM124" s="210">
        <f t="shared" si="118"/>
        <v>0</v>
      </c>
      <c r="AN124" s="210">
        <f t="shared" si="119"/>
        <v>0</v>
      </c>
      <c r="AO124" s="210">
        <f t="shared" si="120"/>
        <v>0</v>
      </c>
      <c r="AP124" s="210">
        <f t="shared" si="121"/>
        <v>0</v>
      </c>
      <c r="AQ124" s="210">
        <f t="shared" si="122"/>
        <v>0</v>
      </c>
      <c r="AR124" s="94">
        <f t="shared" si="123"/>
        <v>0</v>
      </c>
    </row>
    <row r="125" spans="29:44" x14ac:dyDescent="0.25">
      <c r="AC125" s="119"/>
      <c r="AD125" s="119"/>
      <c r="AE125" s="119"/>
      <c r="AF125" s="119"/>
      <c r="AG125" s="119"/>
      <c r="AH125" s="119"/>
      <c r="AI125" s="119"/>
      <c r="AJ125" s="210" t="str">
        <f>IF(ISBLANK($C$9),"",$C$9)</f>
        <v>Category6</v>
      </c>
      <c r="AK125" s="210">
        <f t="shared" si="116"/>
        <v>0</v>
      </c>
      <c r="AL125" s="210">
        <f t="shared" si="117"/>
        <v>0</v>
      </c>
      <c r="AM125" s="210">
        <f t="shared" si="118"/>
        <v>0</v>
      </c>
      <c r="AN125" s="210">
        <f t="shared" si="119"/>
        <v>0</v>
      </c>
      <c r="AO125" s="210">
        <f t="shared" si="120"/>
        <v>0</v>
      </c>
      <c r="AP125" s="210">
        <f t="shared" si="121"/>
        <v>0</v>
      </c>
      <c r="AQ125" s="210">
        <f t="shared" si="122"/>
        <v>0</v>
      </c>
      <c r="AR125" s="94">
        <f t="shared" si="123"/>
        <v>0</v>
      </c>
    </row>
    <row r="126" spans="29:44" x14ac:dyDescent="0.25">
      <c r="AC126" s="5"/>
      <c r="AD126" s="5"/>
      <c r="AE126" s="5"/>
      <c r="AF126" s="5"/>
      <c r="AG126" s="5"/>
      <c r="AH126" s="5"/>
      <c r="AJ126" s="210" t="str">
        <f>IF(ISBLANK($C$10),"",$C$10)</f>
        <v>Category7</v>
      </c>
      <c r="AK126" s="210">
        <f t="shared" si="116"/>
        <v>0</v>
      </c>
      <c r="AL126" s="210">
        <f t="shared" si="117"/>
        <v>0</v>
      </c>
      <c r="AM126" s="210">
        <f t="shared" si="118"/>
        <v>0</v>
      </c>
      <c r="AN126" s="210">
        <f t="shared" si="119"/>
        <v>0</v>
      </c>
      <c r="AO126" s="210">
        <f t="shared" si="120"/>
        <v>0</v>
      </c>
      <c r="AP126" s="210">
        <f t="shared" si="121"/>
        <v>0</v>
      </c>
      <c r="AQ126" s="210">
        <f t="shared" si="122"/>
        <v>0</v>
      </c>
      <c r="AR126" s="94">
        <f t="shared" si="123"/>
        <v>0</v>
      </c>
    </row>
    <row r="127" spans="29:44" x14ac:dyDescent="0.25">
      <c r="AC127" s="5"/>
      <c r="AD127" s="5"/>
      <c r="AE127" s="5"/>
      <c r="AF127" s="5"/>
      <c r="AG127" s="5"/>
      <c r="AH127" s="5"/>
      <c r="AJ127" s="210" t="str">
        <f>IF(ISBLANK($C$11),"",$C$11)</f>
        <v/>
      </c>
      <c r="AK127" s="210">
        <f t="shared" si="116"/>
        <v>0</v>
      </c>
      <c r="AL127" s="210">
        <f t="shared" si="117"/>
        <v>0</v>
      </c>
      <c r="AM127" s="210">
        <f t="shared" si="118"/>
        <v>0</v>
      </c>
      <c r="AN127" s="210">
        <f t="shared" si="119"/>
        <v>0</v>
      </c>
      <c r="AO127" s="210">
        <f t="shared" si="120"/>
        <v>0</v>
      </c>
      <c r="AP127" s="210">
        <f t="shared" si="121"/>
        <v>0</v>
      </c>
      <c r="AQ127" s="210">
        <f t="shared" si="122"/>
        <v>0</v>
      </c>
      <c r="AR127" s="94">
        <f t="shared" si="123"/>
        <v>0</v>
      </c>
    </row>
    <row r="128" spans="29:44" x14ac:dyDescent="0.25">
      <c r="AC128" s="5"/>
      <c r="AD128" s="5"/>
      <c r="AE128" s="5"/>
      <c r="AF128" s="5"/>
      <c r="AG128" s="5"/>
      <c r="AH128" s="5"/>
      <c r="AJ128" s="210" t="str">
        <f>IF(ISBLANK($C$12),"",$C$12)</f>
        <v/>
      </c>
      <c r="AK128" s="210">
        <f t="shared" si="116"/>
        <v>0</v>
      </c>
      <c r="AL128" s="210">
        <f t="shared" si="117"/>
        <v>0</v>
      </c>
      <c r="AM128" s="210">
        <f t="shared" si="118"/>
        <v>0</v>
      </c>
      <c r="AN128" s="210">
        <f t="shared" si="119"/>
        <v>0</v>
      </c>
      <c r="AO128" s="210">
        <f t="shared" si="120"/>
        <v>0</v>
      </c>
      <c r="AP128" s="210">
        <f t="shared" si="121"/>
        <v>0</v>
      </c>
      <c r="AQ128" s="210">
        <f t="shared" si="122"/>
        <v>0</v>
      </c>
      <c r="AR128" s="94">
        <f t="shared" si="123"/>
        <v>0</v>
      </c>
    </row>
    <row r="129" spans="29:44" x14ac:dyDescent="0.25">
      <c r="AC129" s="5"/>
      <c r="AD129" s="5"/>
      <c r="AE129" s="5"/>
      <c r="AF129" s="5"/>
      <c r="AG129" s="5"/>
      <c r="AH129" s="5"/>
      <c r="AJ129" s="210" t="str">
        <f>IF(ISBLANK($C$13),"",$C$13)</f>
        <v/>
      </c>
      <c r="AK129" s="210">
        <f t="shared" si="116"/>
        <v>0</v>
      </c>
      <c r="AL129" s="210">
        <f t="shared" si="117"/>
        <v>0</v>
      </c>
      <c r="AM129" s="210">
        <f t="shared" si="118"/>
        <v>0</v>
      </c>
      <c r="AN129" s="210">
        <f t="shared" si="119"/>
        <v>0</v>
      </c>
      <c r="AO129" s="210">
        <f t="shared" si="120"/>
        <v>0</v>
      </c>
      <c r="AP129" s="210">
        <f t="shared" si="121"/>
        <v>0</v>
      </c>
      <c r="AQ129" s="210">
        <f t="shared" si="122"/>
        <v>0</v>
      </c>
      <c r="AR129" s="94">
        <f t="shared" si="123"/>
        <v>0</v>
      </c>
    </row>
    <row r="130" spans="29:44" x14ac:dyDescent="0.25">
      <c r="AC130" s="5"/>
      <c r="AD130" s="5"/>
      <c r="AE130" s="5"/>
      <c r="AF130" s="5"/>
      <c r="AG130" s="5"/>
      <c r="AH130" s="5"/>
      <c r="AJ130" s="210" t="str">
        <f>IF(ISBLANK($C$14),"",$C$14)</f>
        <v/>
      </c>
      <c r="AK130" s="210">
        <f t="shared" si="116"/>
        <v>0</v>
      </c>
      <c r="AL130" s="210">
        <f t="shared" si="117"/>
        <v>0</v>
      </c>
      <c r="AM130" s="210">
        <f t="shared" si="118"/>
        <v>0</v>
      </c>
      <c r="AN130" s="210">
        <f t="shared" si="119"/>
        <v>0</v>
      </c>
      <c r="AO130" s="210">
        <f t="shared" si="120"/>
        <v>0</v>
      </c>
      <c r="AP130" s="210">
        <f t="shared" si="121"/>
        <v>0</v>
      </c>
      <c r="AQ130" s="210">
        <f t="shared" si="122"/>
        <v>0</v>
      </c>
      <c r="AR130" s="94">
        <f t="shared" si="123"/>
        <v>0</v>
      </c>
    </row>
    <row r="131" spans="29:44" x14ac:dyDescent="0.25">
      <c r="AC131" s="5"/>
      <c r="AD131" s="5"/>
      <c r="AE131" s="5"/>
      <c r="AF131" s="5"/>
      <c r="AG131" s="5"/>
      <c r="AH131" s="5"/>
      <c r="AJ131" s="210" t="s">
        <v>144</v>
      </c>
      <c r="AK131" s="210">
        <f t="shared" ref="AK131:AQ131" si="124">SUM(AK120:AK130)</f>
        <v>0</v>
      </c>
      <c r="AL131" s="210">
        <f t="shared" si="124"/>
        <v>0</v>
      </c>
      <c r="AM131" s="210">
        <f t="shared" si="124"/>
        <v>0</v>
      </c>
      <c r="AN131" s="210">
        <f t="shared" si="124"/>
        <v>0</v>
      </c>
      <c r="AO131" s="210">
        <f t="shared" si="124"/>
        <v>0</v>
      </c>
      <c r="AP131" s="210">
        <f t="shared" si="124"/>
        <v>0</v>
      </c>
      <c r="AQ131" s="210">
        <f t="shared" si="124"/>
        <v>0</v>
      </c>
      <c r="AR131" s="94"/>
    </row>
    <row r="132" spans="29:44" x14ac:dyDescent="0.25">
      <c r="AC132" s="5"/>
      <c r="AD132" s="5"/>
      <c r="AE132" s="5"/>
      <c r="AF132" s="5"/>
      <c r="AG132" s="5"/>
      <c r="AH132" s="5"/>
      <c r="AJ132" s="198" t="s">
        <v>165</v>
      </c>
      <c r="AK132" s="198">
        <f>IFERROR(IF($AA$4=3,($AR$120/$AJ$119)*$AI$3,($AR$120/$AJ$119)*$AI4*$AI$3),0)</f>
        <v>0</v>
      </c>
      <c r="AL132" s="198">
        <f>IFERROR(IF($AA$5=3,($AR$121/$AJ$119)*$AI$3,($AR$121/$AJ$119)*$AI5*$AI$3),0)</f>
        <v>0</v>
      </c>
      <c r="AM132" s="198">
        <f>IFERROR(IF($AA$6=3,($AR$122/$AJ$119)*$AI$3,($AR$122/$AJ$119)*$AI6*$AI$3),0)</f>
        <v>0</v>
      </c>
      <c r="AN132" s="198">
        <f>IFERROR(IF($AA$7=3,($AR$123/$AJ$119)*$AI$3,($AR$123/$AJ$119)*$AI7*$AI$3),0)</f>
        <v>0</v>
      </c>
      <c r="AO132" s="198">
        <f>IFERROR(IF($AA$8=3,($AR$124/$AJ$119)*$AI$3,($AR$124/$AJ$119)*$AI8*$AI$3),0)</f>
        <v>0</v>
      </c>
      <c r="AP132" s="198">
        <f>IFERROR(IF($AA$9=3,($AR$125/$AJ$119)*$AI$3,($AR$125/$AJ$119)*$AI9*$AI$3),0)</f>
        <v>0</v>
      </c>
      <c r="AQ132" s="198">
        <f>IFERROR(IF($AA$10=3,($AR$126/$AJ$119)*$AI$3,($AR$126/$AJ$119)*$AI$10*$AI$3),0)</f>
        <v>0</v>
      </c>
      <c r="AR132" s="208">
        <f>SUM(AK132:AQ132)</f>
        <v>0</v>
      </c>
    </row>
    <row r="133" spans="29:44" x14ac:dyDescent="0.25">
      <c r="AC133" s="5"/>
      <c r="AD133" s="5"/>
      <c r="AE133" s="5"/>
      <c r="AF133" s="5"/>
      <c r="AG133" s="5"/>
      <c r="AH133" s="5"/>
      <c r="AJ133" s="39" t="str">
        <f>IF(ISBLANK($C$4),"",$C$4)</f>
        <v>Category1</v>
      </c>
      <c r="AK133" s="39">
        <f>IFERROR(IF($AK$118&lt;$AK$117,IF(AND(AJ133=$AK$119,AA4=3),($AK$117-$AK$118),IF(AND(AA4=2,$AA$4&lt;&gt;3),$AK$117-$AK$118,0)),0),0)</f>
        <v>0</v>
      </c>
      <c r="AL133" s="39">
        <f>IFERROR(IF($AL$118&lt;$AL$117,IF(AND(AJ133=$AL$119,AA4=3),($AL$117-$AL$118),IF(AND(AA4=2,$AA$5&lt;&gt;3),$AL$117-$AL$118,0)),0),0)</f>
        <v>0</v>
      </c>
      <c r="AM133" s="39">
        <f>IFERROR(IF($AM$118&lt;$AM$117,IF(AND(AJ133=$AM$119,AA4=3),($AM$117-$AM$118),IF(AND(AA4=2,$AA$6&lt;&gt;3),$AM$117-$AM$118,0)),0),0)</f>
        <v>0</v>
      </c>
      <c r="AN133" s="39">
        <f>IFERROR(IF($AN$118&lt;$AN$117,IF(AND(AJ133=$AN$119,AA4=3),($AN$117-$AN$118),IF(AND(AA4=2,$AA$7&lt;&gt;3),$AN$117-$AN$118,0)),0),0)</f>
        <v>0</v>
      </c>
      <c r="AO133" s="39">
        <f>IFERROR(IF($AO$118&lt;$AO$117,IF(AND(AJ133=$AO$119,AA4=3),($AO$117-$AO$118),IF(AND(AA4=2,$AA$8&lt;&gt;3),$AO$117-$AO$118,0)),0),0)</f>
        <v>0</v>
      </c>
      <c r="AP133" s="39">
        <f>IFERROR(IF($AP$118&lt;$AP$117,IF(AND(AJ133=$AP$119,AA4=3),($AP$117-$AP$118),IF(AND(AA4=2,$AA$9&lt;&gt;3),$AP$117-$AP$118,0)),0),0)</f>
        <v>0</v>
      </c>
      <c r="AQ133" s="39">
        <f>IFERROR(IF($AQ$118&lt;$AQ$117,IF(AND(AJ133=$AQ$119,AA4=3),($AQ$117-$AQ$118),IF(AND(AA4=2,$AA$10&lt;&gt;3),$AQ$117-$AQ$118,0)),0),0)</f>
        <v>0</v>
      </c>
      <c r="AR133" s="122">
        <f>IF($AT$4&gt;4,SUM(AK133:AQ133),0)</f>
        <v>0</v>
      </c>
    </row>
    <row r="134" spans="29:44" x14ac:dyDescent="0.25">
      <c r="AC134" s="119"/>
      <c r="AD134" s="119"/>
      <c r="AE134" s="119"/>
      <c r="AF134" s="119"/>
      <c r="AG134" s="119"/>
      <c r="AH134" s="119"/>
      <c r="AI134" s="119"/>
      <c r="AJ134" s="39" t="str">
        <f>IF(ISBLANK($C$5),"",$C$5)</f>
        <v>Category2</v>
      </c>
      <c r="AK134" s="39">
        <f t="shared" ref="AK134:AK143" si="125">IFERROR(IF($AK$118&lt;$AK$117,IF(AND(AJ134=$AK$119,AA5=3),($AK$117-$AK$118),IF(AND(AA5=2,$AA$4&lt;&gt;3),$AK$117-$AK$118,0)),0),0)</f>
        <v>0</v>
      </c>
      <c r="AL134" s="39">
        <f t="shared" ref="AL134:AL143" si="126">IFERROR(IF($AL$118&lt;$AL$117,IF(AND(AJ134=$AL$119,AA5=3),($AL$117-$AL$118),IF(AND(AA5=2,$AA$5&lt;&gt;3),$AL$117-$AL$118,0)),0),0)</f>
        <v>0</v>
      </c>
      <c r="AM134" s="39">
        <f t="shared" ref="AM134:AM143" si="127">IFERROR(IF($AM$118&lt;$AM$117,IF(AND(AJ134=$AM$119,AA5=3),($AM$117-$AM$118),IF(AND(AA5=2,$AA$6&lt;&gt;3),$AM$117-$AM$118,0)),0),0)</f>
        <v>0</v>
      </c>
      <c r="AN134" s="39">
        <f t="shared" ref="AN134:AN143" si="128">IFERROR(IF($AN$118&lt;$AN$117,IF(AND(AJ134=$AN$119,AA5=3),($AN$117-$AN$118),IF(AND(AA5=2,$AA$7&lt;&gt;3),$AN$117-$AN$118,0)),0),0)</f>
        <v>0</v>
      </c>
      <c r="AO134" s="39">
        <f t="shared" ref="AO134:AO143" si="129">IFERROR(IF($AO$118&lt;$AO$117,IF(AND(AJ134=$AO$119,AA5=3),($AO$117-$AO$118),IF(AND(AA5=2,$AA$8&lt;&gt;3),$AO$117-$AO$118,0)),0),0)</f>
        <v>0</v>
      </c>
      <c r="AP134" s="39">
        <f t="shared" ref="AP134:AP143" si="130">IFERROR(IF($AP$118&lt;$AP$117,IF(AND(AJ134=$AP$119,AA5=3),($AP$117-$AP$118),IF(AND(AA5=2,$AA$9&lt;&gt;3),$AP$117-$AP$118,0)),0),0)</f>
        <v>0</v>
      </c>
      <c r="AQ134" s="39">
        <f t="shared" ref="AQ134:AQ143" si="131">IFERROR(IF($AQ$118&lt;$AQ$117,IF(AND(AJ134=$AQ$119,AA5=3),($AQ$117-$AQ$118),IF(AND(AA5=2,$AA$10&lt;&gt;3),$AQ$117-$AQ$118,0)),0),0)</f>
        <v>0</v>
      </c>
      <c r="AR134" s="122">
        <f t="shared" ref="AR134:AR143" si="132">IF($AT$4&gt;4,SUM(AK134:AQ134),0)</f>
        <v>0</v>
      </c>
    </row>
    <row r="135" spans="29:44" x14ac:dyDescent="0.25">
      <c r="AC135" s="119"/>
      <c r="AD135" s="119"/>
      <c r="AE135" s="119"/>
      <c r="AF135" s="119"/>
      <c r="AG135" s="119"/>
      <c r="AH135" s="119"/>
      <c r="AI135" s="119"/>
      <c r="AJ135" s="39" t="str">
        <f>IF(ISBLANK($C$6),"",$C$6)</f>
        <v>Category3</v>
      </c>
      <c r="AK135" s="39">
        <f t="shared" si="125"/>
        <v>0</v>
      </c>
      <c r="AL135" s="39">
        <f t="shared" si="126"/>
        <v>0</v>
      </c>
      <c r="AM135" s="39">
        <f t="shared" si="127"/>
        <v>0</v>
      </c>
      <c r="AN135" s="39">
        <f t="shared" si="128"/>
        <v>0</v>
      </c>
      <c r="AO135" s="39">
        <f t="shared" si="129"/>
        <v>0</v>
      </c>
      <c r="AP135" s="39">
        <f t="shared" si="130"/>
        <v>0</v>
      </c>
      <c r="AQ135" s="39">
        <f t="shared" si="131"/>
        <v>0</v>
      </c>
      <c r="AR135" s="122">
        <f t="shared" si="132"/>
        <v>0</v>
      </c>
    </row>
    <row r="136" spans="29:44" x14ac:dyDescent="0.25">
      <c r="AC136" s="119"/>
      <c r="AD136" s="119"/>
      <c r="AE136" s="119"/>
      <c r="AF136" s="119"/>
      <c r="AG136" s="119"/>
      <c r="AH136" s="119"/>
      <c r="AI136" s="119"/>
      <c r="AJ136" s="39" t="str">
        <f>IF(ISBLANK($C$7),"",$C$7)</f>
        <v>Category4</v>
      </c>
      <c r="AK136" s="39">
        <f t="shared" si="125"/>
        <v>0</v>
      </c>
      <c r="AL136" s="39">
        <f t="shared" si="126"/>
        <v>0</v>
      </c>
      <c r="AM136" s="39">
        <f t="shared" si="127"/>
        <v>0</v>
      </c>
      <c r="AN136" s="39">
        <f t="shared" si="128"/>
        <v>0</v>
      </c>
      <c r="AO136" s="39">
        <f t="shared" si="129"/>
        <v>0</v>
      </c>
      <c r="AP136" s="39">
        <f t="shared" si="130"/>
        <v>0</v>
      </c>
      <c r="AQ136" s="39">
        <f t="shared" si="131"/>
        <v>0</v>
      </c>
      <c r="AR136" s="122">
        <f t="shared" si="132"/>
        <v>0</v>
      </c>
    </row>
    <row r="137" spans="29:44" x14ac:dyDescent="0.25">
      <c r="AC137" s="119"/>
      <c r="AD137" s="119"/>
      <c r="AE137" s="119"/>
      <c r="AF137" s="119"/>
      <c r="AG137" s="119"/>
      <c r="AH137" s="119"/>
      <c r="AI137" s="119"/>
      <c r="AJ137" s="39" t="str">
        <f>IF(ISBLANK($C$8),"",$C$8)</f>
        <v>Category5</v>
      </c>
      <c r="AK137" s="39">
        <f t="shared" si="125"/>
        <v>0</v>
      </c>
      <c r="AL137" s="39">
        <f t="shared" si="126"/>
        <v>0</v>
      </c>
      <c r="AM137" s="39">
        <f t="shared" si="127"/>
        <v>0</v>
      </c>
      <c r="AN137" s="39">
        <f t="shared" si="128"/>
        <v>0</v>
      </c>
      <c r="AO137" s="39">
        <f t="shared" si="129"/>
        <v>0</v>
      </c>
      <c r="AP137" s="39">
        <f t="shared" si="130"/>
        <v>0</v>
      </c>
      <c r="AQ137" s="39">
        <f t="shared" si="131"/>
        <v>0</v>
      </c>
      <c r="AR137" s="122">
        <f t="shared" si="132"/>
        <v>0</v>
      </c>
    </row>
    <row r="138" spans="29:44" x14ac:dyDescent="0.25">
      <c r="AC138" s="119"/>
      <c r="AD138" s="119"/>
      <c r="AE138" s="119"/>
      <c r="AF138" s="119"/>
      <c r="AG138" s="119"/>
      <c r="AH138" s="119"/>
      <c r="AI138" s="119"/>
      <c r="AJ138" s="39" t="str">
        <f>IF(ISBLANK($C$9),"",$C$9)</f>
        <v>Category6</v>
      </c>
      <c r="AK138" s="39">
        <f t="shared" si="125"/>
        <v>0</v>
      </c>
      <c r="AL138" s="39">
        <f t="shared" si="126"/>
        <v>0</v>
      </c>
      <c r="AM138" s="39">
        <f t="shared" si="127"/>
        <v>0</v>
      </c>
      <c r="AN138" s="39">
        <f t="shared" si="128"/>
        <v>0</v>
      </c>
      <c r="AO138" s="39">
        <f t="shared" si="129"/>
        <v>0</v>
      </c>
      <c r="AP138" s="39">
        <f t="shared" si="130"/>
        <v>0</v>
      </c>
      <c r="AQ138" s="39">
        <f t="shared" si="131"/>
        <v>0</v>
      </c>
      <c r="AR138" s="122">
        <f t="shared" si="132"/>
        <v>0</v>
      </c>
    </row>
    <row r="139" spans="29:44" x14ac:dyDescent="0.25">
      <c r="AC139" s="119"/>
      <c r="AD139" s="119"/>
      <c r="AE139" s="119"/>
      <c r="AF139" s="119"/>
      <c r="AG139" s="119"/>
      <c r="AH139" s="119"/>
      <c r="AI139" s="119"/>
      <c r="AJ139" s="39" t="str">
        <f>IF(ISBLANK($C$10),"",$C$10)</f>
        <v>Category7</v>
      </c>
      <c r="AK139" s="39">
        <f t="shared" si="125"/>
        <v>0</v>
      </c>
      <c r="AL139" s="39">
        <f t="shared" si="126"/>
        <v>0</v>
      </c>
      <c r="AM139" s="39">
        <f t="shared" si="127"/>
        <v>0</v>
      </c>
      <c r="AN139" s="39">
        <f t="shared" si="128"/>
        <v>0</v>
      </c>
      <c r="AO139" s="39">
        <f t="shared" si="129"/>
        <v>0</v>
      </c>
      <c r="AP139" s="39">
        <f t="shared" si="130"/>
        <v>0</v>
      </c>
      <c r="AQ139" s="39">
        <f t="shared" si="131"/>
        <v>0</v>
      </c>
      <c r="AR139" s="122">
        <f t="shared" si="132"/>
        <v>0</v>
      </c>
    </row>
    <row r="140" spans="29:44" x14ac:dyDescent="0.25">
      <c r="AC140" s="119"/>
      <c r="AD140" s="119"/>
      <c r="AE140" s="119"/>
      <c r="AF140" s="119"/>
      <c r="AG140" s="119"/>
      <c r="AH140" s="119"/>
      <c r="AI140" s="119"/>
      <c r="AJ140" s="39" t="str">
        <f>IF(ISBLANK($C$11),"",$C$11)</f>
        <v/>
      </c>
      <c r="AK140" s="39">
        <f t="shared" si="125"/>
        <v>0</v>
      </c>
      <c r="AL140" s="39">
        <f t="shared" si="126"/>
        <v>0</v>
      </c>
      <c r="AM140" s="39">
        <f t="shared" si="127"/>
        <v>0</v>
      </c>
      <c r="AN140" s="39">
        <f t="shared" si="128"/>
        <v>0</v>
      </c>
      <c r="AO140" s="39">
        <f t="shared" si="129"/>
        <v>0</v>
      </c>
      <c r="AP140" s="39">
        <f t="shared" si="130"/>
        <v>0</v>
      </c>
      <c r="AQ140" s="39">
        <f t="shared" si="131"/>
        <v>0</v>
      </c>
      <c r="AR140" s="122">
        <f t="shared" si="132"/>
        <v>0</v>
      </c>
    </row>
    <row r="141" spans="29:44" x14ac:dyDescent="0.25">
      <c r="AC141" s="119"/>
      <c r="AD141" s="119"/>
      <c r="AE141" s="119"/>
      <c r="AF141" s="119"/>
      <c r="AG141" s="119"/>
      <c r="AH141" s="119"/>
      <c r="AI141" s="119"/>
      <c r="AJ141" s="39" t="str">
        <f>IF(ISBLANK($C$12),"",$C$12)</f>
        <v/>
      </c>
      <c r="AK141" s="39">
        <f t="shared" si="125"/>
        <v>0</v>
      </c>
      <c r="AL141" s="39">
        <f t="shared" si="126"/>
        <v>0</v>
      </c>
      <c r="AM141" s="39">
        <f t="shared" si="127"/>
        <v>0</v>
      </c>
      <c r="AN141" s="39">
        <f t="shared" si="128"/>
        <v>0</v>
      </c>
      <c r="AO141" s="39">
        <f t="shared" si="129"/>
        <v>0</v>
      </c>
      <c r="AP141" s="39">
        <f t="shared" si="130"/>
        <v>0</v>
      </c>
      <c r="AQ141" s="39">
        <f t="shared" si="131"/>
        <v>0</v>
      </c>
      <c r="AR141" s="122">
        <f t="shared" si="132"/>
        <v>0</v>
      </c>
    </row>
    <row r="142" spans="29:44" x14ac:dyDescent="0.25">
      <c r="AC142" s="119"/>
      <c r="AD142" s="119"/>
      <c r="AE142" s="119"/>
      <c r="AF142" s="119"/>
      <c r="AG142" s="119"/>
      <c r="AH142" s="119"/>
      <c r="AI142" s="119"/>
      <c r="AJ142" s="39" t="str">
        <f>IF(ISBLANK($C$13),"",$C$13)</f>
        <v/>
      </c>
      <c r="AK142" s="39">
        <f t="shared" si="125"/>
        <v>0</v>
      </c>
      <c r="AL142" s="39">
        <f t="shared" si="126"/>
        <v>0</v>
      </c>
      <c r="AM142" s="39">
        <f t="shared" si="127"/>
        <v>0</v>
      </c>
      <c r="AN142" s="39">
        <f t="shared" si="128"/>
        <v>0</v>
      </c>
      <c r="AO142" s="39">
        <f t="shared" si="129"/>
        <v>0</v>
      </c>
      <c r="AP142" s="39">
        <f t="shared" si="130"/>
        <v>0</v>
      </c>
      <c r="AQ142" s="39">
        <f t="shared" si="131"/>
        <v>0</v>
      </c>
      <c r="AR142" s="122">
        <f t="shared" si="132"/>
        <v>0</v>
      </c>
    </row>
    <row r="143" spans="29:44" x14ac:dyDescent="0.25">
      <c r="AC143" s="119"/>
      <c r="AD143" s="119"/>
      <c r="AE143" s="119"/>
      <c r="AF143" s="119"/>
      <c r="AG143" s="119"/>
      <c r="AH143" s="119"/>
      <c r="AI143" s="119"/>
      <c r="AJ143" s="39" t="str">
        <f>IF(ISBLANK($C$14),"",$C$14)</f>
        <v/>
      </c>
      <c r="AK143" s="39">
        <f t="shared" si="125"/>
        <v>0</v>
      </c>
      <c r="AL143" s="39">
        <f t="shared" si="126"/>
        <v>0</v>
      </c>
      <c r="AM143" s="39">
        <f t="shared" si="127"/>
        <v>0</v>
      </c>
      <c r="AN143" s="39">
        <f t="shared" si="128"/>
        <v>0</v>
      </c>
      <c r="AO143" s="39">
        <f t="shared" si="129"/>
        <v>0</v>
      </c>
      <c r="AP143" s="39">
        <f t="shared" si="130"/>
        <v>0</v>
      </c>
      <c r="AQ143" s="39">
        <f t="shared" si="131"/>
        <v>0</v>
      </c>
      <c r="AR143" s="122">
        <f t="shared" si="132"/>
        <v>0</v>
      </c>
    </row>
    <row r="144" spans="29:44" x14ac:dyDescent="0.25">
      <c r="AC144" s="119"/>
      <c r="AD144" s="119"/>
      <c r="AE144" s="119"/>
      <c r="AF144" s="119"/>
      <c r="AG144" s="119"/>
      <c r="AH144" s="119"/>
      <c r="AI144" s="119"/>
      <c r="AJ144" s="122"/>
      <c r="AK144" s="39">
        <f t="shared" ref="AK144:AQ144" si="133">SUM(AK133:AK143)</f>
        <v>0</v>
      </c>
      <c r="AL144" s="39">
        <f t="shared" si="133"/>
        <v>0</v>
      </c>
      <c r="AM144" s="39">
        <f t="shared" si="133"/>
        <v>0</v>
      </c>
      <c r="AN144" s="39">
        <f t="shared" si="133"/>
        <v>0</v>
      </c>
      <c r="AO144" s="39">
        <f t="shared" si="133"/>
        <v>0</v>
      </c>
      <c r="AP144" s="39">
        <f t="shared" si="133"/>
        <v>0</v>
      </c>
      <c r="AQ144" s="39">
        <f t="shared" si="133"/>
        <v>0</v>
      </c>
      <c r="AR144" s="122"/>
    </row>
    <row r="145" spans="29:44" x14ac:dyDescent="0.25">
      <c r="AC145" s="5"/>
      <c r="AD145" s="5"/>
      <c r="AE145" s="5"/>
      <c r="AF145" s="5"/>
      <c r="AG145" s="5"/>
      <c r="AH145" s="5"/>
      <c r="AJ145" s="39" t="s">
        <v>144</v>
      </c>
      <c r="AK145" s="45">
        <f>IF($AT$4&gt;2,SUM(AK133:AK143),0)</f>
        <v>0</v>
      </c>
      <c r="AL145" s="45">
        <f t="shared" ref="AL145:AQ145" si="134">IF($AT$4&gt;2,SUM(AL133:AL143),0)</f>
        <v>0</v>
      </c>
      <c r="AM145" s="45">
        <f t="shared" si="134"/>
        <v>0</v>
      </c>
      <c r="AN145" s="45">
        <f t="shared" si="134"/>
        <v>0</v>
      </c>
      <c r="AO145" s="45">
        <f t="shared" si="134"/>
        <v>0</v>
      </c>
      <c r="AP145" s="45">
        <f t="shared" si="134"/>
        <v>0</v>
      </c>
      <c r="AQ145" s="45">
        <f t="shared" si="134"/>
        <v>0</v>
      </c>
      <c r="AR145" s="39"/>
    </row>
    <row r="146" spans="29:44" x14ac:dyDescent="0.25">
      <c r="AC146" s="5"/>
      <c r="AD146" s="5"/>
      <c r="AE146" s="5"/>
      <c r="AF146" s="5"/>
      <c r="AG146" s="5"/>
      <c r="AH146" s="5"/>
      <c r="AJ146" s="198" t="s">
        <v>165</v>
      </c>
      <c r="AK146" s="198">
        <f>IFERROR(IF($AA$4=3,($AR$133/$AJ$119)*$AI$3,($AR$133/$AJ$119)*$AI4*$AI$3),0)</f>
        <v>0</v>
      </c>
      <c r="AL146" s="198">
        <f>IFERROR(IF($AA$5=3,($AR$134/$AJ$119)*$AI$3,($AR$134/$AJ$119)*$AI5*$AI$3),0)</f>
        <v>0</v>
      </c>
      <c r="AM146" s="198">
        <f>IFERROR(IF($AA$6=3,($AR$135/$AJ$119)*$AI$3,($AR$135/$AJ$119)*$AI6*$AI$3),0)</f>
        <v>0</v>
      </c>
      <c r="AN146" s="198">
        <f>IFERROR(IF($AA$7=3,($AR$136/$AJ$119)*$AI$3,($AR$136/$AJ$119)*$AI7*$AI$3),0)</f>
        <v>0</v>
      </c>
      <c r="AO146" s="198">
        <f>IFERROR(IF($AA$8=3,($AR$137/$AJ$119)*$AI$3,($AR$137/$AJ$119)*$AI8*$AI$3),0)</f>
        <v>0</v>
      </c>
      <c r="AP146" s="198">
        <f>IFERROR(IF($AA$9=3,($AR$138/$AJ$119)*$AI$3,($AR$138/$AJ$119)*$AI9*$AI$3),0)</f>
        <v>0</v>
      </c>
      <c r="AQ146" s="198">
        <f>IFERROR(IF($AA$10=3,($AR$139/$AJ$119)*$AI$3,($AR$139/$AJ$119)*$AI$10*$AI$3),0)</f>
        <v>0</v>
      </c>
      <c r="AR146" s="208">
        <f>SUM(AK146:AQ146)</f>
        <v>0</v>
      </c>
    </row>
    <row r="147" spans="29:44" x14ac:dyDescent="0.25">
      <c r="AC147" s="119"/>
      <c r="AD147" s="119"/>
      <c r="AE147" s="119"/>
      <c r="AF147" s="119"/>
      <c r="AG147" s="119"/>
      <c r="AH147" s="119"/>
      <c r="AI147" s="119"/>
      <c r="AJ147" s="124" t="s">
        <v>165</v>
      </c>
      <c r="AK147" s="124">
        <f>AK146-AK132+AK114+AK78+AK39</f>
        <v>0</v>
      </c>
      <c r="AL147" s="124">
        <f t="shared" ref="AL147:AQ147" si="135">AL146-AL132+AL114+AL78+AL39</f>
        <v>0</v>
      </c>
      <c r="AM147" s="124">
        <f t="shared" si="135"/>
        <v>0</v>
      </c>
      <c r="AN147" s="124">
        <f t="shared" si="135"/>
        <v>0</v>
      </c>
      <c r="AO147" s="124">
        <f t="shared" si="135"/>
        <v>0</v>
      </c>
      <c r="AP147" s="124">
        <f t="shared" si="135"/>
        <v>0</v>
      </c>
      <c r="AQ147" s="124">
        <f t="shared" si="135"/>
        <v>0</v>
      </c>
    </row>
    <row r="148" spans="29:44" x14ac:dyDescent="0.25">
      <c r="AC148" s="5"/>
      <c r="AD148" s="5"/>
      <c r="AE148" s="5"/>
      <c r="AF148" s="5"/>
      <c r="AG148" s="5"/>
      <c r="AH148" s="5"/>
      <c r="AJ148" s="124" t="s">
        <v>145</v>
      </c>
      <c r="AK148" s="125">
        <f>IF(AND($AT$4&gt;1,AK147&gt;=0),AK147,0)</f>
        <v>0</v>
      </c>
      <c r="AL148" s="125">
        <f t="shared" ref="AL148:AQ148" si="136">IF(AND($AT$4&gt;1,AL147&gt;=0),AL147,0)</f>
        <v>0</v>
      </c>
      <c r="AM148" s="125">
        <f t="shared" si="136"/>
        <v>0</v>
      </c>
      <c r="AN148" s="125">
        <f t="shared" si="136"/>
        <v>0</v>
      </c>
      <c r="AO148" s="125">
        <f t="shared" si="136"/>
        <v>0</v>
      </c>
      <c r="AP148" s="125">
        <f t="shared" si="136"/>
        <v>0</v>
      </c>
      <c r="AQ148" s="125">
        <f t="shared" si="136"/>
        <v>0</v>
      </c>
    </row>
    <row r="149" spans="29:44" x14ac:dyDescent="0.25">
      <c r="AC149" s="119"/>
      <c r="AD149" s="119"/>
      <c r="AE149" s="119"/>
      <c r="AF149" s="119"/>
      <c r="AG149" s="119"/>
      <c r="AH149" s="119"/>
      <c r="AI149" s="119"/>
      <c r="AJ149" s="124" t="s">
        <v>160</v>
      </c>
      <c r="AK149" s="125">
        <f>IF(AK$147&lt;0,ABS(AK$147),0)</f>
        <v>0</v>
      </c>
      <c r="AL149" s="125">
        <f t="shared" ref="AL149:AQ149" si="137">IF(AL$147&lt;0,ABS(AL$147),0)</f>
        <v>0</v>
      </c>
      <c r="AM149" s="125">
        <f t="shared" si="137"/>
        <v>0</v>
      </c>
      <c r="AN149" s="125">
        <f t="shared" si="137"/>
        <v>0</v>
      </c>
      <c r="AO149" s="125">
        <f t="shared" si="137"/>
        <v>0</v>
      </c>
      <c r="AP149" s="125">
        <f t="shared" si="137"/>
        <v>0</v>
      </c>
      <c r="AQ149" s="125">
        <f t="shared" si="137"/>
        <v>0</v>
      </c>
    </row>
    <row r="150" spans="29:44" x14ac:dyDescent="0.25">
      <c r="AC150" s="119"/>
      <c r="AD150" s="119"/>
      <c r="AE150" s="119"/>
      <c r="AF150" s="119"/>
      <c r="AG150" s="119"/>
      <c r="AH150" s="119"/>
      <c r="AI150" s="119"/>
      <c r="AJ150" s="5"/>
      <c r="AK150" s="9">
        <f>IFERROR(J21,NA())</f>
        <v>0</v>
      </c>
      <c r="AL150" s="9">
        <f>IFERROR(L21,NA())</f>
        <v>0</v>
      </c>
      <c r="AM150" s="9">
        <f>IFERROR(N21,NA())</f>
        <v>0</v>
      </c>
      <c r="AN150" s="9">
        <f>IFERROR(P21,NA())</f>
        <v>0</v>
      </c>
      <c r="AO150" s="9">
        <f>IFERROR(R21,NA())</f>
        <v>0</v>
      </c>
      <c r="AP150" s="9">
        <f>IFERROR(T21,NA())</f>
        <v>0</v>
      </c>
      <c r="AQ150" s="9">
        <f>IFERROR(V21,NA())</f>
        <v>0</v>
      </c>
    </row>
    <row r="151" spans="29:44" x14ac:dyDescent="0.25">
      <c r="AC151" s="119"/>
      <c r="AD151" s="119"/>
      <c r="AE151" s="119"/>
      <c r="AF151" s="119"/>
      <c r="AG151" s="119"/>
      <c r="AH151" s="119"/>
      <c r="AI151" s="119"/>
      <c r="AJ151" s="5"/>
      <c r="AK151" s="9">
        <f>IFERROR(IF(AT4&gt;4,K21+AK149,AK149),NA())</f>
        <v>0</v>
      </c>
      <c r="AL151" s="9">
        <f>IFERROR(IF(AT4&gt;4,M21+AL149,AL149),NA())</f>
        <v>0</v>
      </c>
      <c r="AM151" s="9">
        <f>IFERROR(IF(AT4&gt;4,O21+AM149,AM149),NA())</f>
        <v>0</v>
      </c>
      <c r="AN151" s="9">
        <f>IFERROR(IF(AT4&gt;4,Q21+AN149,AN149),NA())</f>
        <v>0</v>
      </c>
      <c r="AO151" s="9">
        <f>IFERROR(IF(AT4&gt;4,S21+AO149,AO149),NA())</f>
        <v>0</v>
      </c>
      <c r="AP151" s="9">
        <f>IFERROR(IF(AT4&gt;4,U21+AP149,AP149),NA())</f>
        <v>0</v>
      </c>
      <c r="AQ151" s="9">
        <f>IFERROR(IF(AT4&gt;4,W21+AQ149,AQ149),NA())</f>
        <v>0</v>
      </c>
    </row>
    <row r="152" spans="29:44" x14ac:dyDescent="0.25">
      <c r="AC152" s="119"/>
      <c r="AD152" s="119"/>
      <c r="AE152" s="119"/>
      <c r="AF152" s="119"/>
      <c r="AG152" s="119"/>
      <c r="AH152" s="119"/>
      <c r="AI152" s="119"/>
      <c r="AJ152" s="5"/>
      <c r="AK152" s="22" t="str">
        <f>$J$4</f>
        <v>Category1</v>
      </c>
      <c r="AL152" s="22" t="str">
        <f>$L$4</f>
        <v>Category2</v>
      </c>
      <c r="AM152" s="22" t="str">
        <f>$N$4</f>
        <v>Category3</v>
      </c>
      <c r="AN152" s="22" t="str">
        <f>$P$4</f>
        <v>Category4</v>
      </c>
      <c r="AO152" s="22" t="str">
        <f>$R$4</f>
        <v>Category5</v>
      </c>
      <c r="AP152" s="22" t="str">
        <f>$T$4</f>
        <v>Category6</v>
      </c>
      <c r="AQ152" s="22" t="str">
        <f>$V$4</f>
        <v>Category7</v>
      </c>
      <c r="AR152" s="22" t="s">
        <v>144</v>
      </c>
    </row>
    <row r="153" spans="29:44" x14ac:dyDescent="0.25">
      <c r="AC153" s="119"/>
      <c r="AD153" s="119"/>
      <c r="AE153" s="119"/>
      <c r="AF153" s="119"/>
      <c r="AG153" s="119"/>
      <c r="AH153" s="119"/>
      <c r="AI153" s="119"/>
      <c r="AJ153" s="5" t="str">
        <f>IF(ISBLANK($C$4),"",$C$4)</f>
        <v>Category1</v>
      </c>
      <c r="AK153" s="120" t="b">
        <f t="shared" ref="AK153:AK163" si="138">IFERROR(IF($AK$151&gt;$AK$150,($AK$151-$AK$150)*AC134),0)</f>
        <v>0</v>
      </c>
      <c r="AL153" s="120" t="b">
        <f>IFERROR(IF($AL$151&gt;$AL$150,$AL$151-$AL$150),0)</f>
        <v>0</v>
      </c>
      <c r="AM153" s="120" t="b">
        <f t="shared" ref="AM153:AM163" si="139">IFERROR(IF($AM$151&gt;$AM$150,($AM$151-$AM$150)*AC134),0)</f>
        <v>0</v>
      </c>
      <c r="AN153" s="5">
        <v>0</v>
      </c>
      <c r="AO153" s="5">
        <v>0</v>
      </c>
      <c r="AP153" s="120" t="b">
        <f t="shared" ref="AP153:AP163" si="140">IFERROR(IF($AP$151&gt;$AP$150,($AP$151-$AP$150)*AC134),0)</f>
        <v>0</v>
      </c>
      <c r="AQ153" s="5">
        <v>0</v>
      </c>
      <c r="AR153" s="121">
        <f>IF($AT$4&gt;4,SUM(AK153:AQ153),0)</f>
        <v>0</v>
      </c>
    </row>
    <row r="154" spans="29:44" x14ac:dyDescent="0.25">
      <c r="AC154" s="119"/>
      <c r="AD154" s="119"/>
      <c r="AE154" s="119"/>
      <c r="AF154" s="119"/>
      <c r="AG154" s="119"/>
      <c r="AH154" s="119"/>
      <c r="AI154" s="119"/>
      <c r="AJ154" s="5" t="str">
        <f>IF(ISBLANK($C$5),"",$C$5)</f>
        <v>Category2</v>
      </c>
      <c r="AK154" s="120" t="b">
        <f t="shared" si="138"/>
        <v>0</v>
      </c>
      <c r="AL154" s="5">
        <v>0</v>
      </c>
      <c r="AM154" s="120" t="b">
        <f t="shared" si="139"/>
        <v>0</v>
      </c>
      <c r="AN154" s="120" t="b">
        <f>IFERROR(IF($AN$151&gt;$AN$150,$AN$151-$AN$150),0)</f>
        <v>0</v>
      </c>
      <c r="AO154" s="5">
        <v>0</v>
      </c>
      <c r="AP154" s="120" t="b">
        <f t="shared" si="140"/>
        <v>0</v>
      </c>
      <c r="AQ154" s="5">
        <v>0</v>
      </c>
      <c r="AR154" s="121">
        <f t="shared" ref="AR154:AR163" si="141">IF($AT$4&gt;4,SUM(AK154:AQ154),0)</f>
        <v>0</v>
      </c>
    </row>
    <row r="155" spans="29:44" x14ac:dyDescent="0.25">
      <c r="AC155" s="119"/>
      <c r="AD155" s="119"/>
      <c r="AE155" s="119"/>
      <c r="AF155" s="119"/>
      <c r="AG155" s="119"/>
      <c r="AH155" s="119"/>
      <c r="AI155" s="119"/>
      <c r="AJ155" s="5" t="str">
        <f>IF(ISBLANK($C$6),"",$C$6)</f>
        <v>Category3</v>
      </c>
      <c r="AK155" s="120" t="b">
        <f t="shared" si="138"/>
        <v>0</v>
      </c>
      <c r="AL155" s="5">
        <v>0</v>
      </c>
      <c r="AM155" s="120" t="b">
        <f t="shared" si="139"/>
        <v>0</v>
      </c>
      <c r="AN155" s="5">
        <v>0</v>
      </c>
      <c r="AO155" s="120" t="b">
        <f>IFERROR(IF($AO$151&gt;$AO$150,$AO$151-$AO$150),0)</f>
        <v>0</v>
      </c>
      <c r="AP155" s="120" t="b">
        <f t="shared" si="140"/>
        <v>0</v>
      </c>
      <c r="AQ155" s="5">
        <v>0</v>
      </c>
      <c r="AR155" s="121">
        <f t="shared" si="141"/>
        <v>0</v>
      </c>
    </row>
    <row r="156" spans="29:44" x14ac:dyDescent="0.25">
      <c r="AC156" s="119"/>
      <c r="AD156" s="119"/>
      <c r="AE156" s="119"/>
      <c r="AF156" s="119"/>
      <c r="AG156" s="119"/>
      <c r="AH156" s="119"/>
      <c r="AI156" s="119"/>
      <c r="AJ156" s="5" t="str">
        <f>IF(ISBLANK($C$7),"",$C$7)</f>
        <v>Category4</v>
      </c>
      <c r="AK156" s="120" t="b">
        <f t="shared" si="138"/>
        <v>0</v>
      </c>
      <c r="AL156" s="5">
        <v>0</v>
      </c>
      <c r="AM156" s="120" t="b">
        <f t="shared" si="139"/>
        <v>0</v>
      </c>
      <c r="AN156" s="5">
        <v>0</v>
      </c>
      <c r="AO156" s="5">
        <v>0</v>
      </c>
      <c r="AP156" s="120" t="b">
        <f t="shared" si="140"/>
        <v>0</v>
      </c>
      <c r="AQ156" s="120" t="b">
        <f>IFERROR(IF($AQ$151&gt;$AQ$150,$AQ$151-$AQ$150),0)</f>
        <v>0</v>
      </c>
      <c r="AR156" s="121">
        <f t="shared" si="141"/>
        <v>0</v>
      </c>
    </row>
    <row r="157" spans="29:44" x14ac:dyDescent="0.25">
      <c r="AC157" s="5"/>
      <c r="AD157" s="5"/>
      <c r="AE157" s="5"/>
      <c r="AF157" s="5"/>
      <c r="AG157" s="5"/>
      <c r="AH157" s="5"/>
      <c r="AJ157" s="5" t="str">
        <f>IF(ISBLANK($C$8),"",$C$8)</f>
        <v>Category5</v>
      </c>
      <c r="AK157" s="120" t="b">
        <f t="shared" si="138"/>
        <v>0</v>
      </c>
      <c r="AL157" s="5">
        <v>0</v>
      </c>
      <c r="AM157" s="120" t="b">
        <f t="shared" si="139"/>
        <v>0</v>
      </c>
      <c r="AN157" s="5">
        <v>0</v>
      </c>
      <c r="AO157" s="5">
        <v>0</v>
      </c>
      <c r="AP157" s="120" t="b">
        <f t="shared" si="140"/>
        <v>0</v>
      </c>
      <c r="AQ157" s="5">
        <v>0</v>
      </c>
      <c r="AR157" s="121">
        <f t="shared" si="141"/>
        <v>0</v>
      </c>
    </row>
    <row r="158" spans="29:44" x14ac:dyDescent="0.25">
      <c r="AC158" s="5"/>
      <c r="AD158" s="5"/>
      <c r="AE158" s="5"/>
      <c r="AF158" s="5"/>
      <c r="AG158" s="5"/>
      <c r="AH158" s="5"/>
      <c r="AJ158" s="5" t="str">
        <f>IF(ISBLANK($C$9),"",$C$9)</f>
        <v>Category6</v>
      </c>
      <c r="AK158" s="120" t="b">
        <f t="shared" si="138"/>
        <v>0</v>
      </c>
      <c r="AL158" s="5">
        <v>0</v>
      </c>
      <c r="AM158" s="120" t="b">
        <f t="shared" si="139"/>
        <v>0</v>
      </c>
      <c r="AN158" s="5">
        <v>0</v>
      </c>
      <c r="AO158" s="5">
        <v>0</v>
      </c>
      <c r="AP158" s="120" t="b">
        <f t="shared" si="140"/>
        <v>0</v>
      </c>
      <c r="AQ158" s="5">
        <v>0</v>
      </c>
      <c r="AR158" s="121">
        <f t="shared" si="141"/>
        <v>0</v>
      </c>
    </row>
    <row r="159" spans="29:44" x14ac:dyDescent="0.25">
      <c r="AC159" s="5"/>
      <c r="AD159" s="5"/>
      <c r="AE159" s="5"/>
      <c r="AF159" s="5"/>
      <c r="AG159" s="5"/>
      <c r="AH159" s="5"/>
      <c r="AJ159" s="5" t="str">
        <f>IF(ISBLANK($C$10),"",$C$10)</f>
        <v>Category7</v>
      </c>
      <c r="AK159" s="120" t="b">
        <f t="shared" si="138"/>
        <v>0</v>
      </c>
      <c r="AL159" s="5">
        <v>0</v>
      </c>
      <c r="AM159" s="120" t="b">
        <f t="shared" si="139"/>
        <v>0</v>
      </c>
      <c r="AN159" s="5">
        <v>0</v>
      </c>
      <c r="AO159" s="5">
        <v>0</v>
      </c>
      <c r="AP159" s="120" t="b">
        <f t="shared" si="140"/>
        <v>0</v>
      </c>
      <c r="AQ159" s="5">
        <v>0</v>
      </c>
      <c r="AR159" s="121">
        <f t="shared" si="141"/>
        <v>0</v>
      </c>
    </row>
    <row r="160" spans="29:44" x14ac:dyDescent="0.25">
      <c r="AC160" s="5"/>
      <c r="AD160" s="5"/>
      <c r="AE160" s="5"/>
      <c r="AF160" s="5"/>
      <c r="AG160" s="5"/>
      <c r="AH160" s="5"/>
      <c r="AJ160" s="5" t="str">
        <f>IF(ISBLANK($C$11),"",$C$11)</f>
        <v/>
      </c>
      <c r="AK160" s="120" t="b">
        <f t="shared" si="138"/>
        <v>0</v>
      </c>
      <c r="AL160" s="5">
        <v>0</v>
      </c>
      <c r="AM160" s="120" t="b">
        <f t="shared" si="139"/>
        <v>0</v>
      </c>
      <c r="AN160" s="5">
        <v>0</v>
      </c>
      <c r="AO160" s="5">
        <v>0</v>
      </c>
      <c r="AP160" s="120" t="b">
        <f t="shared" si="140"/>
        <v>0</v>
      </c>
      <c r="AQ160" s="5">
        <v>0</v>
      </c>
      <c r="AR160" s="121">
        <f t="shared" si="141"/>
        <v>0</v>
      </c>
    </row>
    <row r="161" spans="29:44" x14ac:dyDescent="0.25">
      <c r="AC161" s="5"/>
      <c r="AD161" s="5"/>
      <c r="AE161" s="5"/>
      <c r="AF161" s="5"/>
      <c r="AG161" s="5"/>
      <c r="AH161" s="5"/>
      <c r="AJ161" s="5" t="str">
        <f>IF(ISBLANK($C$12),"",$C$12)</f>
        <v/>
      </c>
      <c r="AK161" s="120" t="b">
        <f t="shared" si="138"/>
        <v>0</v>
      </c>
      <c r="AL161" s="5">
        <v>0</v>
      </c>
      <c r="AM161" s="120" t="b">
        <f t="shared" si="139"/>
        <v>0</v>
      </c>
      <c r="AN161" s="5">
        <v>0</v>
      </c>
      <c r="AO161" s="5">
        <v>0</v>
      </c>
      <c r="AP161" s="120" t="b">
        <f t="shared" si="140"/>
        <v>0</v>
      </c>
      <c r="AQ161" s="5">
        <v>0</v>
      </c>
      <c r="AR161" s="121">
        <f t="shared" si="141"/>
        <v>0</v>
      </c>
    </row>
    <row r="162" spans="29:44" x14ac:dyDescent="0.25">
      <c r="AC162" s="5"/>
      <c r="AD162" s="5"/>
      <c r="AE162" s="5"/>
      <c r="AF162" s="5"/>
      <c r="AG162" s="5"/>
      <c r="AH162" s="5"/>
      <c r="AJ162" s="5" t="str">
        <f>IF(ISBLANK($C$13),"",$C$13)</f>
        <v/>
      </c>
      <c r="AK162" s="120" t="b">
        <f t="shared" si="138"/>
        <v>0</v>
      </c>
      <c r="AL162" s="5">
        <v>0</v>
      </c>
      <c r="AM162" s="120" t="b">
        <f t="shared" si="139"/>
        <v>0</v>
      </c>
      <c r="AN162" s="5">
        <v>0</v>
      </c>
      <c r="AO162" s="5">
        <v>0</v>
      </c>
      <c r="AP162" s="120" t="b">
        <f t="shared" si="140"/>
        <v>0</v>
      </c>
      <c r="AQ162" s="5">
        <v>0</v>
      </c>
      <c r="AR162" s="121">
        <f t="shared" si="141"/>
        <v>0</v>
      </c>
    </row>
    <row r="163" spans="29:44" x14ac:dyDescent="0.25">
      <c r="AC163" s="5"/>
      <c r="AD163" s="5"/>
      <c r="AE163" s="5"/>
      <c r="AF163" s="5"/>
      <c r="AG163" s="5"/>
      <c r="AH163" s="5"/>
      <c r="AJ163" s="5" t="str">
        <f>IF(ISBLANK($C$14),"",$C$14)</f>
        <v/>
      </c>
      <c r="AK163" s="120" t="b">
        <f t="shared" si="138"/>
        <v>0</v>
      </c>
      <c r="AL163" s="5">
        <v>0</v>
      </c>
      <c r="AM163" s="120" t="b">
        <f t="shared" si="139"/>
        <v>0</v>
      </c>
      <c r="AN163" s="5">
        <v>0</v>
      </c>
      <c r="AO163" s="5">
        <v>0</v>
      </c>
      <c r="AP163" s="120" t="b">
        <f t="shared" si="140"/>
        <v>0</v>
      </c>
      <c r="AQ163" s="5">
        <v>0</v>
      </c>
      <c r="AR163" s="121">
        <f t="shared" si="141"/>
        <v>0</v>
      </c>
    </row>
    <row r="164" spans="29:44" x14ac:dyDescent="0.25">
      <c r="AC164" s="5"/>
      <c r="AD164" s="5"/>
      <c r="AE164" s="5"/>
      <c r="AF164" s="5"/>
      <c r="AG164" s="5"/>
      <c r="AH164" s="5"/>
      <c r="AJ164" s="5"/>
      <c r="AK164" s="30">
        <f t="shared" ref="AK164:AQ164" si="142">SUM(AK153:AK163)</f>
        <v>0</v>
      </c>
      <c r="AL164" s="30">
        <f t="shared" si="142"/>
        <v>0</v>
      </c>
      <c r="AM164" s="30">
        <f t="shared" si="142"/>
        <v>0</v>
      </c>
      <c r="AN164" s="30">
        <f t="shared" si="142"/>
        <v>0</v>
      </c>
      <c r="AO164" s="30">
        <f t="shared" si="142"/>
        <v>0</v>
      </c>
      <c r="AP164" s="30">
        <f t="shared" si="142"/>
        <v>0</v>
      </c>
      <c r="AQ164" s="30">
        <f t="shared" si="142"/>
        <v>0</v>
      </c>
    </row>
    <row r="165" spans="29:44" x14ac:dyDescent="0.25">
      <c r="AC165" s="5"/>
      <c r="AD165" s="5"/>
      <c r="AE165" s="5"/>
      <c r="AF165" s="5"/>
      <c r="AG165" s="5"/>
      <c r="AH165" s="5"/>
      <c r="AJ165" t="str">
        <f>AK152</f>
        <v>Category1</v>
      </c>
      <c r="AK165" s="38" t="b">
        <f>IFERROR(IF(AK151&lt;AK150,AK150-AK151),0)</f>
        <v>0</v>
      </c>
      <c r="AL165" s="5">
        <v>0</v>
      </c>
      <c r="AM165" s="5">
        <v>0</v>
      </c>
      <c r="AN165" s="5">
        <v>0</v>
      </c>
      <c r="AO165" s="5">
        <v>0</v>
      </c>
      <c r="AP165" s="5">
        <v>0</v>
      </c>
      <c r="AQ165" s="5">
        <v>0</v>
      </c>
      <c r="AR165" s="122">
        <f>IF($AT$4=5,SUM(AK165:AQ165),0)</f>
        <v>0</v>
      </c>
    </row>
    <row r="166" spans="29:44" x14ac:dyDescent="0.25">
      <c r="AC166" s="5"/>
      <c r="AD166" s="5"/>
      <c r="AE166" s="5"/>
      <c r="AF166" s="5"/>
      <c r="AG166" s="5"/>
      <c r="AH166" s="5"/>
      <c r="AJ166" s="5" t="str">
        <f>AL152</f>
        <v>Category2</v>
      </c>
      <c r="AK166" s="5">
        <v>0</v>
      </c>
      <c r="AL166" s="38" t="b">
        <f>IFERROR(IF(AL151&lt;AL150,(AL150-AL151)*$AC147),0)</f>
        <v>0</v>
      </c>
      <c r="AM166" s="5">
        <v>0</v>
      </c>
      <c r="AN166" s="38" t="b">
        <f>IFERROR(IF(AN151&lt;AN150,(AN150-AN151)*$AC147),0)</f>
        <v>0</v>
      </c>
      <c r="AO166" s="38" t="b">
        <f>IFERROR(IF(AO151&lt;AO150,(AO150-AO151)*$AC147),0)</f>
        <v>0</v>
      </c>
      <c r="AP166" s="5">
        <v>0</v>
      </c>
      <c r="AQ166" s="38" t="b">
        <f>IFERROR(IF(AQ151&lt;AQ150,(AQ150-AQ151)*$AC147),0)</f>
        <v>0</v>
      </c>
      <c r="AR166" s="122">
        <f t="shared" ref="AR166:AR175" si="143">IF($AT$4=5,SUM(AK166:AQ166),0)</f>
        <v>0</v>
      </c>
    </row>
    <row r="167" spans="29:44" x14ac:dyDescent="0.25">
      <c r="AC167" s="5"/>
      <c r="AD167" s="5"/>
      <c r="AE167" s="5"/>
      <c r="AF167" s="5"/>
      <c r="AG167" s="5"/>
      <c r="AH167" s="5"/>
      <c r="AJ167" s="5" t="str">
        <f>AM152</f>
        <v>Category3</v>
      </c>
      <c r="AK167" s="5">
        <v>0</v>
      </c>
      <c r="AL167" s="5">
        <v>0</v>
      </c>
      <c r="AM167" s="38" t="b">
        <f>IFERROR(IF(AM151&lt;AM150,AM150-AM151),0)</f>
        <v>0</v>
      </c>
      <c r="AN167" s="5">
        <v>0</v>
      </c>
      <c r="AO167" s="5">
        <v>0</v>
      </c>
      <c r="AP167" s="5">
        <v>0</v>
      </c>
      <c r="AQ167" s="5">
        <v>0</v>
      </c>
      <c r="AR167" s="122">
        <f t="shared" si="143"/>
        <v>0</v>
      </c>
    </row>
    <row r="168" spans="29:44" x14ac:dyDescent="0.25">
      <c r="AC168" s="5"/>
      <c r="AD168" s="5"/>
      <c r="AE168" s="5"/>
      <c r="AF168" s="5"/>
      <c r="AG168" s="5"/>
      <c r="AH168" s="5"/>
      <c r="AJ168" s="5" t="str">
        <f>AN152</f>
        <v>Category4</v>
      </c>
      <c r="AK168" s="5">
        <v>0</v>
      </c>
      <c r="AL168" s="38" t="b">
        <f>IFERROR(IF(AL151&lt;AL150,(AL150-AL151)*$AC149),0)</f>
        <v>0</v>
      </c>
      <c r="AM168" s="5">
        <v>0</v>
      </c>
      <c r="AN168" s="38" t="b">
        <f>IFERROR(IF(AN151&lt;AN150,(AN150-AN151)*$AC149),0)</f>
        <v>0</v>
      </c>
      <c r="AO168" s="38" t="b">
        <f>IFERROR(IF(AO151&lt;AO150,(AO150-AO151)*$AC149),0)</f>
        <v>0</v>
      </c>
      <c r="AP168" s="5">
        <v>0</v>
      </c>
      <c r="AQ168" s="38" t="b">
        <f>IFERROR(IF(AQ151&lt;AQ150,(AQ150-AQ151)*$AC149),0)</f>
        <v>0</v>
      </c>
      <c r="AR168" s="122">
        <f t="shared" si="143"/>
        <v>0</v>
      </c>
    </row>
    <row r="169" spans="29:44" x14ac:dyDescent="0.25">
      <c r="AC169" s="5"/>
      <c r="AD169" s="5"/>
      <c r="AE169" s="5"/>
      <c r="AF169" s="5"/>
      <c r="AG169" s="5"/>
      <c r="AH169" s="5"/>
      <c r="AJ169" s="5" t="str">
        <f>AO152</f>
        <v>Category5</v>
      </c>
      <c r="AK169" s="5">
        <v>0</v>
      </c>
      <c r="AL169" s="38" t="b">
        <f>IFERROR(IF(AL151&lt;AL150,(AL150-AL151)*$AC150),0)</f>
        <v>0</v>
      </c>
      <c r="AM169" s="5">
        <v>0</v>
      </c>
      <c r="AN169" s="38" t="b">
        <f>IFERROR(IF(AN151&lt;AN150,(AN150-AN151)*$AC150),0)</f>
        <v>0</v>
      </c>
      <c r="AO169" s="38" t="b">
        <f>IFERROR(IF(AO151&lt;AO150,(AO150-AO151)*$AC150),0)</f>
        <v>0</v>
      </c>
      <c r="AP169" s="5">
        <v>0</v>
      </c>
      <c r="AQ169" s="38" t="b">
        <f>IFERROR(IF(AQ151&lt;AQ150,(AQ150-AQ151)*AC150),0)</f>
        <v>0</v>
      </c>
      <c r="AR169" s="122">
        <f t="shared" si="143"/>
        <v>0</v>
      </c>
    </row>
    <row r="170" spans="29:44" x14ac:dyDescent="0.25">
      <c r="AC170" s="5"/>
      <c r="AD170" s="5"/>
      <c r="AE170" s="5"/>
      <c r="AF170" s="5"/>
      <c r="AG170" s="5"/>
      <c r="AH170" s="5"/>
      <c r="AJ170" s="5" t="str">
        <f>AP152</f>
        <v>Category6</v>
      </c>
      <c r="AK170" s="5">
        <v>0</v>
      </c>
      <c r="AL170" s="5">
        <v>0</v>
      </c>
      <c r="AM170" s="5">
        <v>0</v>
      </c>
      <c r="AN170" s="5">
        <v>0</v>
      </c>
      <c r="AO170" s="5">
        <v>0</v>
      </c>
      <c r="AP170" s="38" t="b">
        <f>IFERROR(IF(AP151&lt;AP150,AP150-AP151),0)</f>
        <v>0</v>
      </c>
      <c r="AQ170" s="5">
        <v>0</v>
      </c>
      <c r="AR170" s="122">
        <f t="shared" si="143"/>
        <v>0</v>
      </c>
    </row>
    <row r="171" spans="29:44" x14ac:dyDescent="0.25">
      <c r="AC171" s="5"/>
      <c r="AD171" s="5"/>
      <c r="AE171" s="5"/>
      <c r="AF171" s="5"/>
      <c r="AG171" s="5"/>
      <c r="AH171" s="5"/>
      <c r="AJ171" s="5" t="str">
        <f>AQ152</f>
        <v>Category7</v>
      </c>
      <c r="AK171" s="5">
        <v>0</v>
      </c>
      <c r="AL171" s="38" t="b">
        <f>IFERROR(IF(AL151&lt;AL150,(AL150-AL151)*$AC152),0)</f>
        <v>0</v>
      </c>
      <c r="AM171" s="5">
        <v>0</v>
      </c>
      <c r="AN171" s="38" t="b">
        <f>IFERROR(IF(AN151&lt;AN150,(AN150-AN151)*$AC152),0)</f>
        <v>0</v>
      </c>
      <c r="AO171" s="38" t="b">
        <f>IFERROR(IF(AO151&lt;AO150,(AO150-AO151)*$AC152),0)</f>
        <v>0</v>
      </c>
      <c r="AP171" s="5">
        <v>0</v>
      </c>
      <c r="AQ171" s="38" t="b">
        <f>IFERROR(IF(AQ151&lt;AQ150,(AQ150-AQ151)*AC152),0)</f>
        <v>0</v>
      </c>
      <c r="AR171" s="122">
        <f t="shared" si="143"/>
        <v>0</v>
      </c>
    </row>
    <row r="172" spans="29:44" x14ac:dyDescent="0.25">
      <c r="AC172" s="5"/>
      <c r="AD172" s="5"/>
      <c r="AE172" s="5"/>
      <c r="AF172" s="5"/>
      <c r="AG172" s="5"/>
      <c r="AH172" s="5"/>
      <c r="AJ172" s="5" t="str">
        <f>IF(ISBLANK($C$11),"",$C$11)</f>
        <v/>
      </c>
      <c r="AK172" s="5">
        <v>0</v>
      </c>
      <c r="AL172" s="38" t="b">
        <f>IFERROR(IF(AL151&lt;AL150,(AL150-AL151)*$AC153),0)</f>
        <v>0</v>
      </c>
      <c r="AM172" s="5">
        <v>0</v>
      </c>
      <c r="AN172" s="38" t="b">
        <f>IFERROR(IF(AN151&lt;AN150,(AN150-AN151)*$AC153),0)</f>
        <v>0</v>
      </c>
      <c r="AO172" s="38" t="b">
        <f>IFERROR(IF(AO151&lt;AO150,(AO150-AO151)*$AC153),0)</f>
        <v>0</v>
      </c>
      <c r="AP172" s="5">
        <v>0</v>
      </c>
      <c r="AQ172" s="38" t="b">
        <f>IFERROR(IF(AQ151&lt;AQ150,(AQ150-AQ151)*$AC153),0)</f>
        <v>0</v>
      </c>
      <c r="AR172" s="122">
        <f t="shared" si="143"/>
        <v>0</v>
      </c>
    </row>
    <row r="173" spans="29:44" x14ac:dyDescent="0.25">
      <c r="AC173" s="5"/>
      <c r="AD173" s="5"/>
      <c r="AE173" s="5"/>
      <c r="AF173" s="5"/>
      <c r="AG173" s="5"/>
      <c r="AH173" s="5"/>
      <c r="AJ173" s="5" t="str">
        <f>IF(ISBLANK($C$12),"",$C$12)</f>
        <v/>
      </c>
      <c r="AK173" s="5">
        <v>0</v>
      </c>
      <c r="AL173" s="38" t="b">
        <f>IFERROR(IF(AL151&lt;AL150,(AL150-AL151)*$AC154),0)</f>
        <v>0</v>
      </c>
      <c r="AM173" s="5">
        <v>0</v>
      </c>
      <c r="AN173" s="38" t="b">
        <f>IFERROR(IF(AN151&lt;AN150,(AN150-AN151)*$AC154),0)</f>
        <v>0</v>
      </c>
      <c r="AO173" s="38" t="b">
        <f>IFERROR(IF(AO151&lt;AO150,(AO150-AO151)*$AC154),0)</f>
        <v>0</v>
      </c>
      <c r="AP173" s="5">
        <v>0</v>
      </c>
      <c r="AQ173" s="38" t="b">
        <f>IFERROR(IF(AQ151&lt;AQ150,(AQ150-AQ151)*$AC154),0)</f>
        <v>0</v>
      </c>
      <c r="AR173" s="122">
        <f t="shared" si="143"/>
        <v>0</v>
      </c>
    </row>
    <row r="174" spans="29:44" x14ac:dyDescent="0.25">
      <c r="AC174" s="5"/>
      <c r="AD174" s="5"/>
      <c r="AE174" s="5"/>
      <c r="AF174" s="5"/>
      <c r="AG174" s="5"/>
      <c r="AH174" s="5"/>
      <c r="AJ174" s="5" t="str">
        <f>IF(ISBLANK($C$13),"",$C$13)</f>
        <v/>
      </c>
      <c r="AK174" s="5">
        <v>0</v>
      </c>
      <c r="AL174" s="38" t="b">
        <f>IFERROR(IF(AL151&lt;AL150,(AL150-AL151)*$AC155),0)</f>
        <v>0</v>
      </c>
      <c r="AM174" s="5">
        <v>0</v>
      </c>
      <c r="AN174" s="38" t="b">
        <f>IFERROR(IF(AN151&lt;AN150,(AN150-AN151)*$AC155),0)</f>
        <v>0</v>
      </c>
      <c r="AO174" s="38" t="b">
        <f>IFERROR(IF(AO151&lt;AO150,(AO150-AO151)*$AC155),0)</f>
        <v>0</v>
      </c>
      <c r="AP174" s="5">
        <v>0</v>
      </c>
      <c r="AQ174" s="38" t="b">
        <f>IFERROR(IF(AQ151&lt;AQ150,(AQ150-AQ151)*$AC155),0)</f>
        <v>0</v>
      </c>
      <c r="AR174" s="122">
        <f t="shared" si="143"/>
        <v>0</v>
      </c>
    </row>
    <row r="175" spans="29:44" x14ac:dyDescent="0.25">
      <c r="AC175" s="5"/>
      <c r="AD175" s="5"/>
      <c r="AE175" s="5"/>
      <c r="AF175" s="5"/>
      <c r="AG175" s="5"/>
      <c r="AH175" s="5"/>
      <c r="AJ175" s="5" t="str">
        <f>IF(ISBLANK($C$14),"",$C$14)</f>
        <v/>
      </c>
      <c r="AK175" s="5">
        <v>0</v>
      </c>
      <c r="AL175" s="38" t="b">
        <f>IFERROR(IF(AL151&lt;AL150,(AL150-AL151)*$AC156),0)</f>
        <v>0</v>
      </c>
      <c r="AM175" s="5">
        <v>0</v>
      </c>
      <c r="AN175" s="38" t="b">
        <f>IFERROR(IF(AN151&lt;AN150,(AN150-AN151)*$AC156),0)</f>
        <v>0</v>
      </c>
      <c r="AO175" s="38" t="b">
        <f>IFERROR(IF(AO151&lt;AO150,(AO150-AO151)*$AC156),0)</f>
        <v>0</v>
      </c>
      <c r="AP175" s="5">
        <v>0</v>
      </c>
      <c r="AQ175" s="38" t="b">
        <f>IFERROR(IF(AQ151&lt;AQ150,(AQ150-AQ151)*$AC156),0)</f>
        <v>0</v>
      </c>
      <c r="AR175" s="122">
        <f t="shared" si="143"/>
        <v>0</v>
      </c>
    </row>
  </sheetData>
  <sheetProtection algorithmName="SHA-512" hashValue="GlTBxz70FYoPt9XY2ubb1bfViH7PvMntJrP/QEISoMMYaEYYFHkhPTqTHKceTmxOVP/2T/cpGkwOv0oeaq26sw==" saltValue="/Dr+bb8Tls2DpzGpF0txPQ==" spinCount="100000" sheet="1" objects="1" scenarios="1"/>
  <mergeCells count="1">
    <mergeCell ref="CL14:CS14"/>
  </mergeCells>
  <pageMargins left="0.7" right="0.7" top="0.75" bottom="0.75" header="0.3" footer="0.3"/>
  <drawing r:id="rId1"/>
  <legacyDrawing r:id="rId2"/>
  <controls>
    <mc:AlternateContent xmlns:mc="http://schemas.openxmlformats.org/markup-compatibility/2006">
      <mc:Choice Requires="x14">
        <control shapeId="21510" r:id="rId3" name="OptionButton1">
          <controlPr defaultSize="0" autoLine="0" r:id="rId4">
            <anchor moveWithCells="1">
              <from>
                <xdr:col>129</xdr:col>
                <xdr:colOff>488950</xdr:colOff>
                <xdr:row>18</xdr:row>
                <xdr:rowOff>107950</xdr:rowOff>
              </from>
              <to>
                <xdr:col>131</xdr:col>
                <xdr:colOff>469900</xdr:colOff>
                <xdr:row>20</xdr:row>
                <xdr:rowOff>6350</xdr:rowOff>
              </to>
            </anchor>
          </controlPr>
        </control>
      </mc:Choice>
      <mc:Fallback>
        <control shapeId="21510" r:id="rId3" name="OptionButton1"/>
      </mc:Fallback>
    </mc:AlternateContent>
    <mc:AlternateContent xmlns:mc="http://schemas.openxmlformats.org/markup-compatibility/2006">
      <mc:Choice Requires="x14">
        <control shapeId="21511" r:id="rId5" name="OptionButton2">
          <controlPr defaultSize="0" autoLine="0" r:id="rId6">
            <anchor moveWithCells="1">
              <from>
                <xdr:col>129</xdr:col>
                <xdr:colOff>508000</xdr:colOff>
                <xdr:row>20</xdr:row>
                <xdr:rowOff>69850</xdr:rowOff>
              </from>
              <to>
                <xdr:col>131</xdr:col>
                <xdr:colOff>88900</xdr:colOff>
                <xdr:row>21</xdr:row>
                <xdr:rowOff>114300</xdr:rowOff>
              </to>
            </anchor>
          </controlPr>
        </control>
      </mc:Choice>
      <mc:Fallback>
        <control shapeId="21511" r:id="rId5" name="OptionButton2"/>
      </mc:Fallback>
    </mc:AlternateContent>
    <mc:AlternateContent xmlns:mc="http://schemas.openxmlformats.org/markup-compatibility/2006">
      <mc:Choice Requires="x14">
        <control shapeId="21512" r:id="rId7" name="OptionButton3">
          <controlPr defaultSize="0" autoLine="0" r:id="rId8">
            <anchor moveWithCells="1">
              <from>
                <xdr:col>131</xdr:col>
                <xdr:colOff>400050</xdr:colOff>
                <xdr:row>18</xdr:row>
                <xdr:rowOff>57150</xdr:rowOff>
              </from>
              <to>
                <xdr:col>133</xdr:col>
                <xdr:colOff>342900</xdr:colOff>
                <xdr:row>20</xdr:row>
                <xdr:rowOff>25400</xdr:rowOff>
              </to>
            </anchor>
          </controlPr>
        </control>
      </mc:Choice>
      <mc:Fallback>
        <control shapeId="21512" r:id="rId7" name="OptionButton3"/>
      </mc:Fallback>
    </mc:AlternateContent>
    <mc:AlternateContent xmlns:mc="http://schemas.openxmlformats.org/markup-compatibility/2006">
      <mc:Choice Requires="x14">
        <control shapeId="21513" r:id="rId9" name="OptionButton4">
          <controlPr defaultSize="0" autoLine="0" r:id="rId10">
            <anchor moveWithCells="1">
              <from>
                <xdr:col>131</xdr:col>
                <xdr:colOff>381000</xdr:colOff>
                <xdr:row>20</xdr:row>
                <xdr:rowOff>76200</xdr:rowOff>
              </from>
              <to>
                <xdr:col>133</xdr:col>
                <xdr:colOff>412750</xdr:colOff>
                <xdr:row>22</xdr:row>
                <xdr:rowOff>19050</xdr:rowOff>
              </to>
            </anchor>
          </controlPr>
        </control>
      </mc:Choice>
      <mc:Fallback>
        <control shapeId="21513" r:id="rId9" name="OptionButton4"/>
      </mc:Fallback>
    </mc:AlternateContent>
    <mc:AlternateContent xmlns:mc="http://schemas.openxmlformats.org/markup-compatibility/2006">
      <mc:Choice Requires="x14">
        <control shapeId="21505" r:id="rId11" name="Option Button 1">
          <controlPr defaultSize="0" autoFill="0" autoLine="0" autoPict="0">
            <anchor moveWithCells="1">
              <from>
                <xdr:col>66</xdr:col>
                <xdr:colOff>514350</xdr:colOff>
                <xdr:row>0</xdr:row>
                <xdr:rowOff>133350</xdr:rowOff>
              </from>
              <to>
                <xdr:col>68</xdr:col>
                <xdr:colOff>533400</xdr:colOff>
                <xdr:row>2</xdr:row>
                <xdr:rowOff>44450</xdr:rowOff>
              </to>
            </anchor>
          </controlPr>
        </control>
      </mc:Choice>
    </mc:AlternateContent>
    <mc:AlternateContent xmlns:mc="http://schemas.openxmlformats.org/markup-compatibility/2006">
      <mc:Choice Requires="x14">
        <control shapeId="21506" r:id="rId12" name="Option Button 2">
          <controlPr defaultSize="0" autoFill="0" autoLine="0" autoPict="0">
            <anchor moveWithCells="1">
              <from>
                <xdr:col>66</xdr:col>
                <xdr:colOff>508000</xdr:colOff>
                <xdr:row>2</xdr:row>
                <xdr:rowOff>82550</xdr:rowOff>
              </from>
              <to>
                <xdr:col>68</xdr:col>
                <xdr:colOff>558800</xdr:colOff>
                <xdr:row>4</xdr:row>
                <xdr:rowOff>19050</xdr:rowOff>
              </to>
            </anchor>
          </controlPr>
        </control>
      </mc:Choice>
    </mc:AlternateContent>
    <mc:AlternateContent xmlns:mc="http://schemas.openxmlformats.org/markup-compatibility/2006">
      <mc:Choice Requires="x14">
        <control shapeId="21507" r:id="rId13" name="Option Button 3">
          <controlPr defaultSize="0" autoFill="0" autoLine="0" autoPict="0">
            <anchor moveWithCells="1">
              <from>
                <xdr:col>66</xdr:col>
                <xdr:colOff>508000</xdr:colOff>
                <xdr:row>4</xdr:row>
                <xdr:rowOff>50800</xdr:rowOff>
              </from>
              <to>
                <xdr:col>68</xdr:col>
                <xdr:colOff>558800</xdr:colOff>
                <xdr:row>5</xdr:row>
                <xdr:rowOff>146050</xdr:rowOff>
              </to>
            </anchor>
          </controlPr>
        </control>
      </mc:Choice>
    </mc:AlternateContent>
    <mc:AlternateContent xmlns:mc="http://schemas.openxmlformats.org/markup-compatibility/2006">
      <mc:Choice Requires="x14">
        <control shapeId="21508" r:id="rId14" name="Option Button 4">
          <controlPr defaultSize="0" autoFill="0" autoLine="0" autoPict="0">
            <anchor moveWithCells="1">
              <from>
                <xdr:col>66</xdr:col>
                <xdr:colOff>514350</xdr:colOff>
                <xdr:row>6</xdr:row>
                <xdr:rowOff>31750</xdr:rowOff>
              </from>
              <to>
                <xdr:col>68</xdr:col>
                <xdr:colOff>558800</xdr:colOff>
                <xdr:row>7</xdr:row>
                <xdr:rowOff>114300</xdr:rowOff>
              </to>
            </anchor>
          </controlPr>
        </control>
      </mc:Choice>
    </mc:AlternateContent>
    <mc:AlternateContent xmlns:mc="http://schemas.openxmlformats.org/markup-compatibility/2006">
      <mc:Choice Requires="x14">
        <control shapeId="21509" r:id="rId15" name="Option Button 5">
          <controlPr defaultSize="0" autoFill="0" autoLine="0" autoPict="0">
            <anchor moveWithCells="1">
              <from>
                <xdr:col>66</xdr:col>
                <xdr:colOff>527050</xdr:colOff>
                <xdr:row>7</xdr:row>
                <xdr:rowOff>114300</xdr:rowOff>
              </from>
              <to>
                <xdr:col>69</xdr:col>
                <xdr:colOff>12700</xdr:colOff>
                <xdr:row>9</xdr:row>
                <xdr:rowOff>50800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60CC6FDF-0ED8-482F-B69C-8A3F70669D46}">
  <ds:schemaRefs/>
</ds:datastoreItem>
</file>

<file path=customXml/itemProps2.xml><?xml version="1.0" encoding="utf-8"?>
<ds:datastoreItem xmlns:ds="http://schemas.openxmlformats.org/officeDocument/2006/customXml" ds:itemID="{C693DFFB-4AC7-444C-9646-EC2F99B05677}">
  <ds:schemaRefs/>
</ds:datastoreItem>
</file>

<file path=customXml/itemProps3.xml><?xml version="1.0" encoding="utf-8"?>
<ds:datastoreItem xmlns:ds="http://schemas.openxmlformats.org/officeDocument/2006/customXml" ds:itemID="{EBD38F94-C375-483F-810D-A94FB4F981E1}">
  <ds:schemaRefs/>
</ds:datastoreItem>
</file>

<file path=customXml/itemProps4.xml><?xml version="1.0" encoding="utf-8"?>
<ds:datastoreItem xmlns:ds="http://schemas.openxmlformats.org/officeDocument/2006/customXml" ds:itemID="{498C2512-0D47-41DA-8B01-5F0BDC803A3B}">
  <ds:schemaRefs/>
</ds:datastoreItem>
</file>

<file path=customXml/itemProps5.xml><?xml version="1.0" encoding="utf-8"?>
<ds:datastoreItem xmlns:ds="http://schemas.openxmlformats.org/officeDocument/2006/customXml" ds:itemID="{57D2A3C7-FC70-4614-BE72-4694B08CB085}">
  <ds:schemaRefs/>
</ds:datastoreItem>
</file>

<file path=customXml/itemProps6.xml><?xml version="1.0" encoding="utf-8"?>
<ds:datastoreItem xmlns:ds="http://schemas.openxmlformats.org/officeDocument/2006/customXml" ds:itemID="{172B9106-E192-4044-9ED9-342D238647EA}">
  <ds:schemaRefs/>
</ds:datastoreItem>
</file>

<file path=customXml/itemProps7.xml><?xml version="1.0" encoding="utf-8"?>
<ds:datastoreItem xmlns:ds="http://schemas.openxmlformats.org/officeDocument/2006/customXml" ds:itemID="{D0BCC3E7-DF83-45AC-B624-004B13813225}">
  <ds:schemaRefs/>
</ds:datastoreItem>
</file>

<file path=customXml/itemProps8.xml><?xml version="1.0" encoding="utf-8"?>
<ds:datastoreItem xmlns:ds="http://schemas.openxmlformats.org/officeDocument/2006/customXml" ds:itemID="{50DB0C4C-E765-44CB-944A-D31C9662080A}">
  <ds:schemaRefs/>
</ds:datastoreItem>
</file>

<file path=customXml/itemProps9.xml><?xml version="1.0" encoding="utf-8"?>
<ds:datastoreItem xmlns:ds="http://schemas.openxmlformats.org/officeDocument/2006/customXml" ds:itemID="{68C8975B-AFC5-4CA7-8D16-B70145634C09}">
  <ds:schemaRefs/>
</ds:datastoreItem>
</file>

<file path=customXml/itemProps10.xml><?xml version="1.0" encoding="utf-8"?>
<ds:datastoreItem xmlns:ds="http://schemas.openxmlformats.org/officeDocument/2006/customXml" ds:itemID="{1D996208-1143-4099-94D6-C90F40B5E8CC}">
  <ds:schemaRefs/>
</ds:datastoreItem>
</file>

<file path=customXml/itemProps11.xml><?xml version="1.0" encoding="utf-8"?>
<ds:datastoreItem xmlns:ds="http://schemas.openxmlformats.org/officeDocument/2006/customXml" ds:itemID="{FB56E5DA-99E0-4E26-B9E3-CCB2DBB15528}">
  <ds:schemaRefs/>
</ds:datastoreItem>
</file>

<file path=customXml/itemProps12.xml><?xml version="1.0" encoding="utf-8"?>
<ds:datastoreItem xmlns:ds="http://schemas.openxmlformats.org/officeDocument/2006/customXml" ds:itemID="{01D12DC7-346F-4896-ADFB-403A312F0898}">
  <ds:schemaRefs/>
</ds:datastoreItem>
</file>

<file path=customXml/itemProps13.xml><?xml version="1.0" encoding="utf-8"?>
<ds:datastoreItem xmlns:ds="http://schemas.openxmlformats.org/officeDocument/2006/customXml" ds:itemID="{CA3AA38A-25E4-4A6F-B90A-B844292A402A}">
  <ds:schemaRefs/>
</ds:datastoreItem>
</file>

<file path=customXml/itemProps14.xml><?xml version="1.0" encoding="utf-8"?>
<ds:datastoreItem xmlns:ds="http://schemas.openxmlformats.org/officeDocument/2006/customXml" ds:itemID="{E3D010E9-02E6-4042-A67C-F611513DA2F6}">
  <ds:schemaRefs/>
</ds:datastoreItem>
</file>

<file path=customXml/itemProps15.xml><?xml version="1.0" encoding="utf-8"?>
<ds:datastoreItem xmlns:ds="http://schemas.openxmlformats.org/officeDocument/2006/customXml" ds:itemID="{CF5858D5-0B26-494B-90C7-3104B0E1BDE7}">
  <ds:schemaRefs/>
</ds:datastoreItem>
</file>

<file path=customXml/itemProps16.xml><?xml version="1.0" encoding="utf-8"?>
<ds:datastoreItem xmlns:ds="http://schemas.openxmlformats.org/officeDocument/2006/customXml" ds:itemID="{0E93EF9F-BAB8-4BA3-8F01-08D19BE93B23}">
  <ds:schemaRefs/>
</ds:datastoreItem>
</file>

<file path=customXml/itemProps17.xml><?xml version="1.0" encoding="utf-8"?>
<ds:datastoreItem xmlns:ds="http://schemas.openxmlformats.org/officeDocument/2006/customXml" ds:itemID="{B3FADCAA-B000-4A99-A0C5-39E24B120DEA}">
  <ds:schemaRefs/>
</ds:datastoreItem>
</file>

<file path=customXml/itemProps18.xml><?xml version="1.0" encoding="utf-8"?>
<ds:datastoreItem xmlns:ds="http://schemas.openxmlformats.org/officeDocument/2006/customXml" ds:itemID="{8A5A4DF6-CF59-48EE-B70B-ADF44F493F89}">
  <ds:schemaRefs/>
</ds:datastoreItem>
</file>

<file path=customXml/itemProps19.xml><?xml version="1.0" encoding="utf-8"?>
<ds:datastoreItem xmlns:ds="http://schemas.openxmlformats.org/officeDocument/2006/customXml" ds:itemID="{443A4854-98DD-4C29-97E1-98DC6543A856}">
  <ds:schemaRefs/>
</ds:datastoreItem>
</file>

<file path=customXml/itemProps20.xml><?xml version="1.0" encoding="utf-8"?>
<ds:datastoreItem xmlns:ds="http://schemas.openxmlformats.org/officeDocument/2006/customXml" ds:itemID="{2F0A6868-1028-4F9E-A8B5-C26D801BA006}">
  <ds:schemaRefs/>
</ds:datastoreItem>
</file>

<file path=customXml/itemProps21.xml><?xml version="1.0" encoding="utf-8"?>
<ds:datastoreItem xmlns:ds="http://schemas.openxmlformats.org/officeDocument/2006/customXml" ds:itemID="{57A9C165-54AD-4A68-9A0A-2C3088F43A63}">
  <ds:schemaRefs/>
</ds:datastoreItem>
</file>

<file path=customXml/itemProps22.xml><?xml version="1.0" encoding="utf-8"?>
<ds:datastoreItem xmlns:ds="http://schemas.openxmlformats.org/officeDocument/2006/customXml" ds:itemID="{522A9984-12F0-458D-9545-C70E3AD01138}">
  <ds:schemaRefs/>
</ds:datastoreItem>
</file>

<file path=customXml/itemProps23.xml><?xml version="1.0" encoding="utf-8"?>
<ds:datastoreItem xmlns:ds="http://schemas.openxmlformats.org/officeDocument/2006/customXml" ds:itemID="{2712BC93-41B3-418A-8849-AB58D4A45DDF}">
  <ds:schemaRefs/>
</ds:datastoreItem>
</file>

<file path=customXml/itemProps24.xml><?xml version="1.0" encoding="utf-8"?>
<ds:datastoreItem xmlns:ds="http://schemas.openxmlformats.org/officeDocument/2006/customXml" ds:itemID="{C63B2880-295E-431D-82A4-AFBE2741231E}">
  <ds:schemaRefs/>
</ds:datastoreItem>
</file>

<file path=customXml/itemProps25.xml><?xml version="1.0" encoding="utf-8"?>
<ds:datastoreItem xmlns:ds="http://schemas.openxmlformats.org/officeDocument/2006/customXml" ds:itemID="{B788C053-9E57-4821-958B-B23D16F10DD0}">
  <ds:schemaRefs/>
</ds:datastoreItem>
</file>

<file path=customXml/itemProps26.xml><?xml version="1.0" encoding="utf-8"?>
<ds:datastoreItem xmlns:ds="http://schemas.openxmlformats.org/officeDocument/2006/customXml" ds:itemID="{6D8F1F32-5A31-4743-A68D-EA024610CD81}">
  <ds:schemaRefs/>
</ds:datastoreItem>
</file>

<file path=customXml/itemProps27.xml><?xml version="1.0" encoding="utf-8"?>
<ds:datastoreItem xmlns:ds="http://schemas.openxmlformats.org/officeDocument/2006/customXml" ds:itemID="{2D72CE50-A015-4C64-9474-32AA9276DA51}">
  <ds:schemaRefs/>
</ds:datastoreItem>
</file>

<file path=customXml/itemProps28.xml><?xml version="1.0" encoding="utf-8"?>
<ds:datastoreItem xmlns:ds="http://schemas.openxmlformats.org/officeDocument/2006/customXml" ds:itemID="{AEB48367-C66E-41FF-A831-0A819D6043B2}">
  <ds:schemaRefs/>
</ds:datastoreItem>
</file>

<file path=customXml/itemProps29.xml><?xml version="1.0" encoding="utf-8"?>
<ds:datastoreItem xmlns:ds="http://schemas.openxmlformats.org/officeDocument/2006/customXml" ds:itemID="{BF4A7E80-F46F-4A19-9E88-0F69C74925C6}">
  <ds:schemaRefs/>
</ds:datastoreItem>
</file>

<file path=customXml/itemProps30.xml><?xml version="1.0" encoding="utf-8"?>
<ds:datastoreItem xmlns:ds="http://schemas.openxmlformats.org/officeDocument/2006/customXml" ds:itemID="{EC17275F-6D78-457E-BEAD-C4FE5D3717D8}">
  <ds:schemaRefs/>
</ds:datastoreItem>
</file>

<file path=customXml/itemProps31.xml><?xml version="1.0" encoding="utf-8"?>
<ds:datastoreItem xmlns:ds="http://schemas.openxmlformats.org/officeDocument/2006/customXml" ds:itemID="{1B3E96E9-D42A-4FB3-99D7-7243BACA8138}">
  <ds:schemaRefs/>
</ds:datastoreItem>
</file>

<file path=customXml/itemProps32.xml><?xml version="1.0" encoding="utf-8"?>
<ds:datastoreItem xmlns:ds="http://schemas.openxmlformats.org/officeDocument/2006/customXml" ds:itemID="{1A52E9B6-72D7-467F-89FB-48C43615847E}">
  <ds:schemaRefs/>
</ds:datastoreItem>
</file>

<file path=customXml/itemProps33.xml><?xml version="1.0" encoding="utf-8"?>
<ds:datastoreItem xmlns:ds="http://schemas.openxmlformats.org/officeDocument/2006/customXml" ds:itemID="{0F2932A1-45F5-4F4E-89DA-6498B13AF84B}">
  <ds:schemaRefs/>
</ds:datastoreItem>
</file>

<file path=customXml/itemProps34.xml><?xml version="1.0" encoding="utf-8"?>
<ds:datastoreItem xmlns:ds="http://schemas.openxmlformats.org/officeDocument/2006/customXml" ds:itemID="{19FB4AE9-50D1-45FC-AE71-830D60E6DAF5}">
  <ds:schemaRefs/>
</ds:datastoreItem>
</file>

<file path=customXml/itemProps35.xml><?xml version="1.0" encoding="utf-8"?>
<ds:datastoreItem xmlns:ds="http://schemas.openxmlformats.org/officeDocument/2006/customXml" ds:itemID="{15F1829C-C128-445A-9D77-48E040C5474F}">
  <ds:schemaRefs/>
</ds:datastoreItem>
</file>

<file path=customXml/itemProps36.xml><?xml version="1.0" encoding="utf-8"?>
<ds:datastoreItem xmlns:ds="http://schemas.openxmlformats.org/officeDocument/2006/customXml" ds:itemID="{7EC46BA6-5CDD-41A9-BF30-30FB9D6D7300}">
  <ds:schemaRefs/>
</ds:datastoreItem>
</file>

<file path=customXml/itemProps37.xml><?xml version="1.0" encoding="utf-8"?>
<ds:datastoreItem xmlns:ds="http://schemas.openxmlformats.org/officeDocument/2006/customXml" ds:itemID="{D873A1F3-26EC-4153-A5D4-D36029E377CB}">
  <ds:schemaRefs>
    <ds:schemaRef ds:uri="http://schemas.microsoft.com/DataMashup"/>
  </ds:schemaRefs>
</ds:datastoreItem>
</file>

<file path=customXml/itemProps38.xml><?xml version="1.0" encoding="utf-8"?>
<ds:datastoreItem xmlns:ds="http://schemas.openxmlformats.org/officeDocument/2006/customXml" ds:itemID="{8A9FB6F9-A20F-4B5E-892F-2BF2D5860CF1}">
  <ds:schemaRefs/>
</ds:datastoreItem>
</file>

<file path=customXml/itemProps39.xml><?xml version="1.0" encoding="utf-8"?>
<ds:datastoreItem xmlns:ds="http://schemas.openxmlformats.org/officeDocument/2006/customXml" ds:itemID="{A595294F-E2A4-478F-BED7-CFA430A3647F}">
  <ds:schemaRefs/>
</ds:datastoreItem>
</file>

<file path=customXml/itemProps40.xml><?xml version="1.0" encoding="utf-8"?>
<ds:datastoreItem xmlns:ds="http://schemas.openxmlformats.org/officeDocument/2006/customXml" ds:itemID="{ED56CCEC-E9DD-4C82-B826-08D004077FA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Sheet1</vt:lpstr>
      <vt:lpstr>Input</vt:lpstr>
      <vt:lpstr>Master</vt:lpstr>
      <vt:lpstr>Data Base</vt:lpstr>
      <vt:lpstr>WB_Data</vt:lpstr>
      <vt:lpstr>Analyse</vt:lpstr>
      <vt:lpstr>ControlChart</vt:lpstr>
      <vt:lpstr>Library</vt:lpstr>
      <vt:lpstr>DashBoard</vt:lpstr>
      <vt:lpstr>Data Entry</vt:lpstr>
      <vt:lpstr>Budget1</vt:lpstr>
      <vt:lpstr>TamponBudget1</vt:lpstr>
      <vt:lpstr>A_Budget1</vt:lpstr>
      <vt:lpstr>ControlChart_Budget1</vt:lpstr>
      <vt:lpstr>Budget2</vt:lpstr>
      <vt:lpstr>TamponBudget2</vt:lpstr>
      <vt:lpstr>A_Budget2</vt:lpstr>
      <vt:lpstr>ControlChart_Budget2</vt:lpstr>
      <vt:lpstr>Bank</vt:lpstr>
      <vt:lpstr>Birth</vt:lpstr>
      <vt:lpstr>CELIY</vt:lpstr>
      <vt:lpstr>DataLanguage</vt:lpstr>
      <vt:lpstr>EPAnnée</vt:lpstr>
      <vt:lpstr>Librarymm</vt:lpstr>
      <vt:lpstr>ListBudget</vt:lpstr>
      <vt:lpstr>Modulechoice</vt:lpstr>
      <vt:lpstr>RefInc</vt:lpstr>
      <vt:lpstr>SuperCat</vt:lpstr>
      <vt:lpstr>SYMB</vt:lpstr>
      <vt:lpstr>YearEP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Sébastien OGER</dc:creator>
  <cp:lastModifiedBy>Sébastien OGER</cp:lastModifiedBy>
  <dcterms:created xsi:type="dcterms:W3CDTF">2023-01-07T20:31:06Z</dcterms:created>
  <dcterms:modified xsi:type="dcterms:W3CDTF">2025-04-13T23:55:07Z</dcterms:modified>
</cp:coreProperties>
</file>