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39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9" i="3" l="1"/>
  <c r="B260" i="3"/>
  <c r="B261" i="3"/>
  <c r="B262" i="3"/>
  <c r="B263" i="3"/>
  <c r="B264" i="3"/>
  <c r="B258" i="3"/>
  <c r="C259" i="3"/>
  <c r="C260" i="3"/>
  <c r="C261" i="3"/>
  <c r="C262" i="3"/>
  <c r="C263" i="3"/>
  <c r="C264" i="3"/>
  <c r="C258" i="3"/>
  <c r="G44" i="3" l="1"/>
  <c r="K40" i="3"/>
  <c r="K39" i="3"/>
  <c r="AU34" i="3"/>
  <c r="AP34" i="3"/>
  <c r="AK34" i="3"/>
  <c r="AU33" i="3"/>
  <c r="AP33" i="3"/>
  <c r="AK33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290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AA35" i="3"/>
  <c r="AF34" i="3"/>
  <c r="AA34" i="3"/>
  <c r="V34" i="3"/>
  <c r="R34" i="3"/>
  <c r="O291" i="3" s="1"/>
  <c r="R35" i="3"/>
  <c r="O292" i="3" s="1"/>
  <c r="R36" i="3"/>
  <c r="O293" i="3" s="1"/>
  <c r="R37" i="3"/>
  <c r="O294" i="3" s="1"/>
  <c r="R38" i="3"/>
  <c r="O295" i="3" s="1"/>
  <c r="R39" i="3"/>
  <c r="O296" i="3" s="1"/>
  <c r="R40" i="3"/>
  <c r="O297" i="3" s="1"/>
  <c r="R41" i="3"/>
  <c r="O298" i="3" s="1"/>
  <c r="R42" i="3"/>
  <c r="O299" i="3" s="1"/>
  <c r="R43" i="3"/>
  <c r="O300" i="3" s="1"/>
  <c r="R44" i="3"/>
  <c r="O301" i="3" s="1"/>
  <c r="R45" i="3"/>
  <c r="O302" i="3" s="1"/>
  <c r="R46" i="3"/>
  <c r="O303" i="3" s="1"/>
  <c r="Q34" i="3"/>
  <c r="M291" i="3" s="1"/>
  <c r="Q35" i="3"/>
  <c r="M292" i="3" s="1"/>
  <c r="Q36" i="3"/>
  <c r="M293" i="3" s="1"/>
  <c r="Q37" i="3"/>
  <c r="M294" i="3" s="1"/>
  <c r="Q38" i="3"/>
  <c r="M295" i="3" s="1"/>
  <c r="Q39" i="3"/>
  <c r="M296" i="3" s="1"/>
  <c r="Q40" i="3"/>
  <c r="M297" i="3" s="1"/>
  <c r="Q41" i="3"/>
  <c r="M298" i="3" s="1"/>
  <c r="Q42" i="3"/>
  <c r="M299" i="3" s="1"/>
  <c r="Q43" i="3"/>
  <c r="M300" i="3" s="1"/>
  <c r="Q44" i="3"/>
  <c r="M301" i="3" s="1"/>
  <c r="Q45" i="3"/>
  <c r="M302" i="3" s="1"/>
  <c r="Q46" i="3"/>
  <c r="M303" i="3" s="1"/>
  <c r="P34" i="3"/>
  <c r="K291" i="3" s="1"/>
  <c r="P35" i="3"/>
  <c r="K292" i="3" s="1"/>
  <c r="P36" i="3"/>
  <c r="K293" i="3" s="1"/>
  <c r="P37" i="3"/>
  <c r="K294" i="3" s="1"/>
  <c r="P38" i="3"/>
  <c r="K295" i="3" s="1"/>
  <c r="P39" i="3"/>
  <c r="K296" i="3" s="1"/>
  <c r="P40" i="3"/>
  <c r="K297" i="3" s="1"/>
  <c r="P41" i="3"/>
  <c r="K298" i="3" s="1"/>
  <c r="P42" i="3"/>
  <c r="K299" i="3" s="1"/>
  <c r="P43" i="3"/>
  <c r="K300" i="3" s="1"/>
  <c r="P44" i="3"/>
  <c r="K301" i="3" s="1"/>
  <c r="P45" i="3"/>
  <c r="K302" i="3" s="1"/>
  <c r="P46" i="3"/>
  <c r="K303" i="3" s="1"/>
  <c r="Q33" i="3"/>
  <c r="M290" i="3" s="1"/>
  <c r="P33" i="3"/>
  <c r="K290" i="3" s="1"/>
  <c r="R33" i="3"/>
  <c r="O290" i="3" s="1"/>
  <c r="O34" i="3"/>
  <c r="I291" i="3" s="1"/>
  <c r="O35" i="3"/>
  <c r="I292" i="3" s="1"/>
  <c r="O36" i="3"/>
  <c r="I293" i="3" s="1"/>
  <c r="O37" i="3"/>
  <c r="I294" i="3" s="1"/>
  <c r="O38" i="3"/>
  <c r="I295" i="3" s="1"/>
  <c r="O39" i="3"/>
  <c r="I296" i="3" s="1"/>
  <c r="O40" i="3"/>
  <c r="I297" i="3" s="1"/>
  <c r="O41" i="3"/>
  <c r="I298" i="3" s="1"/>
  <c r="O42" i="3"/>
  <c r="I299" i="3" s="1"/>
  <c r="O43" i="3"/>
  <c r="I300" i="3" s="1"/>
  <c r="O44" i="3"/>
  <c r="I301" i="3" s="1"/>
  <c r="O45" i="3"/>
  <c r="I302" i="3" s="1"/>
  <c r="O46" i="3"/>
  <c r="I303" i="3" s="1"/>
  <c r="O33" i="3"/>
  <c r="I290" i="3" s="1"/>
  <c r="AF33" i="3"/>
  <c r="AA33" i="3"/>
  <c r="V33" i="3"/>
  <c r="K46" i="3" l="1"/>
  <c r="M46" i="3" s="1"/>
  <c r="G303" i="3" s="1"/>
  <c r="G46" i="3"/>
  <c r="K45" i="3"/>
  <c r="M45" i="3" s="1"/>
  <c r="G302" i="3" s="1"/>
  <c r="G45" i="3"/>
  <c r="K44" i="3"/>
  <c r="M44" i="3" s="1"/>
  <c r="G301" i="3" s="1"/>
  <c r="K43" i="3"/>
  <c r="M43" i="3" s="1"/>
  <c r="G300" i="3" s="1"/>
  <c r="G43" i="3"/>
  <c r="K42" i="3"/>
  <c r="M42" i="3" s="1"/>
  <c r="G299" i="3" s="1"/>
  <c r="G42" i="3"/>
  <c r="K41" i="3"/>
  <c r="M41" i="3" s="1"/>
  <c r="G298" i="3" s="1"/>
  <c r="G41" i="3"/>
  <c r="M40" i="3"/>
  <c r="G297" i="3" s="1"/>
  <c r="G40" i="3"/>
  <c r="M39" i="3"/>
  <c r="G296" i="3" s="1"/>
  <c r="G39" i="3"/>
  <c r="K38" i="3"/>
  <c r="M38" i="3" s="1"/>
  <c r="G295" i="3" s="1"/>
  <c r="G38" i="3"/>
  <c r="K37" i="3"/>
  <c r="M37" i="3" s="1"/>
  <c r="G294" i="3" s="1"/>
  <c r="G37" i="3"/>
  <c r="K36" i="3"/>
  <c r="M36" i="3" s="1"/>
  <c r="G293" i="3" s="1"/>
  <c r="G36" i="3"/>
  <c r="K35" i="3"/>
  <c r="M35" i="3" s="1"/>
  <c r="G292" i="3" s="1"/>
  <c r="G35" i="3"/>
  <c r="G34" i="3"/>
  <c r="G33" i="3"/>
  <c r="X29" i="3"/>
  <c r="X28" i="3" s="1"/>
  <c r="V29" i="3"/>
  <c r="U29" i="3" s="1"/>
  <c r="D28" i="3"/>
  <c r="D29" i="3" s="1"/>
  <c r="Q26" i="3"/>
  <c r="J26" i="3"/>
  <c r="Q25" i="3"/>
  <c r="Q24" i="3"/>
  <c r="AK192" i="3"/>
  <c r="AU192" i="3"/>
  <c r="AP192" i="3"/>
  <c r="X188" i="3"/>
  <c r="AA193" i="3"/>
  <c r="V27" i="3" l="1"/>
  <c r="E29" i="3"/>
  <c r="K33" i="3"/>
  <c r="M33" i="3" s="1"/>
  <c r="G290" i="3" s="1"/>
  <c r="K34" i="3"/>
  <c r="M34" i="3" s="1"/>
  <c r="G291" i="3" s="1"/>
  <c r="R202" i="3"/>
  <c r="N300" i="3" s="1"/>
  <c r="Q202" i="3"/>
  <c r="L300" i="3" s="1"/>
  <c r="P202" i="3"/>
  <c r="J300" i="3" s="1"/>
  <c r="O202" i="3"/>
  <c r="H300" i="3" s="1"/>
  <c r="K202" i="3"/>
  <c r="M202" i="3" s="1"/>
  <c r="F300" i="3" s="1"/>
  <c r="G202" i="3"/>
  <c r="R203" i="3"/>
  <c r="N301" i="3" s="1"/>
  <c r="Q203" i="3"/>
  <c r="L301" i="3" s="1"/>
  <c r="P203" i="3"/>
  <c r="J301" i="3" s="1"/>
  <c r="O203" i="3"/>
  <c r="H301" i="3" s="1"/>
  <c r="K203" i="3"/>
  <c r="M203" i="3" s="1"/>
  <c r="F301" i="3" s="1"/>
  <c r="G203" i="3"/>
  <c r="R204" i="3"/>
  <c r="N302" i="3" s="1"/>
  <c r="Q204" i="3"/>
  <c r="L302" i="3" s="1"/>
  <c r="P204" i="3"/>
  <c r="J302" i="3" s="1"/>
  <c r="O204" i="3"/>
  <c r="H302" i="3" s="1"/>
  <c r="K204" i="3"/>
  <c r="M204" i="3" s="1"/>
  <c r="F302" i="3" s="1"/>
  <c r="G204" i="3"/>
  <c r="AU193" i="3"/>
  <c r="AP193" i="3"/>
  <c r="AK193" i="3"/>
  <c r="R193" i="3"/>
  <c r="N291" i="3" s="1"/>
  <c r="R194" i="3"/>
  <c r="N292" i="3" s="1"/>
  <c r="R195" i="3"/>
  <c r="N293" i="3" s="1"/>
  <c r="R196" i="3"/>
  <c r="N294" i="3" s="1"/>
  <c r="R197" i="3"/>
  <c r="N295" i="3" s="1"/>
  <c r="R198" i="3"/>
  <c r="N296" i="3" s="1"/>
  <c r="R199" i="3"/>
  <c r="N297" i="3" s="1"/>
  <c r="R200" i="3"/>
  <c r="N298" i="3" s="1"/>
  <c r="R201" i="3"/>
  <c r="N299" i="3" s="1"/>
  <c r="R205" i="3"/>
  <c r="N303" i="3" s="1"/>
  <c r="Q193" i="3"/>
  <c r="L291" i="3" s="1"/>
  <c r="Q194" i="3"/>
  <c r="L292" i="3" s="1"/>
  <c r="Q195" i="3"/>
  <c r="L293" i="3" s="1"/>
  <c r="Q196" i="3"/>
  <c r="L294" i="3" s="1"/>
  <c r="Q197" i="3"/>
  <c r="L295" i="3" s="1"/>
  <c r="Q198" i="3"/>
  <c r="L296" i="3" s="1"/>
  <c r="Q199" i="3"/>
  <c r="L297" i="3" s="1"/>
  <c r="Q200" i="3"/>
  <c r="L298" i="3" s="1"/>
  <c r="Q201" i="3"/>
  <c r="L299" i="3" s="1"/>
  <c r="Q205" i="3"/>
  <c r="L303" i="3" s="1"/>
  <c r="P193" i="3"/>
  <c r="J291" i="3" s="1"/>
  <c r="P194" i="3"/>
  <c r="J292" i="3" s="1"/>
  <c r="P195" i="3"/>
  <c r="J293" i="3" s="1"/>
  <c r="P196" i="3"/>
  <c r="J294" i="3" s="1"/>
  <c r="P197" i="3"/>
  <c r="J295" i="3" s="1"/>
  <c r="P198" i="3"/>
  <c r="J296" i="3" s="1"/>
  <c r="P199" i="3"/>
  <c r="J297" i="3" s="1"/>
  <c r="P200" i="3"/>
  <c r="J298" i="3" s="1"/>
  <c r="P201" i="3"/>
  <c r="J299" i="3" s="1"/>
  <c r="P205" i="3"/>
  <c r="J303" i="3" s="1"/>
  <c r="Q192" i="3"/>
  <c r="L290" i="3" s="1"/>
  <c r="P192" i="3"/>
  <c r="J290" i="3" s="1"/>
  <c r="R192" i="3"/>
  <c r="N290" i="3" s="1"/>
  <c r="O193" i="3"/>
  <c r="H291" i="3" s="1"/>
  <c r="O194" i="3"/>
  <c r="H292" i="3" s="1"/>
  <c r="O195" i="3"/>
  <c r="H293" i="3" s="1"/>
  <c r="O196" i="3"/>
  <c r="H294" i="3" s="1"/>
  <c r="O197" i="3"/>
  <c r="H295" i="3" s="1"/>
  <c r="O198" i="3"/>
  <c r="H296" i="3" s="1"/>
  <c r="O199" i="3"/>
  <c r="H297" i="3" s="1"/>
  <c r="O200" i="3"/>
  <c r="H298" i="3" s="1"/>
  <c r="O201" i="3"/>
  <c r="H299" i="3" s="1"/>
  <c r="O205" i="3"/>
  <c r="H303" i="3" s="1"/>
  <c r="O192" i="3"/>
  <c r="H290" i="3" s="1"/>
  <c r="K194" i="3"/>
  <c r="M194" i="3" s="1"/>
  <c r="F292" i="3" s="1"/>
  <c r="K195" i="3"/>
  <c r="M195" i="3" s="1"/>
  <c r="F293" i="3" s="1"/>
  <c r="K196" i="3"/>
  <c r="M196" i="3" s="1"/>
  <c r="F294" i="3" s="1"/>
  <c r="K197" i="3"/>
  <c r="M197" i="3" s="1"/>
  <c r="F295" i="3" s="1"/>
  <c r="K198" i="3"/>
  <c r="M198" i="3" s="1"/>
  <c r="F296" i="3" s="1"/>
  <c r="K199" i="3"/>
  <c r="M199" i="3" s="1"/>
  <c r="F297" i="3" s="1"/>
  <c r="K200" i="3"/>
  <c r="M200" i="3" s="1"/>
  <c r="F298" i="3" s="1"/>
  <c r="K201" i="3"/>
  <c r="M201" i="3" s="1"/>
  <c r="F299" i="3" s="1"/>
  <c r="K205" i="3"/>
  <c r="M205" i="3" s="1"/>
  <c r="F303" i="3" s="1"/>
  <c r="AF193" i="3" l="1"/>
  <c r="Q184" i="3"/>
  <c r="Q185" i="3"/>
  <c r="V193" i="3"/>
  <c r="AF192" i="3"/>
  <c r="AA192" i="3"/>
  <c r="V192" i="3"/>
  <c r="P123" i="3"/>
  <c r="Q123" i="3"/>
  <c r="U123" i="3"/>
  <c r="Y123" i="3"/>
  <c r="AC123" i="3"/>
  <c r="AG123" i="3"/>
  <c r="P124" i="3"/>
  <c r="Q124" i="3"/>
  <c r="U124" i="3"/>
  <c r="Y124" i="3"/>
  <c r="AC124" i="3"/>
  <c r="AG124" i="3"/>
  <c r="P125" i="3"/>
  <c r="Q125" i="3"/>
  <c r="U125" i="3"/>
  <c r="Y125" i="3"/>
  <c r="AC125" i="3"/>
  <c r="P126" i="3"/>
  <c r="Q126" i="3"/>
  <c r="U126" i="3"/>
  <c r="Y126" i="3"/>
  <c r="AC126" i="3"/>
  <c r="AG126" i="3"/>
  <c r="P127" i="3"/>
  <c r="Q127" i="3"/>
  <c r="U127" i="3"/>
  <c r="Y127" i="3"/>
  <c r="AC127" i="3"/>
  <c r="P128" i="3"/>
  <c r="Q128" i="3"/>
  <c r="U128" i="3"/>
  <c r="Y128" i="3"/>
  <c r="AC128" i="3"/>
  <c r="P129" i="3"/>
  <c r="Q129" i="3"/>
  <c r="U129" i="3"/>
  <c r="G205" i="3"/>
  <c r="G201" i="3"/>
  <c r="G200" i="3"/>
  <c r="G199" i="3"/>
  <c r="G198" i="3"/>
  <c r="G197" i="3"/>
  <c r="G196" i="3"/>
  <c r="G195" i="3"/>
  <c r="G194" i="3"/>
  <c r="G193" i="3"/>
  <c r="G192" i="3"/>
  <c r="X187" i="3"/>
  <c r="V188" i="3"/>
  <c r="U188" i="3" s="1"/>
  <c r="D187" i="3"/>
  <c r="E188" i="3" s="1"/>
  <c r="J185" i="3"/>
  <c r="Q183" i="3"/>
  <c r="K192" i="3" l="1"/>
  <c r="M192" i="3" s="1"/>
  <c r="F290" i="3" s="1"/>
  <c r="K193" i="3"/>
  <c r="M193" i="3" s="1"/>
  <c r="F291" i="3" s="1"/>
  <c r="V186" i="3"/>
  <c r="D188" i="3"/>
  <c r="C118" i="3" l="1"/>
  <c r="C117" i="3"/>
  <c r="C116" i="3"/>
  <c r="C115" i="3"/>
  <c r="C114" i="3"/>
  <c r="C113" i="3"/>
  <c r="C112" i="3"/>
  <c r="Q130" i="3" l="1"/>
  <c r="O124" i="3"/>
  <c r="O125" i="3"/>
  <c r="O126" i="3"/>
  <c r="O127" i="3"/>
  <c r="O128" i="3"/>
  <c r="O129" i="3"/>
  <c r="O130" i="3"/>
  <c r="O123" i="3" l="1"/>
  <c r="K128" i="3"/>
  <c r="M128" i="3" s="1"/>
  <c r="K129" i="3"/>
  <c r="M129" i="3" s="1"/>
  <c r="K130" i="3"/>
  <c r="M130" i="3" s="1"/>
  <c r="K127" i="3"/>
  <c r="M127" i="3" s="1"/>
  <c r="K126" i="3" l="1"/>
  <c r="M126" i="3" s="1"/>
  <c r="K125" i="3"/>
  <c r="M125" i="3" s="1"/>
  <c r="K124" i="3"/>
  <c r="M124" i="3" s="1"/>
  <c r="C107" i="3"/>
  <c r="C106" i="3"/>
  <c r="C105" i="3"/>
  <c r="C104" i="3"/>
  <c r="C103" i="3"/>
  <c r="C102" i="3"/>
  <c r="P130" i="3"/>
  <c r="G130" i="3"/>
  <c r="G129" i="3"/>
  <c r="G128" i="3"/>
  <c r="G127" i="3"/>
  <c r="G126" i="3"/>
  <c r="G125" i="3"/>
  <c r="G124" i="3"/>
  <c r="K123" i="3"/>
  <c r="M123" i="3" s="1"/>
  <c r="G123" i="3"/>
  <c r="C17" i="3" l="1"/>
  <c r="C18" i="3"/>
  <c r="C19" i="3"/>
  <c r="C20" i="3"/>
  <c r="C21" i="3"/>
  <c r="C22" i="3"/>
  <c r="H19" i="2"/>
  <c r="C16" i="3"/>
  <c r="J41" i="2" l="1"/>
  <c r="E31" i="2" l="1"/>
  <c r="F30" i="2"/>
  <c r="F29" i="2"/>
  <c r="F28" i="2"/>
  <c r="F27" i="2"/>
  <c r="L14" i="2" l="1"/>
  <c r="H45" i="2" l="1"/>
  <c r="D45" i="2"/>
  <c r="D42" i="2"/>
  <c r="D44" i="2"/>
  <c r="D43" i="2"/>
  <c r="E37" i="2"/>
  <c r="F25" i="2"/>
  <c r="D23" i="2"/>
  <c r="D22" i="2"/>
  <c r="B6" i="2" l="1"/>
  <c r="B4" i="2"/>
  <c r="B5" i="2"/>
  <c r="B7" i="2"/>
  <c r="B9" i="2"/>
  <c r="B8" i="2"/>
  <c r="C101" i="3"/>
</calcChain>
</file>

<file path=xl/sharedStrings.xml><?xml version="1.0" encoding="utf-8"?>
<sst xmlns="http://schemas.openxmlformats.org/spreadsheetml/2006/main" count="526" uniqueCount="254">
  <si>
    <t>Brand</t>
  </si>
  <si>
    <t>name</t>
  </si>
  <si>
    <t>id</t>
  </si>
  <si>
    <t>type</t>
  </si>
  <si>
    <t>model</t>
  </si>
  <si>
    <t>gender</t>
  </si>
  <si>
    <t>men's</t>
  </si>
  <si>
    <t>ladies</t>
  </si>
  <si>
    <t>movement</t>
  </si>
  <si>
    <t>watchalbel</t>
  </si>
  <si>
    <t>casesize</t>
  </si>
  <si>
    <t>casethickness</t>
  </si>
  <si>
    <t>casematerial</t>
  </si>
  <si>
    <t>caseshape</t>
  </si>
  <si>
    <t>dialtype</t>
  </si>
  <si>
    <t>dialcolor</t>
  </si>
  <si>
    <t>crystal</t>
  </si>
  <si>
    <t>waterrisstance</t>
  </si>
  <si>
    <t>Citizen</t>
  </si>
  <si>
    <t>AT8020-03L</t>
  </si>
  <si>
    <t>Japan Movt</t>
  </si>
  <si>
    <t>Eco-Drive</t>
  </si>
  <si>
    <t>Stainless Steel</t>
  </si>
  <si>
    <t>Round</t>
  </si>
  <si>
    <t>Analog</t>
  </si>
  <si>
    <t>Blue</t>
  </si>
  <si>
    <t>Scratch Resistant Sapphire</t>
  </si>
  <si>
    <t>watch</t>
  </si>
  <si>
    <t>200 meters / 660 feet</t>
  </si>
  <si>
    <t>BL5250-02L</t>
  </si>
  <si>
    <t>Made in Japan</t>
  </si>
  <si>
    <t>Titanium</t>
  </si>
  <si>
    <t>Black</t>
  </si>
  <si>
    <t>Mineral</t>
  </si>
  <si>
    <t>BM8180-03E</t>
  </si>
  <si>
    <t>100 meters / 330 feet</t>
  </si>
  <si>
    <t>Rolex</t>
  </si>
  <si>
    <t>116610LV</t>
  </si>
  <si>
    <t>Swiss Made</t>
  </si>
  <si>
    <t>Automatic</t>
  </si>
  <si>
    <t>Green</t>
  </si>
  <si>
    <t>Sapphire</t>
  </si>
  <si>
    <t>300 meters / 1000 feet</t>
  </si>
  <si>
    <t>116610LN</t>
  </si>
  <si>
    <t>IWC</t>
  </si>
  <si>
    <t>IW371446</t>
  </si>
  <si>
    <t>White</t>
  </si>
  <si>
    <t>30 meters/ 100 feet</t>
  </si>
  <si>
    <t>Omega</t>
  </si>
  <si>
    <t>212.30.41.20.03.001</t>
  </si>
  <si>
    <t>JY0000-53E</t>
  </si>
  <si>
    <t>JY8037-50E</t>
  </si>
  <si>
    <t>Tissot</t>
  </si>
  <si>
    <t>Quartz</t>
  </si>
  <si>
    <t>Silver</t>
  </si>
  <si>
    <t>Hamilton</t>
  </si>
  <si>
    <t>H77616533</t>
  </si>
  <si>
    <t>Seiko</t>
  </si>
  <si>
    <t>Hardlex</t>
  </si>
  <si>
    <t>Versus by Versace</t>
  </si>
  <si>
    <t>v</t>
  </si>
  <si>
    <t>Watch</t>
  </si>
  <si>
    <t>Jewerly necklace</t>
  </si>
  <si>
    <t>metal</t>
  </si>
  <si>
    <t>clasp</t>
  </si>
  <si>
    <t>chainlength</t>
  </si>
  <si>
    <t>chaintype</t>
  </si>
  <si>
    <t>numberofcenterrounddiamonds</t>
  </si>
  <si>
    <t>minimumcarattotalweight</t>
  </si>
  <si>
    <t>miniumcolor</t>
  </si>
  <si>
    <t>minimumclarity</t>
  </si>
  <si>
    <t>minimumcut</t>
  </si>
  <si>
    <t>settingtype</t>
  </si>
  <si>
    <t>950 Platinum</t>
  </si>
  <si>
    <t>Lobster claw clasp</t>
  </si>
  <si>
    <t>18.0 inches</t>
  </si>
  <si>
    <t>Wheat Chain</t>
  </si>
  <si>
    <t>F</t>
  </si>
  <si>
    <t>D</t>
  </si>
  <si>
    <t>E</t>
  </si>
  <si>
    <t>G</t>
  </si>
  <si>
    <t>H</t>
  </si>
  <si>
    <t>I</t>
  </si>
  <si>
    <t>J</t>
  </si>
  <si>
    <t>K-Z</t>
  </si>
  <si>
    <t>FL-IF</t>
  </si>
  <si>
    <t>VVS1-VVS2</t>
  </si>
  <si>
    <t>VS1-VS2</t>
  </si>
  <si>
    <t>SI1-SI2</t>
  </si>
  <si>
    <t>I1</t>
  </si>
  <si>
    <t>I2</t>
  </si>
  <si>
    <t>Ideal</t>
  </si>
  <si>
    <t>Very Good</t>
  </si>
  <si>
    <t>Good</t>
  </si>
  <si>
    <t>Signature Ideal</t>
  </si>
  <si>
    <t>Prong setting</t>
  </si>
  <si>
    <t>Blue Nile Signature Floating Diamond Solitaire Pendant in Platinum </t>
  </si>
  <si>
    <t>Geometric Vertical Bar Diamond Pendant in 14k Yellow Gold</t>
  </si>
  <si>
    <t>14k Yellow Gold</t>
  </si>
  <si>
    <t>Cable Chain</t>
  </si>
  <si>
    <t>Spring ring clasp</t>
  </si>
  <si>
    <t>14k White Gold</t>
  </si>
  <si>
    <t>width</t>
  </si>
  <si>
    <t>length</t>
  </si>
  <si>
    <t>3/16 inch</t>
  </si>
  <si>
    <t>Rhodium Plated</t>
  </si>
  <si>
    <t>yes</t>
  </si>
  <si>
    <t>no</t>
  </si>
  <si>
    <t>Approximate weight</t>
  </si>
  <si>
    <t>Bezel setting</t>
  </si>
  <si>
    <t>1/10 inch</t>
  </si>
  <si>
    <t>1 inch</t>
  </si>
  <si>
    <t>5/8 inch</t>
  </si>
  <si>
    <t>1/4 inch</t>
  </si>
  <si>
    <t>Pavé setting</t>
  </si>
  <si>
    <t>Diamond Sunburst Pendant</t>
  </si>
  <si>
    <t>8/10 inch</t>
  </si>
  <si>
    <t>20.0 inches</t>
  </si>
  <si>
    <t>'1', 'Seiko 6552-58 Blue Ladies watch', 'watch', 'Seiko', 'SE6552-58L', 'Ladies', 'Quartz', 'Made in Japan', '41.20', '10.55', 'Titanium', 'Round', 'Analog', 'Blue', 'Scratch Resistant Sapphire', '200 meters / 660 feet', NULL, NULL, '0.00', NULL, '0.00', '0.00', NULL, '0', '0.00', NULL, NULL, NULL, NULL, '3033.00', '\\img\\watch\\1.jpg'</t>
  </si>
  <si>
    <t>'2', 'Seiko 3218-04 Green Ladies watch', 'watch', 'Seiko', 'SE3218-04L', 'Ladies', 'Automatic', 'Made in Japan', '43.49', '14.19', 'Titanium', 'Round', 'Analog', 'Green', 'Mineral', '300 meters / 1000 feet', NULL, NULL, '0.00', NULL, '0.00', '0.00', NULL, '0', '0.00', NULL, NULL, NULL, NULL, '4973.00', '\\img\\watch\\2.jpg'</t>
  </si>
  <si>
    <t>'3', 'PL3999-SW63', 'jewelry', NULL, NULL, NULL, NULL, NULL, '0.00', '0.00', NULL, NULL, NULL, NULL, NULL, NULL, '950 Platinum', 'Spring ring clasp', '18.00', 'Wheat Chain', '0.83', '0.33', 'No', '31', '0.96', 'H', 'SI1-SI2', 'Good', 'Bezel setting', '10298.00', '\\img\\jewelry\\1.jpg'</t>
  </si>
  <si>
    <t>'4', 'PL8922-LC64', 'jewelry', NULL, NULL, NULL, NULL, NULL, '0.00', '0.00', NULL, NULL, NULL, NULL, NULL, NULL, '950 Platinum', 'Lobster claw clasp', '20.00', 'Cable Chain', '0.88', '0.12', 'No', '19', '1.37', 'F', 'SI1-SI2', 'Signature Ideal', 'Bezel setting', '3659.00', '\\img\\jewelry\\2.jpg'</t>
  </si>
  <si>
    <t>record</t>
  </si>
  <si>
    <t>max</t>
  </si>
  <si>
    <t>s</t>
  </si>
  <si>
    <t>row</t>
  </si>
  <si>
    <t>minPoolSize</t>
  </si>
  <si>
    <t>maxPoolSize</t>
  </si>
  <si>
    <t>Max time waiting</t>
  </si>
  <si>
    <t>user</t>
  </si>
  <si>
    <t>add</t>
  </si>
  <si>
    <t>remove</t>
  </si>
  <si>
    <t>ms</t>
  </si>
  <si>
    <t>update</t>
  </si>
  <si>
    <t>database</t>
  </si>
  <si>
    <t>conn</t>
  </si>
  <si>
    <t>Normal</t>
  </si>
  <si>
    <t>Less</t>
  </si>
  <si>
    <t>get product for one page</t>
  </si>
  <si>
    <t>get watch for one page</t>
  </si>
  <si>
    <t>get jewelry for one page</t>
  </si>
  <si>
    <t>maxIdleTime</t>
  </si>
  <si>
    <t>admin</t>
  </si>
  <si>
    <t>1/23</t>
  </si>
  <si>
    <t>2/115</t>
  </si>
  <si>
    <t>Threads</t>
  </si>
  <si>
    <t>Memory</t>
  </si>
  <si>
    <t>Threads - Users</t>
  </si>
  <si>
    <t>CPU Usage</t>
  </si>
  <si>
    <t>ramp-up</t>
  </si>
  <si>
    <t>loop</t>
  </si>
  <si>
    <t>label</t>
  </si>
  <si>
    <t>#sample</t>
  </si>
  <si>
    <t>average</t>
  </si>
  <si>
    <t>median</t>
  </si>
  <si>
    <t>90%line</t>
  </si>
  <si>
    <t>95%line</t>
  </si>
  <si>
    <t>99%line</t>
  </si>
  <si>
    <t>min</t>
  </si>
  <si>
    <t>error</t>
  </si>
  <si>
    <t>thorughput</t>
  </si>
  <si>
    <t>kb/sec</t>
  </si>
  <si>
    <t>memory</t>
  </si>
  <si>
    <t>thread</t>
  </si>
  <si>
    <t>57mb</t>
  </si>
  <si>
    <t>Label</t>
  </si>
  <si>
    <t>#Samples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</si>
  <si>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</si>
  <si>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</si>
  <si>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</si>
  <si>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</si>
  <si>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</si>
  <si>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</si>
  <si>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</si>
  <si>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</si>
  <si>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</si>
  <si>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Kb/sec</t>
  </si>
  <si>
    <t>Thread</t>
  </si>
  <si>
    <t>userid</t>
  </si>
  <si>
    <t>bill id</t>
  </si>
  <si>
    <t>product</t>
  </si>
  <si>
    <t>1_4_23_43_23</t>
  </si>
  <si>
    <t>product id</t>
  </si>
  <si>
    <t>266634176 </t>
  </si>
  <si>
    <t>mb</t>
  </si>
  <si>
    <t>UpdateProduct</t>
  </si>
  <si>
    <t>AddNewProduct</t>
  </si>
  <si>
    <t>GetDataForOnePage</t>
  </si>
  <si>
    <t>GetWatchForOnePage</t>
  </si>
  <si>
    <t>GetJewelryForOnePage</t>
  </si>
  <si>
    <t>SearchProduct</t>
  </si>
  <si>
    <t>RemoveAProduct</t>
  </si>
  <si>
    <t>Unit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</si>
  <si>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</si>
  <si>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</si>
  <si>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</si>
  <si>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</si>
  <si>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</si>
  <si>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</si>
  <si>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</si>
  <si>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</si>
  <si>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</si>
  <si>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</si>
  <si>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</si>
  <si>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</si>
  <si>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</si>
  <si>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</si>
  <si>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</si>
  <si>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JVM</t>
  </si>
  <si>
    <t>CPU</t>
  </si>
  <si>
    <t>Intel(R) Core(TM) i3 CPU 3.07GHz</t>
  </si>
  <si>
    <t>8GB</t>
  </si>
  <si>
    <t>Server Tomcat</t>
  </si>
  <si>
    <t>v7.0</t>
  </si>
  <si>
    <t>Environment</t>
  </si>
  <si>
    <t>-Xms3g   -Xmx4g</t>
  </si>
  <si>
    <t>MySQL</t>
  </si>
  <si>
    <t>per minute</t>
  </si>
  <si>
    <t>per minut</t>
  </si>
  <si>
    <t>thinking time</t>
  </si>
  <si>
    <t>3-5s</t>
  </si>
  <si>
    <t xml:space="preserve">reponse </t>
  </si>
  <si>
    <t>t.put</t>
  </si>
  <si>
    <t>response</t>
  </si>
  <si>
    <t>DataBase</t>
  </si>
  <si>
    <t>1000000+</t>
  </si>
  <si>
    <t>records</t>
  </si>
  <si>
    <t>Actual throughput</t>
  </si>
  <si>
    <t>Client throughput</t>
  </si>
  <si>
    <t>Play framework</t>
  </si>
  <si>
    <t>cpu</t>
  </si>
  <si>
    <t>columns</t>
  </si>
  <si>
    <t>table</t>
  </si>
  <si>
    <t>SQL Server 2008</t>
  </si>
  <si>
    <t>Time-1st</t>
  </si>
  <si>
    <t>Time-2nd</t>
  </si>
  <si>
    <t>Time-3th</t>
  </si>
  <si>
    <t>Time-4th</t>
  </si>
  <si>
    <t>Time-5th</t>
  </si>
  <si>
    <t>Time-6th</t>
  </si>
  <si>
    <t>min (ms)</t>
  </si>
  <si>
    <t>max (s)</t>
  </si>
  <si>
    <t>90% (s)</t>
  </si>
  <si>
    <t>Average Reponse Time (s)</t>
  </si>
  <si>
    <t>% CPU</t>
  </si>
  <si>
    <t>Memory Used</t>
  </si>
  <si>
    <t>Spring MVC</t>
  </si>
  <si>
    <t>Comparison</t>
  </si>
  <si>
    <t>Sheet3!B251</t>
  </si>
  <si>
    <t>Sheet3!B10</t>
  </si>
  <si>
    <t>Sheet3!B94</t>
  </si>
  <si>
    <t>SQL Serever 2008 R2</t>
  </si>
  <si>
    <t>10.50.4042.0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</si>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</sst>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4.1"/>
      <color rgb="FF333333"/>
      <name val="Arial"/>
      <family val="2"/>
    </font>
    <font>
      <sz val="20"/>
      <color rgb="FF003366"/>
      <name val="Perpetua"/>
      <family val="1"/>
    </font>
    <font>
      <sz val="12"/>
      <color rgb="FF333333"/>
      <name val="Arial"/>
      <family val="2"/>
    </font>
    <font>
      <sz val="10"/>
      <color rgb="FF000000"/>
      <name val="Consolas"/>
      <family val="3"/>
    </font>
    <font>
      <sz val="10"/>
      <color rgb="FF7D2727"/>
      <name val="Consolas"/>
      <family val="3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1D1E8"/>
      </left>
      <right style="medium">
        <color rgb="FFD1D1E8"/>
      </right>
      <top style="medium">
        <color rgb="FFD1D1E8"/>
      </top>
      <bottom style="medium">
        <color rgb="FFD1D1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6" fontId="0" fillId="0" borderId="0" xfId="0" applyNumberForma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0" borderId="0" xfId="0" applyFill="1" applyBorder="1"/>
    <xf numFmtId="0" fontId="0" fillId="0" borderId="2" xfId="0" applyBorder="1"/>
    <xf numFmtId="0" fontId="0" fillId="0" borderId="1" xfId="0" applyFill="1" applyBorder="1"/>
    <xf numFmtId="0" fontId="0" fillId="0" borderId="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3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" fontId="9" fillId="11" borderId="0" xfId="0" applyNumberFormat="1" applyFont="1" applyFill="1" applyBorder="1" applyAlignment="1">
      <alignment horizontal="center" vertical="center"/>
    </xf>
    <xf numFmtId="2" fontId="0" fillId="11" borderId="0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2" fontId="0" fillId="8" borderId="1" xfId="0" applyNumberFormat="1" applyFill="1" applyBorder="1"/>
    <xf numFmtId="2" fontId="0" fillId="8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9" borderId="1" xfId="0" applyNumberFormat="1" applyFill="1" applyBorder="1"/>
    <xf numFmtId="2" fontId="0" fillId="9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/>
    <xf numFmtId="2" fontId="0" fillId="1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20" fontId="0" fillId="11" borderId="0" xfId="0" applyNumberFormat="1" applyFill="1" applyBorder="1" applyAlignment="1">
      <alignment horizontal="center" vertical="center"/>
    </xf>
    <xf numFmtId="16" fontId="0" fillId="0" borderId="0" xfId="0" quotePrefix="1" applyNumberForma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0" xfId="0" applyFill="1" applyBorder="1"/>
    <xf numFmtId="2" fontId="0" fillId="11" borderId="0" xfId="0" applyNumberFormat="1" applyFill="1" applyBorder="1"/>
    <xf numFmtId="0" fontId="0" fillId="11" borderId="0" xfId="0" applyFill="1"/>
    <xf numFmtId="9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/>
    <xf numFmtId="1" fontId="0" fillId="2" borderId="4" xfId="0" applyNumberFormat="1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0" fontId="12" fillId="0" borderId="0" xfId="1"/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2" fontId="0" fillId="14" borderId="1" xfId="0" applyNumberFormat="1" applyFill="1" applyBorder="1"/>
    <xf numFmtId="2" fontId="0" fillId="11" borderId="1" xfId="0" applyNumberFormat="1" applyFill="1" applyBorder="1"/>
    <xf numFmtId="0" fontId="9" fillId="2" borderId="4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9" fontId="9" fillId="12" borderId="1" xfId="0" applyNumberFormat="1" applyFont="1" applyFill="1" applyBorder="1" applyAlignment="1">
      <alignment horizontal="center" vertical="center"/>
    </xf>
    <xf numFmtId="164" fontId="9" fillId="12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/>
    <xf numFmtId="2" fontId="9" fillId="2" borderId="1" xfId="0" applyNumberFormat="1" applyFont="1" applyFill="1" applyBorder="1"/>
    <xf numFmtId="2" fontId="9" fillId="3" borderId="1" xfId="0" applyNumberFormat="1" applyFont="1" applyFill="1" applyBorder="1"/>
    <xf numFmtId="2" fontId="9" fillId="14" borderId="1" xfId="0" applyNumberFormat="1" applyFont="1" applyFill="1" applyBorder="1"/>
    <xf numFmtId="2" fontId="9" fillId="5" borderId="1" xfId="0" applyNumberFormat="1" applyFont="1" applyFill="1" applyBorder="1"/>
    <xf numFmtId="2" fontId="9" fillId="9" borderId="1" xfId="0" applyNumberFormat="1" applyFont="1" applyFill="1" applyBorder="1"/>
    <xf numFmtId="2" fontId="9" fillId="11" borderId="1" xfId="0" applyNumberFormat="1" applyFont="1" applyFill="1" applyBorder="1"/>
    <xf numFmtId="2" fontId="9" fillId="10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Sheet3!$K$122</c:f>
              <c:strCache>
                <c:ptCount val="1"/>
                <c:pt idx="0">
                  <c:v>Actual throughput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Sheet3!$G$123:$J$129</c:f>
              <c:strCache>
                <c:ptCount val="7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  <c:pt idx="6">
                  <c:v>6000</c:v>
                </c:pt>
              </c:strCache>
            </c:strRef>
          </c:cat>
          <c:val>
            <c:numRef>
              <c:f>Sheet3!$M$123:$M$128</c:f>
              <c:numCache>
                <c:formatCode>0</c:formatCode>
                <c:ptCount val="6"/>
                <c:pt idx="0">
                  <c:v>8.2750000000000004</c:v>
                </c:pt>
                <c:pt idx="1">
                  <c:v>24.299999999999997</c:v>
                </c:pt>
                <c:pt idx="2">
                  <c:v>34.733333333333334</c:v>
                </c:pt>
                <c:pt idx="3">
                  <c:v>37.824999999999996</c:v>
                </c:pt>
                <c:pt idx="4">
                  <c:v>40.366666666666667</c:v>
                </c:pt>
                <c:pt idx="5">
                  <c:v>42.199999999999996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2253824"/>
        <c:axId val="182849920"/>
      </c:lineChart>
      <c:catAx>
        <c:axId val="1822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2849920"/>
        <c:crosses val="autoZero"/>
        <c:auto val="1"/>
        <c:lblAlgn val="ctr"/>
        <c:lblOffset val="100"/>
        <c:noMultiLvlLbl val="0"/>
      </c:catAx>
      <c:valAx>
        <c:axId val="18284992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225382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Play Server - </a:t>
            </a:r>
            <a:r>
              <a:rPr lang="en-GB"/>
              <a:t>Memory Used - 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Sheet3!$T$191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Sheet3!$T$192:$T$205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786112"/>
        <c:axId val="183800576"/>
      </c:lineChart>
      <c:catAx>
        <c:axId val="18378611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800576"/>
        <c:crosses val="autoZero"/>
        <c:auto val="1"/>
        <c:lblAlgn val="ctr"/>
        <c:lblOffset val="100"/>
        <c:noMultiLvlLbl val="0"/>
      </c:catAx>
      <c:valAx>
        <c:axId val="18380057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78611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Play Server - </a:t>
            </a: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Sheet3!$U$191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Sheet3!$U$192:$U$205</c:f>
              <c:numCache>
                <c:formatCode>General</c:formatCode>
                <c:ptCount val="14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895936"/>
        <c:axId val="183910400"/>
      </c:lineChart>
      <c:catAx>
        <c:axId val="18389593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910400"/>
        <c:crosses val="autoZero"/>
        <c:auto val="1"/>
        <c:lblAlgn val="ctr"/>
        <c:lblOffset val="100"/>
        <c:noMultiLvlLbl val="0"/>
      </c:catAx>
      <c:valAx>
        <c:axId val="18391040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89593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Actual throughput - per</a:t>
            </a:r>
            <a:r>
              <a:rPr lang="en-GB" baseline="0"/>
              <a:t> minute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Sheet3!$K$32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Sheet3!$M$33:$M$46</c:f>
              <c:numCache>
                <c:formatCode>0</c:formatCode>
                <c:ptCount val="14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244</c:v>
                </c:pt>
                <c:pt idx="8">
                  <c:v>254</c:v>
                </c:pt>
                <c:pt idx="9">
                  <c:v>282</c:v>
                </c:pt>
                <c:pt idx="10">
                  <c:v>292</c:v>
                </c:pt>
                <c:pt idx="11">
                  <c:v>241.20000000000002</c:v>
                </c:pt>
                <c:pt idx="12">
                  <c:v>235.20000000000002</c:v>
                </c:pt>
                <c:pt idx="13">
                  <c:v>298.79999999999995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936128"/>
        <c:axId val="183938048"/>
      </c:lineChart>
      <c:catAx>
        <c:axId val="1839361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938048"/>
        <c:crosses val="autoZero"/>
        <c:auto val="1"/>
        <c:lblAlgn val="ctr"/>
        <c:lblOffset val="100"/>
        <c:noMultiLvlLbl val="0"/>
      </c:catAx>
      <c:valAx>
        <c:axId val="18393804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93612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Average Reponse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Sheet3!$O$32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2"/>
              <c:layout>
                <c:manualLayout>
                  <c:x val="-1.7550730994152046E-2"/>
                  <c:y val="-3.5458611111111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7299707602339184E-3"/>
                  <c:y val="-1.2528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0123830409356726E-2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Sheet3!$O$33:$O$46</c:f>
              <c:numCache>
                <c:formatCode>0.0</c:formatCode>
                <c:ptCount val="14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18.239000000000001</c:v>
                </c:pt>
                <c:pt idx="8">
                  <c:v>22.240500000000001</c:v>
                </c:pt>
                <c:pt idx="9">
                  <c:v>27.329166666666669</c:v>
                </c:pt>
                <c:pt idx="10">
                  <c:v>43.045000000000002</c:v>
                </c:pt>
                <c:pt idx="11">
                  <c:v>72.519600000000011</c:v>
                </c:pt>
                <c:pt idx="12">
                  <c:v>91.455399999999997</c:v>
                </c:pt>
                <c:pt idx="13">
                  <c:v>113.98099999999999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Sheet3!$P$32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Sheet3!$P$33:$P$46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208.9042</c:v>
                </c:pt>
                <c:pt idx="12">
                  <c:v>252.69759999999999</c:v>
                </c:pt>
                <c:pt idx="13">
                  <c:v>357.14320000000004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Sheet3!$R$32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Sheet3!$R$33:$R$46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629.56500000000005</c:v>
                </c:pt>
                <c:pt idx="12">
                  <c:v>739.89480000000003</c:v>
                </c:pt>
                <c:pt idx="13">
                  <c:v>1181.0036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998336"/>
        <c:axId val="184004608"/>
      </c:lineChart>
      <c:catAx>
        <c:axId val="18399833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004608"/>
        <c:crosses val="autoZero"/>
        <c:auto val="1"/>
        <c:lblAlgn val="ctr"/>
        <c:lblOffset val="100"/>
        <c:noMultiLvlLbl val="0"/>
      </c:catAx>
      <c:valAx>
        <c:axId val="18400460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99833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</a:t>
            </a:r>
            <a:r>
              <a:rPr lang="en-GB" baseline="0"/>
              <a:t> - </a:t>
            </a: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Sheet3!$P$32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2.6969298245614034E-3"/>
                  <c:y val="-1.605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252923976608188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020467836257314E-4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7685672514619884E-3"/>
                  <c:y val="-1.2528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Sheet3!$E$33:$F$43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Sheet3!$P$33:$P$43</c:f>
              <c:numCache>
                <c:formatCode>0.0</c:formatCode>
                <c:ptCount val="11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Sheet3!$R$32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Sheet3!$E$33:$F$43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Sheet3!$R$33:$R$43</c:f>
              <c:numCache>
                <c:formatCode>0.0</c:formatCode>
                <c:ptCount val="11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047872"/>
        <c:axId val="184058240"/>
      </c:lineChart>
      <c:catAx>
        <c:axId val="1840478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058240"/>
        <c:crosses val="autoZero"/>
        <c:auto val="1"/>
        <c:lblAlgn val="ctr"/>
        <c:lblOffset val="100"/>
        <c:noMultiLvlLbl val="0"/>
      </c:catAx>
      <c:valAx>
        <c:axId val="18405824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04787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Percent CPU -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Sheet3!$S$32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Sheet3!$E$33:$F$43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Sheet3!$S$33:$S$43</c:f>
              <c:numCache>
                <c:formatCode>General</c:formatCode>
                <c:ptCount val="11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092160"/>
        <c:axId val="184094080"/>
      </c:lineChart>
      <c:catAx>
        <c:axId val="1840921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094080"/>
        <c:crosses val="autoZero"/>
        <c:auto val="1"/>
        <c:lblAlgn val="ctr"/>
        <c:lblOffset val="100"/>
        <c:noMultiLvlLbl val="0"/>
      </c:catAx>
      <c:valAx>
        <c:axId val="18409408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09216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Spring MVC Server - </a:t>
            </a:r>
            <a:r>
              <a:rPr lang="en-GB"/>
              <a:t>Memory Used - 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Sheet3!$T$32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Sheet3!$E$33:$F$43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Sheet3!$T$33:$T$43</c:f>
              <c:numCache>
                <c:formatCode>General</c:formatCode>
                <c:ptCount val="11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124160"/>
        <c:axId val="184126080"/>
      </c:lineChart>
      <c:catAx>
        <c:axId val="1841241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126080"/>
        <c:crosses val="autoZero"/>
        <c:auto val="1"/>
        <c:lblAlgn val="ctr"/>
        <c:lblOffset val="100"/>
        <c:noMultiLvlLbl val="0"/>
      </c:catAx>
      <c:valAx>
        <c:axId val="18412608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12416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Spring MVC Server - </a:t>
            </a: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Sheet3!$U$32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Sheet3!$E$33:$F$43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Sheet3!$U$33:$U$43</c:f>
              <c:numCache>
                <c:formatCode>General</c:formatCode>
                <c:ptCount val="11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243</c:v>
                </c:pt>
                <c:pt idx="10">
                  <c:v>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233984"/>
        <c:axId val="184235904"/>
      </c:lineChart>
      <c:catAx>
        <c:axId val="1842339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235904"/>
        <c:crosses val="autoZero"/>
        <c:auto val="1"/>
        <c:lblAlgn val="ctr"/>
        <c:lblOffset val="100"/>
        <c:noMultiLvlLbl val="0"/>
      </c:catAx>
      <c:valAx>
        <c:axId val="18423590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23398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9.375967079010044E-3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908928788082761E-2"/>
                  <c:y val="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3597459127148348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Sheet3!$F$290:$F$303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3"/>
              <c:layout>
                <c:manualLayout>
                  <c:x val="-2.0351846404169639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3597459127148411E-2"/>
                  <c:y val="-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444175753677601E-2"/>
                  <c:y val="-2.0985833333333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Sheet3!$G$290:$G$300</c:f>
              <c:numCache>
                <c:formatCode>0</c:formatCode>
                <c:ptCount val="11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244</c:v>
                </c:pt>
                <c:pt idx="8">
                  <c:v>254</c:v>
                </c:pt>
                <c:pt idx="9">
                  <c:v>282</c:v>
                </c:pt>
                <c:pt idx="10">
                  <c:v>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279424"/>
        <c:axId val="184281344"/>
      </c:lineChart>
      <c:catAx>
        <c:axId val="1842794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281344"/>
        <c:crosses val="autoZero"/>
        <c:auto val="1"/>
        <c:lblAlgn val="ctr"/>
        <c:lblOffset val="100"/>
        <c:noMultiLvlLbl val="0"/>
      </c:catAx>
      <c:valAx>
        <c:axId val="18428134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27942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8479093567251463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7685672514619884E-3"/>
                  <c:y val="-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969298245614034E-3"/>
                  <c:y val="-1.393027777777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837280701754386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476564327485380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19064327485380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3391812865497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19064327485380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1760818713450293E-2"/>
                  <c:y val="-1.393027777777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0502923976608188E-3"/>
                  <c:y val="3.70861111111111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3172514619883041E-5"/>
                  <c:y val="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7619152046783626E-3"/>
                  <c:y val="7.23638888888888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Sheet3!$H$290:$H$303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130.19283333333334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8.4020467836257314E-4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7685672514619884E-3"/>
                  <c:y val="3.34694444444444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3387426900584796E-3"/>
                  <c:y val="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7119005847953218E-2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1935672514619884E-3"/>
                  <c:y val="6.87472222222222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9070175438596488E-3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3049707602339183E-3"/>
                  <c:y val="1.58305555555555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8259356725146199E-2"/>
                  <c:y val="-1.605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Sheet3!$I$290:$I$300</c:f>
              <c:numCache>
                <c:formatCode>0.0</c:formatCode>
                <c:ptCount val="11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18.239000000000001</c:v>
                </c:pt>
                <c:pt idx="8">
                  <c:v>22.240500000000001</c:v>
                </c:pt>
                <c:pt idx="9">
                  <c:v>27.329166666666669</c:v>
                </c:pt>
                <c:pt idx="10">
                  <c:v>43.045000000000002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337152"/>
        <c:axId val="184339072"/>
      </c:lineChart>
      <c:catAx>
        <c:axId val="1843371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339072"/>
        <c:crosses val="autoZero"/>
        <c:auto val="1"/>
        <c:lblAlgn val="ctr"/>
        <c:lblOffset val="100"/>
        <c:noMultiLvlLbl val="0"/>
      </c:catAx>
      <c:valAx>
        <c:axId val="18433907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3371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Response Time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txPr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Sheet3!$O$123:$O$128</c:f>
              <c:numCache>
                <c:formatCode>0.0</c:formatCode>
                <c:ptCount val="6"/>
                <c:pt idx="0">
                  <c:v>1.3592500000000001</c:v>
                </c:pt>
                <c:pt idx="1">
                  <c:v>4.4859999999999998</c:v>
                </c:pt>
                <c:pt idx="2">
                  <c:v>8.4629999999999992</c:v>
                </c:pt>
                <c:pt idx="3">
                  <c:v>21.035499999999999</c:v>
                </c:pt>
                <c:pt idx="4">
                  <c:v>56.269666666666666</c:v>
                </c:pt>
                <c:pt idx="5">
                  <c:v>87.898666666666671</c:v>
                </c:pt>
              </c:numCache>
            </c:numRef>
          </c:val>
          <c:smooth val="0"/>
        </c:ser>
        <c:ser>
          <c:idx val="2"/>
          <c:order val="1"/>
          <c:tx>
            <c:v>Max Response Time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4"/>
              <c:layout>
                <c:manualLayout>
                  <c:x val="-4.5639506497899711E-2"/>
                  <c:y val="-3.133338429783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prstDash val="solid"/>
              </a:ln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Sheet3!$Q$123:$Q$128</c:f>
              <c:numCache>
                <c:formatCode>0.0</c:formatCode>
                <c:ptCount val="6"/>
                <c:pt idx="0">
                  <c:v>2.57775</c:v>
                </c:pt>
                <c:pt idx="1">
                  <c:v>13.51825</c:v>
                </c:pt>
                <c:pt idx="2">
                  <c:v>24.186666666666667</c:v>
                </c:pt>
                <c:pt idx="3">
                  <c:v>70.623999999999995</c:v>
                </c:pt>
                <c:pt idx="4">
                  <c:v>223.70033333333333</c:v>
                </c:pt>
                <c:pt idx="5">
                  <c:v>393.2956666666667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2909952"/>
        <c:axId val="182908416"/>
      </c:lineChart>
      <c:catAx>
        <c:axId val="1829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2908416"/>
        <c:crosses val="autoZero"/>
        <c:auto val="1"/>
        <c:lblAlgn val="ctr"/>
        <c:lblOffset val="100"/>
        <c:noMultiLvlLbl val="0"/>
      </c:catAx>
      <c:valAx>
        <c:axId val="18290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29099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90% Response Time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7685672514619884E-3"/>
                  <c:y val="-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694005847953215E-2"/>
                  <c:y val="-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969298245614034E-3"/>
                  <c:y val="-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5536549707602342E-3"/>
                  <c:y val="5.47249999999999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8975730994152045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19064327485380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7119005847953218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400804093567253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Sheet3!$J$290:$J$303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2.6969298245614034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904093567251462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4333918128654971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7637426900584788E-3"/>
                  <c:y val="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Sheet3!$K$290:$K$300</c:f>
              <c:numCache>
                <c:formatCode>0.0</c:formatCode>
                <c:ptCount val="11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394880"/>
        <c:axId val="184396800"/>
      </c:lineChart>
      <c:catAx>
        <c:axId val="1843948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396800"/>
        <c:crosses val="autoZero"/>
        <c:auto val="1"/>
        <c:lblAlgn val="ctr"/>
        <c:lblOffset val="100"/>
        <c:noMultiLvlLbl val="0"/>
      </c:catAx>
      <c:valAx>
        <c:axId val="18439680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39488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Maximum Response Time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9407456140350877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694005847953215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020467836257314E-4"/>
                  <c:y val="-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26235380116959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Sheet3!$N$290:$N$303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2.6969298245614034E-3"/>
                  <c:y val="-1.781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20467836257314E-4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0503654970760238E-3"/>
                  <c:y val="3.34694444444444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Sheet3!$O$290:$O$300</c:f>
              <c:numCache>
                <c:formatCode>0.0</c:formatCode>
                <c:ptCount val="11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261056"/>
        <c:axId val="183267328"/>
      </c:lineChart>
      <c:catAx>
        <c:axId val="1832610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267328"/>
        <c:crosses val="autoZero"/>
        <c:auto val="1"/>
        <c:lblAlgn val="ctr"/>
        <c:lblOffset val="100"/>
        <c:noMultiLvlLbl val="0"/>
      </c:catAx>
      <c:valAx>
        <c:axId val="18326732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26105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CPU -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1"/>
              <c:layout>
                <c:manualLayout>
                  <c:x val="-1.3837280701754386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247719298245614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Sheet3!$P$290:$P$303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1.6622368421052632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689181286549707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4333918128654971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4545906432748538E-2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Sheet3!$Q$290:$Q$300</c:f>
              <c:numCache>
                <c:formatCode>General</c:formatCode>
                <c:ptCount val="11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314688"/>
        <c:axId val="183329152"/>
      </c:lineChart>
      <c:catAx>
        <c:axId val="18331468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329152"/>
        <c:crosses val="autoZero"/>
        <c:auto val="1"/>
        <c:lblAlgn val="ctr"/>
        <c:lblOffset val="100"/>
        <c:noMultiLvlLbl val="0"/>
      </c:catAx>
      <c:valAx>
        <c:axId val="1833291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% CPU (%)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31468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Memory Used - 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6"/>
              <c:layout>
                <c:manualLayout>
                  <c:x val="-1.0309502923976609E-2"/>
                  <c:y val="1.9221944444444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094590643274853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Sheet3!$R$290:$R$303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5"/>
              <c:layout>
                <c:manualLayout>
                  <c:x val="-7.5244152046783624E-3"/>
                  <c:y val="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951315789473684E-2"/>
                  <c:y val="-1.9583611111111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6808040935672515E-2"/>
                  <c:y val="-2.31113888888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Sheet3!$S$290:$S$300</c:f>
              <c:numCache>
                <c:formatCode>General</c:formatCode>
                <c:ptCount val="11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368320"/>
        <c:axId val="183374592"/>
      </c:lineChart>
      <c:catAx>
        <c:axId val="1833683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374592"/>
        <c:crosses val="autoZero"/>
        <c:auto val="1"/>
        <c:lblAlgn val="ctr"/>
        <c:lblOffset val="100"/>
        <c:noMultiLvlLbl val="0"/>
      </c:catAx>
      <c:valAx>
        <c:axId val="18337459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Memory used (MB)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36832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1.352624269005848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Sheet3!$T$290:$T$304</c:f>
              <c:numCache>
                <c:formatCode>General</c:formatCode>
                <c:ptCount val="15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1.3526242690058463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741154970760234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Sheet3!$U$290:$U$300</c:f>
              <c:numCache>
                <c:formatCode>General</c:formatCode>
                <c:ptCount val="11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243</c:v>
                </c:pt>
                <c:pt idx="10">
                  <c:v>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401472"/>
        <c:axId val="183403648"/>
      </c:lineChart>
      <c:catAx>
        <c:axId val="1834014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403648"/>
        <c:crosses val="autoZero"/>
        <c:auto val="1"/>
        <c:lblAlgn val="ctr"/>
        <c:lblOffset val="100"/>
        <c:noMultiLvlLbl val="0"/>
      </c:catAx>
      <c:valAx>
        <c:axId val="18340364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Thread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40147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API ServerResponse Time - second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2.8700633070811214E-2"/>
                  <c:y val="-2.0553516783252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089063396536875E-2"/>
                  <c:y val="-2.8597760121613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0411049616186237E-5"/>
                  <c:y val="3.7104389100683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4077131161828929E-3"/>
                  <c:y val="1.83323238441348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5096413952286155E-3"/>
                  <c:y val="-1.933785426142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223139348548598E-2"/>
                  <c:y val="-2.389029425620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3190991675582598E-2"/>
                  <c:y val="-2.7757231703503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Sheet3!$A$258:$A$264</c:f>
              <c:strCache>
                <c:ptCount val="7"/>
                <c:pt idx="0">
                  <c:v>GetDataForOnePage</c:v>
                </c:pt>
                <c:pt idx="1">
                  <c:v>GetWatchForOnePage</c:v>
                </c:pt>
                <c:pt idx="2">
                  <c:v>GetJewelryForOnePage</c:v>
                </c:pt>
                <c:pt idx="3">
                  <c:v>SearchProduct</c:v>
                </c:pt>
                <c:pt idx="4">
                  <c:v>AddNewProduct</c:v>
                </c:pt>
                <c:pt idx="5">
                  <c:v>UpdateProduct</c:v>
                </c:pt>
                <c:pt idx="6">
                  <c:v>RemoveAProduct</c:v>
                </c:pt>
              </c:strCache>
            </c:strRef>
          </c:cat>
          <c:val>
            <c:numRef>
              <c:f>Sheet3!$B$258:$B$264</c:f>
              <c:numCache>
                <c:formatCode>0.00</c:formatCode>
                <c:ptCount val="7"/>
                <c:pt idx="0">
                  <c:v>422.5646666666666</c:v>
                </c:pt>
                <c:pt idx="1">
                  <c:v>461.60600000000005</c:v>
                </c:pt>
                <c:pt idx="2">
                  <c:v>393.83333333333331</c:v>
                </c:pt>
                <c:pt idx="3">
                  <c:v>922.49199999999996</c:v>
                </c:pt>
                <c:pt idx="4">
                  <c:v>271.08600000000001</c:v>
                </c:pt>
                <c:pt idx="5">
                  <c:v>135.51633333333334</c:v>
                </c:pt>
                <c:pt idx="6">
                  <c:v>96.589333333333329</c:v>
                </c:pt>
              </c:numCache>
            </c:numRef>
          </c:val>
          <c:smooth val="0"/>
        </c:ser>
        <c:ser>
          <c:idx val="1"/>
          <c:order val="1"/>
          <c:tx>
            <c:v>Spring MVC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2.5352940252667815E-2"/>
                  <c:y val="2.0530872554957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65770567599786E-2"/>
                  <c:y val="2.415537424337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876980697205373E-2"/>
                  <c:y val="-2.7867095391211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657735522904063E-2"/>
                  <c:y val="-3.215434083601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895707288965716E-2"/>
                  <c:y val="2.3579849946409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895707288965716E-2"/>
                  <c:y val="2.5723472668810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881014116969173E-2"/>
                  <c:y val="1.9292604501607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Sheet3!$A$258:$A$264</c:f>
              <c:strCache>
                <c:ptCount val="7"/>
                <c:pt idx="0">
                  <c:v>GetDataForOnePage</c:v>
                </c:pt>
                <c:pt idx="1">
                  <c:v>GetWatchForOnePage</c:v>
                </c:pt>
                <c:pt idx="2">
                  <c:v>GetJewelryForOnePage</c:v>
                </c:pt>
                <c:pt idx="3">
                  <c:v>SearchProduct</c:v>
                </c:pt>
                <c:pt idx="4">
                  <c:v>AddNewProduct</c:v>
                </c:pt>
                <c:pt idx="5">
                  <c:v>UpdateProduct</c:v>
                </c:pt>
                <c:pt idx="6">
                  <c:v>RemoveAProduct</c:v>
                </c:pt>
              </c:strCache>
            </c:strRef>
          </c:cat>
          <c:val>
            <c:numRef>
              <c:f>Sheet3!$C$258:$C$264</c:f>
              <c:numCache>
                <c:formatCode>0.00</c:formatCode>
                <c:ptCount val="7"/>
                <c:pt idx="0">
                  <c:v>413.14464000000004</c:v>
                </c:pt>
                <c:pt idx="1">
                  <c:v>448.80933333333343</c:v>
                </c:pt>
                <c:pt idx="2">
                  <c:v>425.41066666666671</c:v>
                </c:pt>
                <c:pt idx="3">
                  <c:v>965.69399999999996</c:v>
                </c:pt>
                <c:pt idx="4">
                  <c:v>85.539333333333332</c:v>
                </c:pt>
                <c:pt idx="5">
                  <c:v>77.831666666666649</c:v>
                </c:pt>
                <c:pt idx="6">
                  <c:v>57.243666666666662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8848"/>
        <c:axId val="196218240"/>
      </c:lineChart>
      <c:catAx>
        <c:axId val="1955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API Server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6218240"/>
        <c:crosses val="autoZero"/>
        <c:auto val="1"/>
        <c:lblAlgn val="ctr"/>
        <c:lblOffset val="100"/>
        <c:noMultiLvlLbl val="0"/>
      </c:catAx>
      <c:valAx>
        <c:axId val="19621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Response Time (second)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551884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Sheet3!$R$36</c:f>
              <c:strCache>
                <c:ptCount val="1"/>
                <c:pt idx="0">
                  <c:v>14.0</c:v>
                </c:pt>
              </c:strCache>
            </c:strRef>
          </c:tx>
          <c:dLbls>
            <c:numFmt formatCode="General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Sheet3!$R$123:$R$128</c:f>
              <c:numCache>
                <c:formatCode>General</c:formatCode>
                <c:ptCount val="6"/>
                <c:pt idx="0">
                  <c:v>3.4</c:v>
                </c:pt>
                <c:pt idx="1">
                  <c:v>4.8</c:v>
                </c:pt>
                <c:pt idx="2">
                  <c:v>4.8</c:v>
                </c:pt>
                <c:pt idx="3">
                  <c:v>4.2</c:v>
                </c:pt>
                <c:pt idx="4">
                  <c:v>11.3</c:v>
                </c:pt>
                <c:pt idx="5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2798208"/>
        <c:axId val="182812672"/>
      </c:lineChart>
      <c:catAx>
        <c:axId val="1827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2812672"/>
        <c:crosses val="autoZero"/>
        <c:auto val="1"/>
        <c:lblAlgn val="ctr"/>
        <c:lblOffset val="100"/>
        <c:noMultiLvlLbl val="0"/>
      </c:catAx>
      <c:valAx>
        <c:axId val="1828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79820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Heap Memory Used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Sheet3!$S$123:$S$128</c:f>
              <c:numCache>
                <c:formatCode>General</c:formatCode>
                <c:ptCount val="6"/>
                <c:pt idx="0">
                  <c:v>571</c:v>
                </c:pt>
                <c:pt idx="1">
                  <c:v>590</c:v>
                </c:pt>
                <c:pt idx="2">
                  <c:v>637</c:v>
                </c:pt>
                <c:pt idx="3">
                  <c:v>731</c:v>
                </c:pt>
                <c:pt idx="4">
                  <c:v>854</c:v>
                </c:pt>
                <c:pt idx="5">
                  <c:v>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2834304"/>
        <c:axId val="182836224"/>
      </c:lineChart>
      <c:catAx>
        <c:axId val="1828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2836224"/>
        <c:crosses val="autoZero"/>
        <c:auto val="1"/>
        <c:lblAlgn val="ctr"/>
        <c:lblOffset val="100"/>
        <c:noMultiLvlLbl val="0"/>
      </c:catAx>
      <c:valAx>
        <c:axId val="18283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Heap Memory</a:t>
                </a:r>
                <a:r>
                  <a:rPr lang="en-GB" baseline="0"/>
                  <a:t> used </a:t>
                </a:r>
                <a:r>
                  <a:rPr lang="en-GB"/>
                  <a:t>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83430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Thread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Sheet3!$T$123:$T$128</c:f>
              <c:numCache>
                <c:formatCode>General</c:formatCode>
                <c:ptCount val="6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3226752"/>
        <c:axId val="183228672"/>
      </c:lineChart>
      <c:catAx>
        <c:axId val="1832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minuted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228672"/>
        <c:crosses val="autoZero"/>
        <c:auto val="1"/>
        <c:lblAlgn val="ctr"/>
        <c:lblOffset val="100"/>
        <c:noMultiLvlLbl val="0"/>
      </c:catAx>
      <c:valAx>
        <c:axId val="18322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2267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</a:t>
            </a:r>
            <a:r>
              <a:rPr lang="en-GB" baseline="0"/>
              <a:t> - </a:t>
            </a: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Sheet3!$K$191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Sheet3!$M$192:$M$205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522816"/>
        <c:axId val="183524736"/>
      </c:lineChart>
      <c:catAx>
        <c:axId val="1835228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524736"/>
        <c:crosses val="autoZero"/>
        <c:auto val="1"/>
        <c:lblAlgn val="ctr"/>
        <c:lblOffset val="100"/>
        <c:noMultiLvlLbl val="0"/>
      </c:catAx>
      <c:valAx>
        <c:axId val="18352473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52281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 - Average Reponse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Sheet3!$O$191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4"/>
              <c:layout>
                <c:manualLayout>
                  <c:x val="-6.7213859602726746E-3"/>
                  <c:y val="-3.1356984937622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545515556759699E-3"/>
                  <c:y val="-1.3220357171200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05954372822959E-2"/>
                  <c:y val="-1.3220561182761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935652229832255E-2"/>
                  <c:y val="-1.840225081874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7046558658804369E-2"/>
                  <c:y val="-2.358414446629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2527767230767191E-2"/>
                  <c:y val="-2.6175091290073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9279904065902255E-2"/>
                  <c:y val="-2.87662421254087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0767028243006145E-3"/>
                  <c:y val="-1.5811303994974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5168997636930139E-2"/>
                  <c:y val="-3.3947931761397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Sheet3!$O$192:$O$205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130.19283333333334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Sheet3!$P$191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Sheet3!$P$192:$P$205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Sheet3!$R$191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Sheet3!$R$192:$R$205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665408"/>
        <c:axId val="183667328"/>
      </c:lineChart>
      <c:catAx>
        <c:axId val="1836654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667328"/>
        <c:crosses val="autoZero"/>
        <c:auto val="1"/>
        <c:lblAlgn val="ctr"/>
        <c:lblOffset val="100"/>
        <c:noMultiLvlLbl val="0"/>
      </c:catAx>
      <c:valAx>
        <c:axId val="18366732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66540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</a:t>
            </a:r>
            <a:r>
              <a:rPr lang="en-GB" baseline="0"/>
              <a:t> - </a:t>
            </a: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Sheet3!$P$191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1.2598361349303314E-17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43825694525833E-3"/>
                  <c:y val="-2.3318521413971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5545680942647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2462954167155014E-3"/>
                  <c:y val="-2.8500415061520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369443125073251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492590833431003E-2"/>
                  <c:y val="-3.3682308709070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113268819599085E-2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7487651389051668E-2"/>
                  <c:y val="-2.5909468237746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2985181666862005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1231477083577606E-2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9241355972336168E-2"/>
                  <c:y val="-3.1091361885295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Sheet3!$P$192:$P$205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Sheet3!$R$191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12"/>
              <c:layout>
                <c:manualLayout>
                  <c:x val="-4.65950321156412E-2"/>
                  <c:y val="-1.8402250818749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Sheet3!$R$192:$R$205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698176"/>
        <c:axId val="183700096"/>
      </c:lineChart>
      <c:catAx>
        <c:axId val="1836981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700096"/>
        <c:crosses val="autoZero"/>
        <c:auto val="1"/>
        <c:lblAlgn val="ctr"/>
        <c:lblOffset val="100"/>
        <c:noMultiLvlLbl val="0"/>
      </c:catAx>
      <c:valAx>
        <c:axId val="18370009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69817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 -</a:t>
            </a:r>
            <a:r>
              <a:rPr lang="en-GB" baseline="0"/>
              <a:t> </a:t>
            </a:r>
            <a:r>
              <a:rPr lang="en-GB"/>
              <a:t>Percent CPU -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Sheet3!$S$191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Sheet3!$S$192:$S$205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3733632"/>
        <c:axId val="183752192"/>
      </c:lineChart>
      <c:catAx>
        <c:axId val="1837336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752192"/>
        <c:crosses val="autoZero"/>
        <c:auto val="1"/>
        <c:lblAlgn val="ctr"/>
        <c:lblOffset val="100"/>
        <c:noMultiLvlLbl val="0"/>
      </c:catAx>
      <c:valAx>
        <c:axId val="18375219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73363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116632</xdr:colOff>
      <xdr:row>133</xdr:row>
      <xdr:rowOff>58316</xdr:rowOff>
    </xdr:from>
    <xdr:to>
      <xdr:col>18</xdr:col>
      <xdr:colOff>50161</xdr:colOff>
      <xdr:row>159</xdr:row>
      <xdr:rowOff>6999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133</xdr:row>
      <xdr:rowOff>47625</xdr:rowOff>
    </xdr:from>
    <xdr:to>
      <xdr:col>32</xdr:col>
      <xdr:colOff>403363</xdr:colOff>
      <xdr:row>159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159</xdr:row>
      <xdr:rowOff>81170</xdr:rowOff>
    </xdr:from>
    <xdr:to>
      <xdr:col>13</xdr:col>
      <xdr:colOff>4969</xdr:colOff>
      <xdr:row>179</xdr:row>
      <xdr:rowOff>74129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125895</xdr:colOff>
      <xdr:row>159</xdr:row>
      <xdr:rowOff>85727</xdr:rowOff>
    </xdr:from>
    <xdr:to>
      <xdr:col>22</xdr:col>
      <xdr:colOff>382656</xdr:colOff>
      <xdr:row>179</xdr:row>
      <xdr:rowOff>82411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465482</xdr:colOff>
      <xdr:row>159</xdr:row>
      <xdr:rowOff>76200</xdr:rowOff>
    </xdr:from>
    <xdr:to>
      <xdr:col>32</xdr:col>
      <xdr:colOff>217003</xdr:colOff>
      <xdr:row>179</xdr:row>
      <xdr:rowOff>90694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49956</xdr:colOff>
      <xdr:row>210</xdr:row>
      <xdr:rowOff>10690</xdr:rowOff>
    </xdr:from>
    <xdr:to>
      <xdr:col>24</xdr:col>
      <xdr:colOff>185406</xdr:colOff>
      <xdr:row>247</xdr:row>
      <xdr:rowOff>162190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295274</xdr:colOff>
      <xdr:row>209</xdr:row>
      <xdr:rowOff>180974</xdr:rowOff>
    </xdr:from>
    <xdr:to>
      <xdr:col>46</xdr:col>
      <xdr:colOff>564074</xdr:colOff>
      <xdr:row>247</xdr:row>
      <xdr:rowOff>141974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14815</xdr:colOff>
      <xdr:row>209</xdr:row>
      <xdr:rowOff>190499</xdr:rowOff>
    </xdr:from>
    <xdr:to>
      <xdr:col>69</xdr:col>
      <xdr:colOff>283615</xdr:colOff>
      <xdr:row>247</xdr:row>
      <xdr:rowOff>151499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400049</xdr:colOff>
      <xdr:row>209</xdr:row>
      <xdr:rowOff>190499</xdr:rowOff>
    </xdr:from>
    <xdr:to>
      <xdr:col>92</xdr:col>
      <xdr:colOff>59249</xdr:colOff>
      <xdr:row>247</xdr:row>
      <xdr:rowOff>151499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152399</xdr:colOff>
      <xdr:row>209</xdr:row>
      <xdr:rowOff>190499</xdr:rowOff>
    </xdr:from>
    <xdr:to>
      <xdr:col>114</xdr:col>
      <xdr:colOff>421199</xdr:colOff>
      <xdr:row>247</xdr:row>
      <xdr:rowOff>151499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609599</xdr:colOff>
      <xdr:row>209</xdr:row>
      <xdr:rowOff>190499</xdr:rowOff>
    </xdr:from>
    <xdr:to>
      <xdr:col>137</xdr:col>
      <xdr:colOff>268799</xdr:colOff>
      <xdr:row>247</xdr:row>
      <xdr:rowOff>151499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49</xdr:row>
      <xdr:rowOff>20216</xdr:rowOff>
    </xdr:from>
    <xdr:to>
      <xdr:col>24</xdr:col>
      <xdr:colOff>135450</xdr:colOff>
      <xdr:row>86</xdr:row>
      <xdr:rowOff>171716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245318</xdr:colOff>
      <xdr:row>49</xdr:row>
      <xdr:rowOff>0</xdr:rowOff>
    </xdr:from>
    <xdr:to>
      <xdr:col>46</xdr:col>
      <xdr:colOff>514118</xdr:colOff>
      <xdr:row>86</xdr:row>
      <xdr:rowOff>151500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574459</xdr:colOff>
      <xdr:row>49</xdr:row>
      <xdr:rowOff>9525</xdr:rowOff>
    </xdr:from>
    <xdr:to>
      <xdr:col>69</xdr:col>
      <xdr:colOff>233659</xdr:colOff>
      <xdr:row>86</xdr:row>
      <xdr:rowOff>161025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350093</xdr:colOff>
      <xdr:row>49</xdr:row>
      <xdr:rowOff>9525</xdr:rowOff>
    </xdr:from>
    <xdr:to>
      <xdr:col>92</xdr:col>
      <xdr:colOff>9293</xdr:colOff>
      <xdr:row>86</xdr:row>
      <xdr:rowOff>161025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102443</xdr:colOff>
      <xdr:row>49</xdr:row>
      <xdr:rowOff>9525</xdr:rowOff>
    </xdr:from>
    <xdr:to>
      <xdr:col>114</xdr:col>
      <xdr:colOff>371243</xdr:colOff>
      <xdr:row>86</xdr:row>
      <xdr:rowOff>161025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114</xdr:col>
      <xdr:colOff>559643</xdr:colOff>
      <xdr:row>49</xdr:row>
      <xdr:rowOff>9525</xdr:rowOff>
    </xdr:from>
    <xdr:to>
      <xdr:col>137</xdr:col>
      <xdr:colOff>218843</xdr:colOff>
      <xdr:row>86</xdr:row>
      <xdr:rowOff>161025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307</xdr:row>
      <xdr:rowOff>20216</xdr:rowOff>
    </xdr:from>
    <xdr:to>
      <xdr:col>24</xdr:col>
      <xdr:colOff>135450</xdr:colOff>
      <xdr:row>344</xdr:row>
      <xdr:rowOff>171716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245318</xdr:colOff>
      <xdr:row>307</xdr:row>
      <xdr:rowOff>0</xdr:rowOff>
    </xdr:from>
    <xdr:to>
      <xdr:col>46</xdr:col>
      <xdr:colOff>514118</xdr:colOff>
      <xdr:row>344</xdr:row>
      <xdr:rowOff>151500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574459</xdr:colOff>
      <xdr:row>307</xdr:row>
      <xdr:rowOff>9525</xdr:rowOff>
    </xdr:from>
    <xdr:to>
      <xdr:col>69</xdr:col>
      <xdr:colOff>233659</xdr:colOff>
      <xdr:row>344</xdr:row>
      <xdr:rowOff>161025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552450</xdr:colOff>
      <xdr:row>307</xdr:row>
      <xdr:rowOff>19050</xdr:rowOff>
    </xdr:from>
    <xdr:to>
      <xdr:col>91</xdr:col>
      <xdr:colOff>211650</xdr:colOff>
      <xdr:row>344</xdr:row>
      <xdr:rowOff>170550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91</xdr:col>
      <xdr:colOff>323850</xdr:colOff>
      <xdr:row>307</xdr:row>
      <xdr:rowOff>0</xdr:rowOff>
    </xdr:from>
    <xdr:to>
      <xdr:col>113</xdr:col>
      <xdr:colOff>592650</xdr:colOff>
      <xdr:row>344</xdr:row>
      <xdr:rowOff>151500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114</xdr:col>
      <xdr:colOff>0</xdr:colOff>
      <xdr:row>307</xdr:row>
      <xdr:rowOff>0</xdr:rowOff>
    </xdr:from>
    <xdr:to>
      <xdr:col>136</xdr:col>
      <xdr:colOff>268800</xdr:colOff>
      <xdr:row>344</xdr:row>
      <xdr:rowOff>151500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136</xdr:col>
      <xdr:colOff>390525</xdr:colOff>
      <xdr:row>307</xdr:row>
      <xdr:rowOff>19050</xdr:rowOff>
    </xdr:from>
    <xdr:to>
      <xdr:col>159</xdr:col>
      <xdr:colOff>49725</xdr:colOff>
      <xdr:row>344</xdr:row>
      <xdr:rowOff>170550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104774</xdr:colOff>
      <xdr:row>253</xdr:row>
      <xdr:rowOff>104774</xdr:rowOff>
    </xdr:from>
    <xdr:to>
      <xdr:col>22</xdr:col>
      <xdr:colOff>19050</xdr:colOff>
      <xdr:row>286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7" workbookViewId="0">
      <selection activeCell="B33" sqref="B33"/>
    </sheetView>
  </sheetViews>
  <sheetFormatPr defaultRowHeight="15" x14ac:dyDescent="0.25"/>
  <cols>
    <col min="2" max="2" width="38.5703125" customWidth="1"/>
    <col min="3" max="3" width="18.140625" customWidth="1"/>
    <col min="4" max="4" width="24.28515625" customWidth="1"/>
    <col min="5" max="5" width="18.42578125" customWidth="1"/>
    <col min="6" max="7" width="16.42578125" customWidth="1"/>
    <col min="8" max="8" width="14" customWidth="1"/>
    <col min="9" max="9" width="16.42578125" customWidth="1"/>
    <col min="10" max="10" width="31.140625" customWidth="1"/>
    <col min="11" max="11" width="26" customWidth="1"/>
    <col min="12" max="12" width="19.140625" customWidth="1"/>
    <col min="13" max="13" width="20.7109375" customWidth="1"/>
    <col min="14" max="14" width="18.5703125" customWidth="1"/>
    <col min="15" max="15" width="14.5703125" customWidth="1"/>
    <col min="16" max="16" width="12.28515625" customWidth="1"/>
    <col min="17" max="17" width="8" customWidth="1"/>
    <col min="18" max="18" width="23.85546875" customWidth="1"/>
    <col min="19" max="19" width="23.42578125" customWidth="1"/>
    <col min="20" max="20" width="2" customWidth="1"/>
  </cols>
  <sheetData>
    <row r="1" spans="2:15" x14ac:dyDescent="0.25">
      <c r="G1" s="14" t="s">
        <v>108</v>
      </c>
    </row>
    <row r="3" spans="2:15" x14ac:dyDescent="0.25">
      <c r="B3" t="s">
        <v>62</v>
      </c>
    </row>
    <row r="4" spans="2:15" x14ac:dyDescent="0.25">
      <c r="B4" s="6" t="s">
        <v>1</v>
      </c>
      <c r="C4" s="6" t="s">
        <v>63</v>
      </c>
      <c r="D4" s="6" t="s">
        <v>64</v>
      </c>
      <c r="E4" s="6" t="s">
        <v>65</v>
      </c>
      <c r="F4" s="6" t="s">
        <v>66</v>
      </c>
      <c r="G4" s="6" t="s">
        <v>102</v>
      </c>
      <c r="H4" s="6" t="s">
        <v>103</v>
      </c>
      <c r="I4" s="6" t="s">
        <v>105</v>
      </c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</row>
    <row r="5" spans="2:15" s="12" customFormat="1" ht="28.5" x14ac:dyDescent="0.25">
      <c r="B5" s="8" t="s">
        <v>96</v>
      </c>
      <c r="C5" s="13" t="s">
        <v>73</v>
      </c>
      <c r="D5" s="13" t="s">
        <v>74</v>
      </c>
      <c r="E5" s="10" t="s">
        <v>75</v>
      </c>
      <c r="F5" s="13" t="s">
        <v>76</v>
      </c>
      <c r="G5" s="7" t="s">
        <v>104</v>
      </c>
      <c r="H5" s="7" t="s">
        <v>104</v>
      </c>
      <c r="I5" s="7" t="s">
        <v>106</v>
      </c>
      <c r="J5" s="12">
        <v>1</v>
      </c>
      <c r="K5" s="12">
        <v>0.57999999999999996</v>
      </c>
      <c r="L5" s="12" t="s">
        <v>78</v>
      </c>
      <c r="M5" s="12" t="s">
        <v>85</v>
      </c>
      <c r="N5" s="12" t="s">
        <v>94</v>
      </c>
      <c r="O5" s="12" t="s">
        <v>95</v>
      </c>
    </row>
    <row r="6" spans="2:15" s="3" customFormat="1" ht="54" x14ac:dyDescent="0.25">
      <c r="B6" s="11" t="s">
        <v>97</v>
      </c>
      <c r="C6" s="7" t="s">
        <v>98</v>
      </c>
      <c r="D6" s="7" t="s">
        <v>100</v>
      </c>
      <c r="E6" s="10" t="s">
        <v>117</v>
      </c>
      <c r="F6" s="7" t="s">
        <v>99</v>
      </c>
      <c r="G6" s="7" t="s">
        <v>110</v>
      </c>
      <c r="H6" s="7" t="s">
        <v>111</v>
      </c>
      <c r="I6" s="7" t="s">
        <v>107</v>
      </c>
      <c r="J6" s="3">
        <v>6</v>
      </c>
      <c r="K6" s="3">
        <v>0.99</v>
      </c>
      <c r="L6" s="3" t="s">
        <v>79</v>
      </c>
      <c r="M6" s="3" t="s">
        <v>86</v>
      </c>
      <c r="N6" s="3" t="s">
        <v>91</v>
      </c>
      <c r="O6" s="3" t="s">
        <v>109</v>
      </c>
    </row>
    <row r="7" spans="2:15" s="3" customFormat="1" ht="55.5" x14ac:dyDescent="0.25">
      <c r="B7" s="16" t="s">
        <v>115</v>
      </c>
      <c r="C7" s="7" t="s">
        <v>101</v>
      </c>
      <c r="E7" s="9"/>
      <c r="H7" s="3" t="s">
        <v>112</v>
      </c>
      <c r="J7" s="3">
        <v>27</v>
      </c>
      <c r="K7" s="3">
        <v>0.09</v>
      </c>
      <c r="L7" s="3" t="s">
        <v>77</v>
      </c>
      <c r="M7" s="3" t="s">
        <v>87</v>
      </c>
      <c r="N7" s="3" t="s">
        <v>92</v>
      </c>
      <c r="O7" s="7" t="s">
        <v>114</v>
      </c>
    </row>
    <row r="8" spans="2:15" s="3" customFormat="1" x14ac:dyDescent="0.25">
      <c r="H8" s="7" t="s">
        <v>113</v>
      </c>
      <c r="I8" s="15"/>
      <c r="J8" s="3">
        <v>3</v>
      </c>
      <c r="K8" s="3">
        <v>0.23</v>
      </c>
      <c r="L8" s="3" t="s">
        <v>80</v>
      </c>
      <c r="M8" s="3" t="s">
        <v>88</v>
      </c>
      <c r="N8" s="3" t="s">
        <v>93</v>
      </c>
    </row>
    <row r="9" spans="2:15" s="3" customFormat="1" x14ac:dyDescent="0.25">
      <c r="H9" s="3" t="s">
        <v>116</v>
      </c>
      <c r="J9" s="3">
        <v>10</v>
      </c>
      <c r="K9" s="3">
        <v>0.03</v>
      </c>
      <c r="L9" s="3" t="s">
        <v>81</v>
      </c>
      <c r="M9" s="3" t="s">
        <v>89</v>
      </c>
    </row>
    <row r="10" spans="2:15" s="3" customFormat="1" x14ac:dyDescent="0.25">
      <c r="J10" s="3">
        <v>116</v>
      </c>
      <c r="K10" s="3">
        <v>1.45</v>
      </c>
      <c r="L10" s="3" t="s">
        <v>82</v>
      </c>
      <c r="M10" s="3" t="s">
        <v>90</v>
      </c>
    </row>
    <row r="11" spans="2:15" s="3" customFormat="1" x14ac:dyDescent="0.25">
      <c r="J11" s="3">
        <v>3</v>
      </c>
      <c r="L11" s="3" t="s">
        <v>83</v>
      </c>
    </row>
    <row r="12" spans="2:15" s="3" customFormat="1" x14ac:dyDescent="0.25">
      <c r="L12" s="3" t="s">
        <v>84</v>
      </c>
    </row>
    <row r="13" spans="2:15" s="3" customFormat="1" x14ac:dyDescent="0.25"/>
    <row r="14" spans="2:15" s="3" customFormat="1" x14ac:dyDescent="0.25"/>
    <row r="17" spans="1:20" x14ac:dyDescent="0.25">
      <c r="B17" t="s">
        <v>61</v>
      </c>
    </row>
    <row r="18" spans="1:20" x14ac:dyDescent="0.25">
      <c r="A18" s="2" t="s">
        <v>2</v>
      </c>
      <c r="B18" s="2" t="s">
        <v>1</v>
      </c>
      <c r="C18" s="2" t="s">
        <v>3</v>
      </c>
      <c r="D18" s="2" t="s">
        <v>0</v>
      </c>
      <c r="E18" s="2" t="s">
        <v>4</v>
      </c>
      <c r="F18" s="2" t="s">
        <v>5</v>
      </c>
      <c r="G18" s="2"/>
      <c r="H18" s="2"/>
      <c r="I18" s="2"/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2" t="s">
        <v>14</v>
      </c>
      <c r="Q18" s="2" t="s">
        <v>15</v>
      </c>
      <c r="R18" s="2" t="s">
        <v>16</v>
      </c>
      <c r="S18" s="2" t="s">
        <v>17</v>
      </c>
      <c r="T18" s="2"/>
    </row>
    <row r="19" spans="1:20" x14ac:dyDescent="0.25">
      <c r="A19" s="3"/>
      <c r="B19" s="3"/>
      <c r="C19" s="3" t="s">
        <v>27</v>
      </c>
      <c r="D19" s="4" t="s">
        <v>18</v>
      </c>
      <c r="E19" s="4" t="s">
        <v>19</v>
      </c>
      <c r="F19" s="3" t="s">
        <v>6</v>
      </c>
      <c r="G19" s="3"/>
      <c r="H19" s="3"/>
      <c r="I19" s="3"/>
      <c r="J19" s="4" t="s">
        <v>21</v>
      </c>
      <c r="K19" s="4" t="s">
        <v>20</v>
      </c>
      <c r="L19" s="3">
        <v>42</v>
      </c>
      <c r="M19" s="3">
        <v>12</v>
      </c>
      <c r="N19" s="4" t="s">
        <v>22</v>
      </c>
      <c r="O19" s="1" t="s">
        <v>23</v>
      </c>
      <c r="P19" s="1" t="s">
        <v>24</v>
      </c>
      <c r="Q19" s="1" t="s">
        <v>25</v>
      </c>
      <c r="R19" s="1" t="s">
        <v>26</v>
      </c>
      <c r="S19" s="1" t="s">
        <v>28</v>
      </c>
      <c r="T19" s="3"/>
    </row>
    <row r="20" spans="1:20" x14ac:dyDescent="0.25">
      <c r="A20" s="3"/>
      <c r="B20" s="3"/>
      <c r="C20" s="3"/>
      <c r="D20" s="1" t="s">
        <v>36</v>
      </c>
      <c r="E20" s="1" t="s">
        <v>29</v>
      </c>
      <c r="F20" s="3" t="s">
        <v>7</v>
      </c>
      <c r="G20" s="3"/>
      <c r="H20" s="3"/>
      <c r="I20" s="3"/>
      <c r="J20" s="1" t="s">
        <v>39</v>
      </c>
      <c r="K20" s="1" t="s">
        <v>30</v>
      </c>
      <c r="L20" s="5">
        <v>37</v>
      </c>
      <c r="M20" s="3">
        <v>9</v>
      </c>
      <c r="N20" s="1" t="s">
        <v>31</v>
      </c>
      <c r="O20" s="3"/>
      <c r="P20" s="3"/>
      <c r="Q20" s="1" t="s">
        <v>32</v>
      </c>
      <c r="R20" s="1" t="s">
        <v>33</v>
      </c>
      <c r="S20" s="1" t="s">
        <v>35</v>
      </c>
      <c r="T20" s="3"/>
    </row>
    <row r="21" spans="1:20" x14ac:dyDescent="0.25">
      <c r="A21" s="3"/>
      <c r="B21" s="3"/>
      <c r="C21" s="3"/>
      <c r="D21" s="3" t="s">
        <v>44</v>
      </c>
      <c r="E21" s="1" t="s">
        <v>34</v>
      </c>
      <c r="F21" s="3"/>
      <c r="G21" s="3"/>
      <c r="H21" s="3"/>
      <c r="I21" s="3"/>
      <c r="J21" s="1" t="s">
        <v>53</v>
      </c>
      <c r="K21" s="1" t="s">
        <v>38</v>
      </c>
      <c r="L21" s="3">
        <v>40</v>
      </c>
      <c r="M21" s="3">
        <v>13</v>
      </c>
      <c r="N21" s="3"/>
      <c r="O21" s="3"/>
      <c r="P21" s="3"/>
      <c r="Q21" s="1" t="s">
        <v>40</v>
      </c>
      <c r="R21" s="1" t="s">
        <v>41</v>
      </c>
      <c r="S21" s="1" t="s">
        <v>42</v>
      </c>
      <c r="T21" s="3"/>
    </row>
    <row r="22" spans="1:20" x14ac:dyDescent="0.25">
      <c r="A22" s="3"/>
      <c r="B22" s="3"/>
      <c r="C22" s="3"/>
      <c r="D22" s="1" t="s">
        <v>48</v>
      </c>
      <c r="E22" s="1" t="s">
        <v>37</v>
      </c>
      <c r="F22" s="3"/>
      <c r="G22" s="3"/>
      <c r="H22" s="3"/>
      <c r="I22" s="3"/>
      <c r="J22" s="3"/>
      <c r="K22" s="3"/>
      <c r="L22" s="3">
        <v>45</v>
      </c>
      <c r="M22" s="3">
        <v>15</v>
      </c>
      <c r="N22" s="3"/>
      <c r="O22" s="3"/>
      <c r="P22" s="3"/>
      <c r="Q22" s="1" t="s">
        <v>46</v>
      </c>
      <c r="R22" s="1" t="s">
        <v>58</v>
      </c>
      <c r="S22" s="1" t="s">
        <v>47</v>
      </c>
      <c r="T22" s="3"/>
    </row>
    <row r="23" spans="1:20" x14ac:dyDescent="0.25">
      <c r="A23" s="3"/>
      <c r="B23" s="3"/>
      <c r="C23" s="3"/>
      <c r="D23" s="1" t="s">
        <v>52</v>
      </c>
      <c r="E23" s="1" t="s">
        <v>43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" t="s">
        <v>54</v>
      </c>
      <c r="R23" s="3"/>
      <c r="S23" s="3"/>
      <c r="T23" s="3"/>
    </row>
    <row r="24" spans="1:20" x14ac:dyDescent="0.25">
      <c r="A24" s="3"/>
      <c r="B24" s="3"/>
      <c r="C24" s="3"/>
      <c r="D24" s="1" t="s">
        <v>55</v>
      </c>
      <c r="E24" s="1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"/>
      <c r="R24" s="3"/>
      <c r="S24" s="3"/>
      <c r="T24" s="3"/>
    </row>
    <row r="25" spans="1:20" x14ac:dyDescent="0.25">
      <c r="A25" s="3"/>
      <c r="B25" s="3"/>
      <c r="C25" s="3"/>
      <c r="D25" s="1" t="s">
        <v>57</v>
      </c>
      <c r="E25" s="1" t="s">
        <v>49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1" t="s">
        <v>59</v>
      </c>
      <c r="E26" s="1" t="s">
        <v>50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1" t="s">
        <v>51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1" t="s">
        <v>56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 t="s">
        <v>60</v>
      </c>
      <c r="B33" s="3" t="s">
        <v>60</v>
      </c>
      <c r="C33" s="3" t="s">
        <v>60</v>
      </c>
      <c r="D33" s="3" t="s">
        <v>60</v>
      </c>
      <c r="E33" s="3" t="s">
        <v>60</v>
      </c>
      <c r="F33" s="3" t="s">
        <v>60</v>
      </c>
      <c r="G33" s="3"/>
      <c r="H33" s="3"/>
      <c r="I33" s="3"/>
      <c r="J33" s="3" t="s">
        <v>60</v>
      </c>
      <c r="K33" s="3" t="s">
        <v>60</v>
      </c>
      <c r="L33" s="3" t="s">
        <v>60</v>
      </c>
      <c r="M33" s="3" t="s">
        <v>60</v>
      </c>
      <c r="N33" s="3" t="s">
        <v>60</v>
      </c>
      <c r="O33" s="3" t="s">
        <v>60</v>
      </c>
      <c r="P33" s="3" t="s">
        <v>60</v>
      </c>
      <c r="Q33" s="3" t="s">
        <v>60</v>
      </c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9" spans="1:20" x14ac:dyDescent="0.25">
      <c r="B39" t="s">
        <v>118</v>
      </c>
    </row>
    <row r="40" spans="1:20" x14ac:dyDescent="0.25">
      <c r="B40" t="s">
        <v>119</v>
      </c>
    </row>
    <row r="41" spans="1:20" x14ac:dyDescent="0.25">
      <c r="B41" t="s">
        <v>120</v>
      </c>
    </row>
    <row r="42" spans="1:20" x14ac:dyDescent="0.25">
      <c r="B42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L12" sqref="L12"/>
    </sheetView>
  </sheetViews>
  <sheetFormatPr defaultRowHeight="15" x14ac:dyDescent="0.25"/>
  <cols>
    <col min="1" max="1" width="24.28515625" customWidth="1"/>
    <col min="2" max="2" width="9.140625" customWidth="1"/>
    <col min="3" max="3" width="10" bestFit="1" customWidth="1"/>
    <col min="5" max="5" width="12.85546875" bestFit="1" customWidth="1"/>
    <col min="13" max="13" width="11.28515625" customWidth="1"/>
    <col min="14" max="14" width="14.7109375" customWidth="1"/>
    <col min="15" max="15" width="10.140625" customWidth="1"/>
    <col min="16" max="16" width="6.28515625" customWidth="1"/>
    <col min="17" max="17" width="12.7109375" customWidth="1"/>
    <col min="18" max="18" width="36.5703125" customWidth="1"/>
  </cols>
  <sheetData>
    <row r="1" spans="1:29" ht="15" customHeight="1" x14ac:dyDescent="0.25">
      <c r="R1" t="s">
        <v>147</v>
      </c>
      <c r="S1">
        <v>400</v>
      </c>
    </row>
    <row r="2" spans="1:29" ht="15" customHeight="1" x14ac:dyDescent="0.25">
      <c r="A2" s="6" t="s">
        <v>134</v>
      </c>
      <c r="B2" s="6">
        <v>1000000</v>
      </c>
      <c r="C2" s="6" t="s">
        <v>122</v>
      </c>
      <c r="D2" s="6">
        <v>31</v>
      </c>
      <c r="E2" s="6" t="s">
        <v>125</v>
      </c>
      <c r="R2" t="s">
        <v>149</v>
      </c>
      <c r="S2">
        <v>0</v>
      </c>
    </row>
    <row r="3" spans="1:29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R3" t="s">
        <v>150</v>
      </c>
      <c r="S3">
        <v>1</v>
      </c>
    </row>
    <row r="4" spans="1:29" ht="15" customHeight="1" x14ac:dyDescent="0.25">
      <c r="A4" s="6" t="s">
        <v>138</v>
      </c>
      <c r="B4" s="6">
        <f t="shared" ref="B4:B9" si="0">AVERAGE(D4:M4)</f>
        <v>1978.2</v>
      </c>
      <c r="C4" s="6" t="s">
        <v>132</v>
      </c>
      <c r="D4" s="6">
        <v>1802</v>
      </c>
      <c r="E4" s="6">
        <v>1823</v>
      </c>
      <c r="F4" s="6">
        <v>1883</v>
      </c>
      <c r="G4" s="6">
        <v>2008</v>
      </c>
      <c r="H4" s="6">
        <v>1976</v>
      </c>
      <c r="I4" s="6">
        <v>1954</v>
      </c>
      <c r="J4" s="6">
        <v>2143</v>
      </c>
      <c r="K4" s="6">
        <v>2095</v>
      </c>
      <c r="L4" s="6">
        <v>2178</v>
      </c>
      <c r="M4" s="6">
        <v>1920</v>
      </c>
      <c r="O4" s="23"/>
      <c r="P4" s="23"/>
      <c r="Q4" s="23"/>
      <c r="R4" s="23" t="s">
        <v>165</v>
      </c>
      <c r="S4" s="23" t="s">
        <v>166</v>
      </c>
      <c r="T4" s="23" t="s">
        <v>167</v>
      </c>
      <c r="U4" s="23" t="s">
        <v>168</v>
      </c>
      <c r="V4" s="23" t="s">
        <v>169</v>
      </c>
      <c r="W4" s="23" t="s">
        <v>170</v>
      </c>
      <c r="X4" s="23" t="s">
        <v>171</v>
      </c>
      <c r="Y4" s="23" t="s">
        <v>172</v>
      </c>
      <c r="Z4" s="23" t="s">
        <v>173</v>
      </c>
      <c r="AA4" s="23" t="s">
        <v>174</v>
      </c>
      <c r="AB4" s="23" t="s">
        <v>175</v>
      </c>
      <c r="AC4" s="23" t="s">
        <v>176</v>
      </c>
    </row>
    <row r="5" spans="1:29" ht="15" customHeight="1" x14ac:dyDescent="0.25">
      <c r="A5" s="18" t="s">
        <v>139</v>
      </c>
      <c r="B5" s="6">
        <f t="shared" si="0"/>
        <v>599.29999999999995</v>
      </c>
      <c r="C5" s="18" t="s">
        <v>132</v>
      </c>
      <c r="D5" s="6">
        <v>365</v>
      </c>
      <c r="E5" s="6">
        <v>422</v>
      </c>
      <c r="F5" s="6">
        <v>399</v>
      </c>
      <c r="G5" s="6">
        <v>440</v>
      </c>
      <c r="H5" s="6">
        <v>492</v>
      </c>
      <c r="I5" s="6">
        <v>513</v>
      </c>
      <c r="J5" s="6">
        <v>581</v>
      </c>
      <c r="K5" s="6">
        <v>673</v>
      </c>
      <c r="L5" s="6">
        <v>747</v>
      </c>
      <c r="M5" s="6">
        <v>1361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" customHeight="1" x14ac:dyDescent="0.25">
      <c r="A6" s="18" t="s">
        <v>140</v>
      </c>
      <c r="B6" s="6">
        <f t="shared" si="0"/>
        <v>547.70000000000005</v>
      </c>
      <c r="C6" s="18" t="s">
        <v>132</v>
      </c>
      <c r="D6" s="6">
        <v>458</v>
      </c>
      <c r="E6" s="6">
        <v>352</v>
      </c>
      <c r="F6" s="6">
        <v>396</v>
      </c>
      <c r="G6" s="6">
        <v>475</v>
      </c>
      <c r="H6" s="6">
        <v>434</v>
      </c>
      <c r="I6" s="6">
        <v>864</v>
      </c>
      <c r="J6" s="6">
        <v>617</v>
      </c>
      <c r="K6" s="6">
        <v>618</v>
      </c>
      <c r="L6" s="6">
        <v>612</v>
      </c>
      <c r="M6" s="6">
        <v>651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 ht="15" customHeight="1" x14ac:dyDescent="0.25">
      <c r="A7" s="6" t="s">
        <v>133</v>
      </c>
      <c r="B7" s="6">
        <f t="shared" si="0"/>
        <v>159.30000000000001</v>
      </c>
      <c r="C7" s="6" t="s">
        <v>132</v>
      </c>
      <c r="D7" s="6">
        <v>282</v>
      </c>
      <c r="E7" s="6">
        <v>128</v>
      </c>
      <c r="F7" s="6">
        <v>133</v>
      </c>
      <c r="G7" s="6">
        <v>128</v>
      </c>
      <c r="H7" s="6">
        <v>121</v>
      </c>
      <c r="I7" s="6">
        <v>150</v>
      </c>
      <c r="J7" s="6">
        <v>61</v>
      </c>
      <c r="K7" s="6">
        <v>234</v>
      </c>
      <c r="L7" s="6">
        <v>167</v>
      </c>
      <c r="M7" s="6">
        <v>189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ht="15" customHeight="1" x14ac:dyDescent="0.25">
      <c r="A8" s="6" t="s">
        <v>130</v>
      </c>
      <c r="B8" s="6">
        <f t="shared" si="0"/>
        <v>2159.1999999999998</v>
      </c>
      <c r="C8" s="19" t="s">
        <v>132</v>
      </c>
      <c r="D8" s="6">
        <v>2381</v>
      </c>
      <c r="E8" s="6">
        <v>2230</v>
      </c>
      <c r="F8" s="6">
        <v>2157</v>
      </c>
      <c r="G8" s="6">
        <v>2153</v>
      </c>
      <c r="H8" s="6">
        <v>2131</v>
      </c>
      <c r="I8" s="6">
        <v>2266</v>
      </c>
      <c r="J8" s="6">
        <v>2080</v>
      </c>
      <c r="K8" s="6">
        <v>2058</v>
      </c>
      <c r="L8" s="6">
        <v>2059</v>
      </c>
      <c r="M8" s="6">
        <v>2077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 ht="15" customHeight="1" x14ac:dyDescent="0.25">
      <c r="A9" s="6" t="s">
        <v>131</v>
      </c>
      <c r="B9" s="6">
        <f t="shared" si="0"/>
        <v>112.9</v>
      </c>
      <c r="C9" s="19" t="s">
        <v>132</v>
      </c>
      <c r="D9" s="6">
        <v>305</v>
      </c>
      <c r="E9" s="6">
        <v>81</v>
      </c>
      <c r="F9" s="6">
        <v>100</v>
      </c>
      <c r="G9" s="6">
        <v>106</v>
      </c>
      <c r="H9" s="6">
        <v>74</v>
      </c>
      <c r="I9" s="6">
        <v>81</v>
      </c>
      <c r="J9" s="6">
        <v>116</v>
      </c>
      <c r="K9" s="6">
        <v>68</v>
      </c>
      <c r="L9" s="6">
        <v>126</v>
      </c>
      <c r="M9" s="6">
        <v>72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 ht="15" customHeight="1" x14ac:dyDescent="0.25">
      <c r="A10" s="20"/>
      <c r="B10" s="20"/>
      <c r="C10" s="17"/>
      <c r="D10" s="20"/>
      <c r="E10" s="20"/>
      <c r="F10" s="20"/>
      <c r="G10" s="20"/>
      <c r="H10" s="20"/>
      <c r="I10" s="20"/>
      <c r="J10" s="20"/>
      <c r="K10" s="20"/>
      <c r="L10" s="20"/>
      <c r="M10" s="20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 ht="15" customHeight="1" x14ac:dyDescent="0.25">
      <c r="A11" s="6" t="s">
        <v>123</v>
      </c>
      <c r="B11" s="6">
        <v>1000000</v>
      </c>
      <c r="C11" s="6" t="s">
        <v>129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1:29" ht="15" customHeight="1" x14ac:dyDescent="0.25">
      <c r="A12" s="6" t="s">
        <v>137</v>
      </c>
      <c r="B12" s="6">
        <v>40</v>
      </c>
      <c r="C12" s="6" t="s">
        <v>129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29" ht="15" customHeight="1" x14ac:dyDescent="0.25">
      <c r="A13" s="6" t="s">
        <v>136</v>
      </c>
      <c r="B13" s="6">
        <v>1000</v>
      </c>
      <c r="C13" s="6" t="s">
        <v>129</v>
      </c>
      <c r="G13">
        <v>1024</v>
      </c>
      <c r="L13">
        <v>1000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29" ht="15" customHeight="1" x14ac:dyDescent="0.25">
      <c r="A14" s="6" t="s">
        <v>128</v>
      </c>
      <c r="B14" s="6">
        <v>3</v>
      </c>
      <c r="C14" s="6" t="s">
        <v>124</v>
      </c>
      <c r="L14">
        <f>(L13-1)*L13+1</f>
        <v>999001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ht="15" customHeight="1" x14ac:dyDescent="0.25">
      <c r="A15" s="20"/>
      <c r="B15" s="20"/>
      <c r="C15" s="20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ht="15" customHeight="1" x14ac:dyDescent="0.25">
      <c r="A16" s="6" t="s">
        <v>126</v>
      </c>
      <c r="B16" s="6">
        <v>40</v>
      </c>
      <c r="C16" s="6" t="s">
        <v>135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ht="15" customHeight="1" x14ac:dyDescent="0.25">
      <c r="A17" s="6" t="s">
        <v>127</v>
      </c>
      <c r="B17" s="6">
        <v>300</v>
      </c>
      <c r="C17" s="6" t="s">
        <v>135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ht="15" customHeight="1" x14ac:dyDescent="0.25">
      <c r="A18" s="6" t="s">
        <v>141</v>
      </c>
      <c r="B18" s="6">
        <v>10</v>
      </c>
      <c r="C18" s="6" t="s">
        <v>124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ht="15" customHeight="1" x14ac:dyDescent="0.25">
      <c r="H19">
        <f>62500*8</f>
        <v>500000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ht="15" customHeight="1" x14ac:dyDescent="0.25"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ht="15" customHeight="1" x14ac:dyDescent="0.25">
      <c r="F21" s="24" t="s">
        <v>183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ht="15" customHeight="1" x14ac:dyDescent="0.25">
      <c r="B22" t="s">
        <v>142</v>
      </c>
      <c r="C22" s="21" t="s">
        <v>143</v>
      </c>
      <c r="D22">
        <f>1/23*100</f>
        <v>4.3478260869565215</v>
      </c>
      <c r="K22" s="6" t="s">
        <v>2</v>
      </c>
      <c r="L22" s="6" t="s">
        <v>179</v>
      </c>
      <c r="M22" s="6" t="s">
        <v>182</v>
      </c>
      <c r="O22" s="6" t="s">
        <v>179</v>
      </c>
      <c r="P22" s="6" t="s">
        <v>178</v>
      </c>
      <c r="Q22" s="6" t="s">
        <v>180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ht="15" customHeight="1" x14ac:dyDescent="0.25">
      <c r="B23" t="s">
        <v>130</v>
      </c>
      <c r="C23" s="22" t="s">
        <v>144</v>
      </c>
      <c r="D23">
        <f>(1/23)*(2/5)*100</f>
        <v>1.7391304347826086</v>
      </c>
      <c r="K23" s="6">
        <v>1</v>
      </c>
      <c r="L23" s="6">
        <v>1</v>
      </c>
      <c r="M23" s="6">
        <v>1</v>
      </c>
      <c r="O23" s="6">
        <v>1</v>
      </c>
      <c r="P23" s="6">
        <v>10</v>
      </c>
      <c r="Q23" s="6" t="s">
        <v>181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" customHeight="1" x14ac:dyDescent="0.25">
      <c r="K24" s="6">
        <v>2</v>
      </c>
      <c r="L24" s="6">
        <v>1</v>
      </c>
      <c r="M24" s="6">
        <v>4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ht="15" customHeight="1" thickBot="1" x14ac:dyDescent="0.3">
      <c r="F25">
        <f>1024*1024</f>
        <v>1048576</v>
      </c>
      <c r="K25" s="6">
        <v>3</v>
      </c>
      <c r="L25" s="6">
        <v>1</v>
      </c>
      <c r="M25" s="6">
        <v>23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" customHeight="1" thickBot="1" x14ac:dyDescent="0.3">
      <c r="G26" s="25"/>
      <c r="K26" s="6">
        <v>4</v>
      </c>
      <c r="L26" s="6">
        <v>1</v>
      </c>
      <c r="M26" s="6">
        <v>43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" customHeight="1" x14ac:dyDescent="0.25">
      <c r="A27" t="s">
        <v>147</v>
      </c>
      <c r="B27">
        <v>40</v>
      </c>
      <c r="E27">
        <v>132120576</v>
      </c>
      <c r="F27">
        <f>E27/$F$25</f>
        <v>126</v>
      </c>
      <c r="G27" t="s">
        <v>184</v>
      </c>
      <c r="K27" s="6">
        <v>5</v>
      </c>
      <c r="L27" s="6">
        <v>1</v>
      </c>
      <c r="M27" s="6">
        <v>23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" customHeight="1" x14ac:dyDescent="0.25">
      <c r="A28" t="s">
        <v>149</v>
      </c>
      <c r="B28">
        <v>0</v>
      </c>
      <c r="E28" s="24">
        <v>132120576</v>
      </c>
      <c r="F28">
        <f>E28/$F$25</f>
        <v>126</v>
      </c>
      <c r="G28" t="s">
        <v>184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5">
      <c r="A29" t="s">
        <v>150</v>
      </c>
      <c r="B29">
        <v>1</v>
      </c>
      <c r="E29" s="26">
        <v>331350016</v>
      </c>
      <c r="F29">
        <f>E29/$F$25</f>
        <v>316</v>
      </c>
      <c r="G29" t="s">
        <v>184</v>
      </c>
      <c r="R29" s="23" t="s">
        <v>146</v>
      </c>
      <c r="S29" t="s">
        <v>164</v>
      </c>
    </row>
    <row r="30" spans="1:29" x14ac:dyDescent="0.25">
      <c r="A30" t="s">
        <v>146</v>
      </c>
      <c r="B30">
        <v>435</v>
      </c>
      <c r="E30">
        <v>2111832064</v>
      </c>
      <c r="F30">
        <f>E30/$F$25</f>
        <v>2014</v>
      </c>
      <c r="G30" t="s">
        <v>184</v>
      </c>
      <c r="R30" s="23" t="s">
        <v>177</v>
      </c>
      <c r="S30" s="23">
        <v>38</v>
      </c>
    </row>
    <row r="31" spans="1:29" x14ac:dyDescent="0.25">
      <c r="A31" t="s">
        <v>145</v>
      </c>
      <c r="B31">
        <v>33</v>
      </c>
      <c r="E31">
        <f>8192/1024</f>
        <v>8</v>
      </c>
      <c r="G31" t="s">
        <v>151</v>
      </c>
      <c r="H31" t="s">
        <v>152</v>
      </c>
      <c r="I31" t="s">
        <v>153</v>
      </c>
      <c r="J31" t="s">
        <v>154</v>
      </c>
      <c r="K31" t="s">
        <v>155</v>
      </c>
      <c r="L31" t="s">
        <v>156</v>
      </c>
      <c r="M31" t="s">
        <v>157</v>
      </c>
      <c r="N31" t="s">
        <v>158</v>
      </c>
      <c r="O31" t="s">
        <v>123</v>
      </c>
      <c r="P31" t="s">
        <v>159</v>
      </c>
      <c r="Q31" t="s">
        <v>160</v>
      </c>
      <c r="R31" t="s">
        <v>161</v>
      </c>
    </row>
    <row r="32" spans="1:29" x14ac:dyDescent="0.25">
      <c r="A32" t="s">
        <v>148</v>
      </c>
      <c r="B32">
        <v>0.5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2:18" x14ac:dyDescent="0.25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2:18" x14ac:dyDescent="0.25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7" spans="2:18" x14ac:dyDescent="0.25">
      <c r="B37" t="s">
        <v>162</v>
      </c>
      <c r="D37">
        <v>608</v>
      </c>
      <c r="E37">
        <f>(D37-C37)</f>
        <v>608</v>
      </c>
    </row>
    <row r="38" spans="2:18" x14ac:dyDescent="0.25">
      <c r="B38" t="s">
        <v>163</v>
      </c>
    </row>
    <row r="41" spans="2:18" x14ac:dyDescent="0.25">
      <c r="H41" t="s">
        <v>164</v>
      </c>
      <c r="J41">
        <f>1000009/8</f>
        <v>125001.125</v>
      </c>
    </row>
    <row r="42" spans="2:18" x14ac:dyDescent="0.25">
      <c r="D42">
        <f>58000000/F25</f>
        <v>55.3131103515625</v>
      </c>
    </row>
    <row r="43" spans="2:18" x14ac:dyDescent="0.25">
      <c r="D43">
        <f>60000000/F25</f>
        <v>57.220458984375</v>
      </c>
    </row>
    <row r="44" spans="2:18" x14ac:dyDescent="0.25">
      <c r="D44">
        <f>51000000/F25</f>
        <v>48.63739013671875</v>
      </c>
    </row>
    <row r="45" spans="2:18" x14ac:dyDescent="0.25">
      <c r="D45">
        <f>AVERAGE(D42:D44)</f>
        <v>53.723653157552086</v>
      </c>
      <c r="H45">
        <f>71-33</f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303"/>
  <sheetViews>
    <sheetView tabSelected="1" topLeftCell="D22" zoomScaleNormal="100" workbookViewId="0">
      <selection activeCell="K26" sqref="K26"/>
    </sheetView>
  </sheetViews>
  <sheetFormatPr defaultRowHeight="15" x14ac:dyDescent="0.25"/>
  <cols>
    <col min="1" max="1" width="23.5703125" customWidth="1"/>
    <col min="2" max="2" width="9.28515625" customWidth="1"/>
    <col min="14" max="14" width="11.28515625" customWidth="1"/>
    <col min="15" max="15" width="10.85546875" customWidth="1"/>
    <col min="17" max="17" width="10.140625" customWidth="1"/>
    <col min="19" max="19" width="11" bestFit="1" customWidth="1"/>
    <col min="20" max="20" width="10.140625" bestFit="1" customWidth="1"/>
    <col min="22" max="22" width="11" bestFit="1" customWidth="1"/>
    <col min="23" max="23" width="11.7109375" bestFit="1" customWidth="1"/>
    <col min="24" max="24" width="10.140625" bestFit="1" customWidth="1"/>
  </cols>
  <sheetData>
    <row r="2" spans="1:23" x14ac:dyDescent="0.25">
      <c r="A2" s="122" t="s">
        <v>214</v>
      </c>
      <c r="B2" s="122"/>
      <c r="C2" s="122"/>
      <c r="D2" s="122"/>
      <c r="E2" s="122"/>
      <c r="G2" s="115" t="s">
        <v>224</v>
      </c>
      <c r="H2" s="115"/>
    </row>
    <row r="3" spans="1:23" x14ac:dyDescent="0.25">
      <c r="A3" s="6" t="s">
        <v>209</v>
      </c>
      <c r="B3" s="122" t="s">
        <v>210</v>
      </c>
      <c r="C3" s="122"/>
      <c r="D3" s="122"/>
      <c r="E3" s="122"/>
      <c r="G3" s="104" t="s">
        <v>232</v>
      </c>
      <c r="H3" s="104">
        <v>1</v>
      </c>
    </row>
    <row r="4" spans="1:23" x14ac:dyDescent="0.25">
      <c r="A4" s="6" t="s">
        <v>146</v>
      </c>
      <c r="B4" s="122" t="s">
        <v>211</v>
      </c>
      <c r="C4" s="122"/>
      <c r="D4" s="122"/>
      <c r="E4" s="122"/>
      <c r="G4" s="104" t="s">
        <v>231</v>
      </c>
      <c r="H4" s="104">
        <v>34</v>
      </c>
    </row>
    <row r="5" spans="1:23" x14ac:dyDescent="0.25">
      <c r="A5" s="6" t="s">
        <v>208</v>
      </c>
      <c r="B5" s="123" t="s">
        <v>215</v>
      </c>
      <c r="C5" s="123"/>
      <c r="D5" s="123"/>
      <c r="E5" s="123"/>
      <c r="G5" s="104" t="s">
        <v>226</v>
      </c>
      <c r="H5" s="104" t="s">
        <v>225</v>
      </c>
    </row>
    <row r="6" spans="1:23" x14ac:dyDescent="0.25">
      <c r="A6" s="6" t="s">
        <v>212</v>
      </c>
      <c r="B6" s="122" t="s">
        <v>213</v>
      </c>
      <c r="C6" s="122"/>
      <c r="D6" s="122"/>
      <c r="E6" s="122"/>
    </row>
    <row r="7" spans="1:23" x14ac:dyDescent="0.25">
      <c r="A7" s="6" t="s">
        <v>251</v>
      </c>
      <c r="B7" s="122" t="s">
        <v>252</v>
      </c>
      <c r="C7" s="122"/>
      <c r="D7" s="122"/>
      <c r="E7" s="122"/>
    </row>
    <row r="8" spans="1:23" x14ac:dyDescent="0.25">
      <c r="A8" s="20"/>
      <c r="B8" s="136"/>
      <c r="C8" s="136"/>
      <c r="D8" s="136"/>
      <c r="E8" s="136"/>
    </row>
    <row r="11" spans="1:23" x14ac:dyDescent="0.25">
      <c r="A11" s="121" t="s">
        <v>248</v>
      </c>
      <c r="B11" s="129" t="s">
        <v>246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</row>
    <row r="12" spans="1:23" ht="15" customHeight="1" x14ac:dyDescent="0.25">
      <c r="A12" s="121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</row>
    <row r="14" spans="1:23" x14ac:dyDescent="0.25"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pans="1:23" x14ac:dyDescent="0.25">
      <c r="A15" s="6"/>
      <c r="B15" s="2" t="s">
        <v>192</v>
      </c>
      <c r="C15" s="2" t="s">
        <v>167</v>
      </c>
      <c r="D15" s="2" t="s">
        <v>193</v>
      </c>
      <c r="E15" s="2" t="s">
        <v>194</v>
      </c>
      <c r="F15" s="2" t="s">
        <v>195</v>
      </c>
      <c r="G15" s="2" t="s">
        <v>196</v>
      </c>
      <c r="H15" s="2" t="s">
        <v>197</v>
      </c>
      <c r="I15" s="2" t="s">
        <v>198</v>
      </c>
      <c r="J15" s="2" t="s">
        <v>199</v>
      </c>
      <c r="K15" s="2" t="s">
        <v>200</v>
      </c>
      <c r="L15" s="2" t="s">
        <v>201</v>
      </c>
      <c r="M15" s="2" t="s">
        <v>202</v>
      </c>
      <c r="N15" s="2" t="s">
        <v>203</v>
      </c>
      <c r="O15" s="2" t="s">
        <v>204</v>
      </c>
      <c r="P15" s="2" t="s">
        <v>205</v>
      </c>
      <c r="Q15" s="2" t="s">
        <v>206</v>
      </c>
      <c r="R15" s="2" t="s">
        <v>207</v>
      </c>
    </row>
    <row r="16" spans="1:23" x14ac:dyDescent="0.25">
      <c r="A16" s="34" t="s">
        <v>187</v>
      </c>
      <c r="B16" s="31" t="s">
        <v>132</v>
      </c>
      <c r="C16" s="60">
        <f t="shared" ref="C16:C22" si="0">AVERAGE(D16:R16)</f>
        <v>413.14464000000004</v>
      </c>
      <c r="D16" s="61">
        <v>113.851</v>
      </c>
      <c r="E16" s="61">
        <v>251.27860000000001</v>
      </c>
      <c r="F16" s="61">
        <v>219.34</v>
      </c>
      <c r="G16" s="61">
        <v>289.73</v>
      </c>
      <c r="H16" s="61">
        <v>288.14</v>
      </c>
      <c r="I16" s="61">
        <v>340.33</v>
      </c>
      <c r="J16" s="61">
        <v>394.93</v>
      </c>
      <c r="K16" s="61">
        <v>396.35</v>
      </c>
      <c r="L16" s="61">
        <v>442.14</v>
      </c>
      <c r="M16" s="61">
        <v>500.11</v>
      </c>
      <c r="N16" s="61">
        <v>524.77</v>
      </c>
      <c r="O16" s="61">
        <v>568.05999999999995</v>
      </c>
      <c r="P16" s="61">
        <v>599.04</v>
      </c>
      <c r="Q16" s="61">
        <v>624.46</v>
      </c>
      <c r="R16" s="61">
        <v>644.64</v>
      </c>
    </row>
    <row r="17" spans="1:63" x14ac:dyDescent="0.25">
      <c r="A17" s="37" t="s">
        <v>188</v>
      </c>
      <c r="B17" s="28" t="s">
        <v>132</v>
      </c>
      <c r="C17" s="62">
        <f t="shared" si="0"/>
        <v>448.80933333333343</v>
      </c>
      <c r="D17" s="63">
        <v>62.64</v>
      </c>
      <c r="E17" s="63">
        <v>169.3</v>
      </c>
      <c r="F17" s="63">
        <v>226.59</v>
      </c>
      <c r="G17" s="63">
        <v>248.91</v>
      </c>
      <c r="H17" s="63">
        <v>309.3</v>
      </c>
      <c r="I17" s="63">
        <v>367.67</v>
      </c>
      <c r="J17" s="63">
        <v>392.66</v>
      </c>
      <c r="K17" s="63">
        <v>457.3</v>
      </c>
      <c r="L17" s="63">
        <v>511.32</v>
      </c>
      <c r="M17" s="63">
        <v>556.04999999999995</v>
      </c>
      <c r="N17" s="63">
        <v>618.12</v>
      </c>
      <c r="O17" s="63">
        <v>614.84</v>
      </c>
      <c r="P17" s="63">
        <v>661.88</v>
      </c>
      <c r="Q17" s="63">
        <v>760.34</v>
      </c>
      <c r="R17" s="63">
        <v>775.22</v>
      </c>
    </row>
    <row r="18" spans="1:63" x14ac:dyDescent="0.25">
      <c r="A18" s="35" t="s">
        <v>189</v>
      </c>
      <c r="B18" s="36" t="s">
        <v>132</v>
      </c>
      <c r="C18" s="64">
        <f t="shared" si="0"/>
        <v>425.41066666666671</v>
      </c>
      <c r="D18" s="65">
        <v>55.62</v>
      </c>
      <c r="E18" s="65">
        <v>155.32</v>
      </c>
      <c r="F18" s="65">
        <v>194.92</v>
      </c>
      <c r="G18" s="65">
        <v>246.27</v>
      </c>
      <c r="H18" s="65">
        <v>287.33</v>
      </c>
      <c r="I18" s="65">
        <v>341.39</v>
      </c>
      <c r="J18" s="65">
        <v>414.47</v>
      </c>
      <c r="K18" s="65">
        <v>423.79</v>
      </c>
      <c r="L18" s="65">
        <v>488.28</v>
      </c>
      <c r="M18" s="65">
        <v>500.86</v>
      </c>
      <c r="N18" s="65">
        <v>542.75</v>
      </c>
      <c r="O18" s="65">
        <v>621.54</v>
      </c>
      <c r="P18" s="65">
        <v>647.01</v>
      </c>
      <c r="Q18" s="65">
        <v>697.37</v>
      </c>
      <c r="R18" s="65">
        <v>764.24</v>
      </c>
    </row>
    <row r="19" spans="1:63" x14ac:dyDescent="0.25">
      <c r="A19" s="38" t="s">
        <v>190</v>
      </c>
      <c r="B19" s="30" t="s">
        <v>132</v>
      </c>
      <c r="C19" s="66">
        <f t="shared" si="0"/>
        <v>965.69399999999996</v>
      </c>
      <c r="D19" s="43">
        <v>1285.55</v>
      </c>
      <c r="E19" s="43">
        <v>760.91</v>
      </c>
      <c r="F19" s="43">
        <v>664.92</v>
      </c>
      <c r="G19" s="43">
        <v>478.25</v>
      </c>
      <c r="H19" s="43">
        <v>673.29</v>
      </c>
      <c r="I19" s="43">
        <v>665.45</v>
      </c>
      <c r="J19" s="43">
        <v>1376.24</v>
      </c>
      <c r="K19" s="43">
        <v>659.91</v>
      </c>
      <c r="L19" s="43">
        <v>955.73</v>
      </c>
      <c r="M19" s="43">
        <v>954.24</v>
      </c>
      <c r="N19" s="43">
        <v>978.26</v>
      </c>
      <c r="O19" s="43">
        <v>952.01</v>
      </c>
      <c r="P19" s="43">
        <v>1323.68</v>
      </c>
      <c r="Q19" s="43">
        <v>1403.55</v>
      </c>
      <c r="R19" s="43">
        <v>1353.42</v>
      </c>
    </row>
    <row r="20" spans="1:63" x14ac:dyDescent="0.25">
      <c r="A20" s="39" t="s">
        <v>186</v>
      </c>
      <c r="B20" s="40" t="s">
        <v>132</v>
      </c>
      <c r="C20" s="67">
        <f t="shared" si="0"/>
        <v>85.539333333333332</v>
      </c>
      <c r="D20" s="68">
        <v>270.64</v>
      </c>
      <c r="E20" s="68">
        <v>44.494999999999997</v>
      </c>
      <c r="F20" s="68">
        <v>40.700000000000003</v>
      </c>
      <c r="G20" s="68">
        <v>58.84</v>
      </c>
      <c r="H20" s="68">
        <v>57.685000000000002</v>
      </c>
      <c r="I20" s="68">
        <v>55.08</v>
      </c>
      <c r="J20" s="68">
        <v>235.215</v>
      </c>
      <c r="K20" s="68">
        <v>50.884999999999998</v>
      </c>
      <c r="L20" s="68">
        <v>41.545000000000002</v>
      </c>
      <c r="M20" s="68">
        <v>51.034999999999997</v>
      </c>
      <c r="N20" s="68">
        <v>38.445</v>
      </c>
      <c r="O20" s="68">
        <v>158.9</v>
      </c>
      <c r="P20" s="68">
        <v>79.665000000000006</v>
      </c>
      <c r="Q20" s="68">
        <v>44.48</v>
      </c>
      <c r="R20" s="68">
        <v>55.48</v>
      </c>
    </row>
    <row r="21" spans="1:63" x14ac:dyDescent="0.25">
      <c r="A21" s="6" t="s">
        <v>185</v>
      </c>
      <c r="B21" s="2" t="s">
        <v>132</v>
      </c>
      <c r="C21" s="69">
        <f t="shared" si="0"/>
        <v>77.831666666666649</v>
      </c>
      <c r="D21" s="70">
        <v>392.54500000000002</v>
      </c>
      <c r="E21" s="70">
        <v>38.575000000000003</v>
      </c>
      <c r="F21" s="70">
        <v>53.8</v>
      </c>
      <c r="G21" s="70">
        <v>85.81</v>
      </c>
      <c r="H21" s="70">
        <v>54.55</v>
      </c>
      <c r="I21" s="70">
        <v>56.32</v>
      </c>
      <c r="J21" s="70">
        <v>89.555000000000007</v>
      </c>
      <c r="K21" s="70">
        <v>57.445</v>
      </c>
      <c r="L21" s="70">
        <v>46.19</v>
      </c>
      <c r="M21" s="70">
        <v>36.729999999999997</v>
      </c>
      <c r="N21" s="70">
        <v>37.31</v>
      </c>
      <c r="O21" s="70">
        <v>50.784999999999997</v>
      </c>
      <c r="P21" s="70">
        <v>59</v>
      </c>
      <c r="Q21" s="70">
        <v>60.02</v>
      </c>
      <c r="R21" s="70">
        <v>48.84</v>
      </c>
    </row>
    <row r="22" spans="1:63" x14ac:dyDescent="0.25">
      <c r="A22" s="41" t="s">
        <v>191</v>
      </c>
      <c r="B22" s="42" t="s">
        <v>132</v>
      </c>
      <c r="C22" s="71">
        <f t="shared" si="0"/>
        <v>57.243666666666662</v>
      </c>
      <c r="D22" s="72">
        <v>120.22499999999999</v>
      </c>
      <c r="E22" s="72">
        <v>58.984999999999999</v>
      </c>
      <c r="F22" s="72">
        <v>39.645000000000003</v>
      </c>
      <c r="G22" s="72">
        <v>40.414999999999999</v>
      </c>
      <c r="H22" s="72">
        <v>48.594999999999999</v>
      </c>
      <c r="I22" s="72">
        <v>35.89</v>
      </c>
      <c r="J22" s="72">
        <v>103.44</v>
      </c>
      <c r="K22" s="72">
        <v>56.6</v>
      </c>
      <c r="L22" s="72">
        <v>45.405000000000001</v>
      </c>
      <c r="M22" s="72">
        <v>67.77</v>
      </c>
      <c r="N22" s="72">
        <v>51.395000000000003</v>
      </c>
      <c r="O22" s="72">
        <v>36.950000000000003</v>
      </c>
      <c r="P22" s="72">
        <v>35.01</v>
      </c>
      <c r="Q22" s="72">
        <v>64.400000000000006</v>
      </c>
      <c r="R22" s="72">
        <v>53.93</v>
      </c>
    </row>
    <row r="24" spans="1:63" x14ac:dyDescent="0.25">
      <c r="B24" s="52"/>
      <c r="C24" s="52"/>
      <c r="D24" s="52"/>
      <c r="E24" s="52"/>
      <c r="F24" s="52" t="s">
        <v>230</v>
      </c>
      <c r="G24" s="52"/>
      <c r="H24" s="52"/>
      <c r="I24" s="52"/>
      <c r="J24" s="52"/>
      <c r="K24" s="52"/>
      <c r="L24" s="52"/>
      <c r="M24" s="53"/>
      <c r="N24" s="53"/>
      <c r="O24" s="52"/>
      <c r="P24" s="52" t="s">
        <v>230</v>
      </c>
      <c r="Q24" s="93" t="e">
        <f>AVERAGE(R24:AA24)</f>
        <v>#DIV/0!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5"/>
      <c r="BJ24" s="55"/>
      <c r="BK24" s="27"/>
    </row>
    <row r="25" spans="1:63" x14ac:dyDescent="0.25">
      <c r="B25" s="52"/>
      <c r="C25" s="52"/>
      <c r="D25" s="52"/>
      <c r="E25" s="52"/>
      <c r="F25" s="52" t="s">
        <v>162</v>
      </c>
      <c r="G25" s="52"/>
      <c r="H25" s="52"/>
      <c r="I25" s="52"/>
      <c r="J25" s="52"/>
      <c r="K25" s="52"/>
      <c r="L25" s="52"/>
      <c r="M25" s="53"/>
      <c r="N25" s="53"/>
      <c r="O25" s="52"/>
      <c r="P25" s="52" t="s">
        <v>162</v>
      </c>
      <c r="Q25" s="93">
        <f t="shared" ref="Q25:Q26" si="1">AVERAGE(R25:AA25)</f>
        <v>1209.5999999999999</v>
      </c>
      <c r="R25">
        <v>1215</v>
      </c>
      <c r="S25">
        <v>1199</v>
      </c>
      <c r="T25">
        <v>1055</v>
      </c>
      <c r="U25">
        <v>1272</v>
      </c>
      <c r="V25">
        <v>1307</v>
      </c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5"/>
      <c r="BJ25" s="55"/>
      <c r="BK25" s="27"/>
    </row>
    <row r="26" spans="1:63" x14ac:dyDescent="0.25">
      <c r="B26" s="52"/>
      <c r="C26" s="52"/>
      <c r="D26" s="52"/>
      <c r="E26" s="52"/>
      <c r="F26" s="52" t="s">
        <v>163</v>
      </c>
      <c r="G26" s="52"/>
      <c r="H26" s="52"/>
      <c r="I26" s="52"/>
      <c r="J26" s="52">
        <f>332800*2</f>
        <v>665600</v>
      </c>
      <c r="K26" s="52"/>
      <c r="L26" s="52"/>
      <c r="M26" s="53"/>
      <c r="N26" s="53"/>
      <c r="O26" s="52"/>
      <c r="P26" s="52" t="s">
        <v>163</v>
      </c>
      <c r="Q26" s="106" t="e">
        <f t="shared" si="1"/>
        <v>#DIV/0!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5"/>
      <c r="BJ26" s="55"/>
      <c r="BK26" s="27"/>
    </row>
    <row r="27" spans="1:63" x14ac:dyDescent="0.25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3"/>
      <c r="N27" s="53"/>
      <c r="O27" s="79"/>
      <c r="P27" s="52"/>
      <c r="Q27" s="54"/>
      <c r="R27" s="52"/>
      <c r="S27" s="52"/>
      <c r="T27" s="52"/>
      <c r="U27" s="52"/>
      <c r="V27" s="99">
        <f>(V29-V28)*X28</f>
        <v>1307.9127725856697</v>
      </c>
      <c r="W27" s="52"/>
      <c r="X27" s="52">
        <v>1024</v>
      </c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5"/>
      <c r="BJ27" s="55"/>
      <c r="BK27" s="27"/>
    </row>
    <row r="28" spans="1:63" x14ac:dyDescent="0.25">
      <c r="B28" s="52"/>
      <c r="C28" s="52"/>
      <c r="D28" s="52">
        <f>999999-814396</f>
        <v>185603</v>
      </c>
      <c r="E28" s="52"/>
      <c r="F28" s="52"/>
      <c r="G28" s="52"/>
      <c r="H28" s="52"/>
      <c r="I28" s="52"/>
      <c r="J28" s="52"/>
      <c r="K28" s="52"/>
      <c r="L28" s="52"/>
      <c r="M28" s="53"/>
      <c r="N28" s="53"/>
      <c r="O28" s="52"/>
      <c r="P28" s="52"/>
      <c r="Q28" s="54"/>
      <c r="R28" s="52"/>
      <c r="S28" s="52"/>
      <c r="T28" s="52"/>
      <c r="U28" s="52"/>
      <c r="V28" s="52">
        <v>354</v>
      </c>
      <c r="W28" s="52">
        <v>443</v>
      </c>
      <c r="X28" s="52">
        <f>X27/X29</f>
        <v>3.190031152647975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5"/>
      <c r="BJ28" s="55"/>
      <c r="BK28" s="27"/>
    </row>
    <row r="29" spans="1:63" x14ac:dyDescent="0.25">
      <c r="B29" s="52"/>
      <c r="C29" s="52"/>
      <c r="D29" s="52">
        <f>D28/1300</f>
        <v>142.77153846153846</v>
      </c>
      <c r="E29" s="52">
        <f>D28-142*1300</f>
        <v>1003</v>
      </c>
      <c r="F29" s="52"/>
      <c r="G29" s="52"/>
      <c r="H29" s="52"/>
      <c r="I29" s="52"/>
      <c r="J29" s="52"/>
      <c r="K29" s="52"/>
      <c r="L29" s="52"/>
      <c r="M29" s="53"/>
      <c r="N29" s="53"/>
      <c r="O29" s="52"/>
      <c r="P29" s="52"/>
      <c r="Q29" s="54">
        <v>0.37083333333333335</v>
      </c>
      <c r="R29" s="52"/>
      <c r="S29" s="52"/>
      <c r="T29" s="52"/>
      <c r="U29" s="52">
        <f>V29-V28</f>
        <v>410</v>
      </c>
      <c r="V29" s="52">
        <f>W29</f>
        <v>764</v>
      </c>
      <c r="W29" s="52">
        <v>764</v>
      </c>
      <c r="X29" s="52">
        <f>W29-W28</f>
        <v>321</v>
      </c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5"/>
      <c r="BJ29" s="55"/>
      <c r="BK29" s="27"/>
    </row>
    <row r="30" spans="1:63" x14ac:dyDescent="0.25">
      <c r="B30" s="51"/>
      <c r="C30" s="51"/>
      <c r="D30" s="51"/>
      <c r="E30" s="51"/>
      <c r="F30" s="51"/>
      <c r="G30" s="52"/>
      <c r="H30" s="52"/>
      <c r="I30" s="52"/>
      <c r="J30" s="52"/>
      <c r="K30" s="52"/>
      <c r="L30" s="52"/>
      <c r="M30" s="53"/>
      <c r="N30" s="53">
        <v>16.3</v>
      </c>
      <c r="O30" s="52"/>
      <c r="P30" s="52"/>
      <c r="Q30" s="54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5"/>
      <c r="BJ30" s="27"/>
      <c r="BK30" s="27"/>
    </row>
    <row r="31" spans="1:63" x14ac:dyDescent="0.2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U31" s="52"/>
      <c r="V31" s="119" t="s">
        <v>234</v>
      </c>
      <c r="W31" s="119"/>
      <c r="X31" s="119"/>
      <c r="Y31" s="119"/>
      <c r="Z31" s="119"/>
      <c r="AA31" s="119" t="s">
        <v>235</v>
      </c>
      <c r="AB31" s="119"/>
      <c r="AC31" s="119"/>
      <c r="AD31" s="119"/>
      <c r="AE31" s="119"/>
      <c r="AF31" s="119" t="s">
        <v>236</v>
      </c>
      <c r="AG31" s="119"/>
      <c r="AH31" s="119"/>
      <c r="AI31" s="119"/>
      <c r="AJ31" s="119"/>
      <c r="AK31" s="119" t="s">
        <v>237</v>
      </c>
      <c r="AL31" s="119"/>
      <c r="AM31" s="119"/>
      <c r="AN31" s="119"/>
      <c r="AO31" s="119"/>
      <c r="AP31" s="119" t="s">
        <v>238</v>
      </c>
      <c r="AQ31" s="119"/>
      <c r="AR31" s="119"/>
      <c r="AS31" s="119"/>
      <c r="AT31" s="119"/>
      <c r="AU31" s="119" t="s">
        <v>239</v>
      </c>
      <c r="AV31" s="119"/>
      <c r="AW31" s="119"/>
      <c r="AX31" s="119"/>
      <c r="AY31" s="119"/>
    </row>
    <row r="32" spans="1:63" x14ac:dyDescent="0.25">
      <c r="B32" s="115" t="s">
        <v>219</v>
      </c>
      <c r="C32" s="115"/>
      <c r="D32" s="96"/>
      <c r="E32" s="115" t="s">
        <v>228</v>
      </c>
      <c r="F32" s="115"/>
      <c r="G32" s="115" t="s">
        <v>217</v>
      </c>
      <c r="H32" s="115"/>
      <c r="I32" s="115"/>
      <c r="J32" s="115"/>
      <c r="K32" s="124" t="s">
        <v>227</v>
      </c>
      <c r="L32" s="125"/>
      <c r="M32" s="126" t="s">
        <v>218</v>
      </c>
      <c r="N32" s="126"/>
      <c r="O32" s="28" t="s">
        <v>243</v>
      </c>
      <c r="P32" s="90" t="s">
        <v>242</v>
      </c>
      <c r="Q32" s="29" t="s">
        <v>240</v>
      </c>
      <c r="R32" s="30" t="s">
        <v>241</v>
      </c>
      <c r="S32" s="33" t="s">
        <v>244</v>
      </c>
      <c r="T32" s="96" t="s">
        <v>245</v>
      </c>
      <c r="U32" s="32" t="s">
        <v>177</v>
      </c>
      <c r="V32" s="97" t="s">
        <v>222</v>
      </c>
      <c r="W32" s="28" t="s">
        <v>223</v>
      </c>
      <c r="X32" s="90">
        <v>0.9</v>
      </c>
      <c r="Y32" s="29" t="s">
        <v>158</v>
      </c>
      <c r="Z32" s="30" t="s">
        <v>123</v>
      </c>
      <c r="AA32" s="97" t="s">
        <v>222</v>
      </c>
      <c r="AB32" s="28" t="s">
        <v>223</v>
      </c>
      <c r="AC32" s="90">
        <v>0.9</v>
      </c>
      <c r="AD32" s="29" t="s">
        <v>158</v>
      </c>
      <c r="AE32" s="30" t="s">
        <v>123</v>
      </c>
      <c r="AF32" s="97" t="s">
        <v>222</v>
      </c>
      <c r="AG32" s="28" t="s">
        <v>223</v>
      </c>
      <c r="AH32" s="90">
        <v>0.9</v>
      </c>
      <c r="AI32" s="29" t="s">
        <v>158</v>
      </c>
      <c r="AJ32" s="30" t="s">
        <v>123</v>
      </c>
      <c r="AK32" s="97" t="s">
        <v>222</v>
      </c>
      <c r="AL32" s="28" t="s">
        <v>223</v>
      </c>
      <c r="AM32" s="90">
        <v>0.9</v>
      </c>
      <c r="AN32" s="29" t="s">
        <v>158</v>
      </c>
      <c r="AO32" s="30" t="s">
        <v>123</v>
      </c>
      <c r="AP32" s="97" t="s">
        <v>222</v>
      </c>
      <c r="AQ32" s="28" t="s">
        <v>223</v>
      </c>
      <c r="AR32" s="90">
        <v>0.9</v>
      </c>
      <c r="AS32" s="29" t="s">
        <v>158</v>
      </c>
      <c r="AT32" s="30" t="s">
        <v>123</v>
      </c>
      <c r="AU32" s="97" t="s">
        <v>222</v>
      </c>
      <c r="AV32" s="28" t="s">
        <v>223</v>
      </c>
      <c r="AW32" s="90">
        <v>0.9</v>
      </c>
      <c r="AX32" s="29" t="s">
        <v>158</v>
      </c>
      <c r="AY32" s="30" t="s">
        <v>123</v>
      </c>
    </row>
    <row r="33" spans="2:72" s="50" customFormat="1" x14ac:dyDescent="0.25">
      <c r="B33" s="130" t="s">
        <v>220</v>
      </c>
      <c r="C33" s="131"/>
      <c r="D33" s="94"/>
      <c r="E33" s="112">
        <v>1</v>
      </c>
      <c r="F33" s="112"/>
      <c r="G33" s="112">
        <f>E33*60</f>
        <v>60</v>
      </c>
      <c r="H33" s="112"/>
      <c r="I33" s="112"/>
      <c r="J33" s="112"/>
      <c r="K33" s="116">
        <f>AVERAGE(V33,AA33,AF33,AK33,AP33,AU33)</f>
        <v>0.15638888888888888</v>
      </c>
      <c r="L33" s="117"/>
      <c r="M33" s="118">
        <f>K33*60</f>
        <v>9.3833333333333329</v>
      </c>
      <c r="N33" s="118"/>
      <c r="O33" s="77">
        <f>AVERAGE(W33,AB33,AG33,AL33,AQ33,AV33)/1000</f>
        <v>0.64349999999999996</v>
      </c>
      <c r="P33" s="91">
        <f t="shared" ref="P33:R46" si="2">AVERAGE(X33,AC33,AH33,AM33,AR33,AW33)/1000</f>
        <v>1.0791666666666668</v>
      </c>
      <c r="Q33" s="98">
        <f>AVERAGE(Y33,AD33,AI33,AN33,AS33,AX33)</f>
        <v>30.666666666666668</v>
      </c>
      <c r="R33" s="78">
        <f t="shared" si="2"/>
        <v>1.8493333333333333</v>
      </c>
      <c r="S33" s="46">
        <v>4.8</v>
      </c>
      <c r="T33" s="94">
        <v>353</v>
      </c>
      <c r="U33" s="47">
        <v>51</v>
      </c>
      <c r="V33" s="48">
        <f>7.6/60</f>
        <v>0.12666666666666665</v>
      </c>
      <c r="W33" s="44">
        <v>1824</v>
      </c>
      <c r="X33" s="92">
        <v>2794</v>
      </c>
      <c r="Y33" s="45">
        <v>137</v>
      </c>
      <c r="Z33" s="49">
        <v>4818</v>
      </c>
      <c r="AA33" s="48">
        <f>9.3/60</f>
        <v>0.155</v>
      </c>
      <c r="AB33" s="44">
        <v>545</v>
      </c>
      <c r="AC33" s="92">
        <v>513</v>
      </c>
      <c r="AD33" s="45">
        <v>12</v>
      </c>
      <c r="AE33" s="49">
        <v>2271</v>
      </c>
      <c r="AF33" s="48">
        <f>10.4/60</f>
        <v>0.17333333333333334</v>
      </c>
      <c r="AG33" s="44">
        <v>347</v>
      </c>
      <c r="AH33" s="92">
        <v>489</v>
      </c>
      <c r="AI33" s="45">
        <v>16</v>
      </c>
      <c r="AJ33" s="49">
        <v>498</v>
      </c>
      <c r="AK33" s="48">
        <f>9.1/60</f>
        <v>0.15166666666666667</v>
      </c>
      <c r="AL33" s="44">
        <v>594</v>
      </c>
      <c r="AM33" s="92">
        <v>1705</v>
      </c>
      <c r="AN33" s="45">
        <v>8</v>
      </c>
      <c r="AO33" s="49">
        <v>2224</v>
      </c>
      <c r="AP33" s="48">
        <f>9.9/60</f>
        <v>0.16500000000000001</v>
      </c>
      <c r="AQ33" s="44">
        <v>224</v>
      </c>
      <c r="AR33" s="92">
        <v>487</v>
      </c>
      <c r="AS33" s="45">
        <v>5</v>
      </c>
      <c r="AT33" s="49">
        <v>367</v>
      </c>
      <c r="AU33" s="48">
        <f>10/60</f>
        <v>0.16666666666666666</v>
      </c>
      <c r="AV33" s="44">
        <v>327</v>
      </c>
      <c r="AW33" s="92">
        <v>487</v>
      </c>
      <c r="AX33" s="45">
        <v>6</v>
      </c>
      <c r="AY33" s="49">
        <v>918</v>
      </c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2:72" s="50" customFormat="1" x14ac:dyDescent="0.25">
      <c r="B34" s="132"/>
      <c r="C34" s="133"/>
      <c r="D34" s="94"/>
      <c r="E34" s="112">
        <v>5</v>
      </c>
      <c r="F34" s="112"/>
      <c r="G34" s="112">
        <f>E34*60</f>
        <v>300</v>
      </c>
      <c r="H34" s="112"/>
      <c r="I34" s="112"/>
      <c r="J34" s="112"/>
      <c r="K34" s="116">
        <f t="shared" ref="K34:K46" si="3">AVERAGE(V34,AA34,AF34,AK34,AP34,AU34)</f>
        <v>0.63583333333333325</v>
      </c>
      <c r="L34" s="117"/>
      <c r="M34" s="118">
        <f t="shared" ref="M34:M46" si="4">K34*60</f>
        <v>38.149999999999991</v>
      </c>
      <c r="N34" s="118"/>
      <c r="O34" s="77">
        <f t="shared" ref="O34:O46" si="5">AVERAGE(W34,AB34,AG34,AL34,AQ34,AV34)/1000</f>
        <v>0.85599999999999998</v>
      </c>
      <c r="P34" s="91">
        <f t="shared" si="2"/>
        <v>2.4744999999999999</v>
      </c>
      <c r="Q34" s="98">
        <f t="shared" ref="Q34:Q46" si="6">AVERAGE(Y34,AD34,AI34,AN34,AS34,AX34)</f>
        <v>4.666666666666667</v>
      </c>
      <c r="R34" s="78">
        <f t="shared" si="2"/>
        <v>4.2743333333333329</v>
      </c>
      <c r="S34" s="46">
        <v>5.4</v>
      </c>
      <c r="T34" s="94">
        <v>358</v>
      </c>
      <c r="U34" s="47">
        <v>51</v>
      </c>
      <c r="V34" s="48">
        <f>34.5/60</f>
        <v>0.57499999999999996</v>
      </c>
      <c r="W34" s="44">
        <v>1467</v>
      </c>
      <c r="X34" s="92">
        <v>4032</v>
      </c>
      <c r="Y34" s="45">
        <v>6</v>
      </c>
      <c r="Z34" s="49">
        <v>5882</v>
      </c>
      <c r="AA34" s="48">
        <f>37.3/60</f>
        <v>0.62166666666666659</v>
      </c>
      <c r="AB34" s="44">
        <v>1195</v>
      </c>
      <c r="AC34" s="92">
        <v>4182</v>
      </c>
      <c r="AD34" s="45">
        <v>5</v>
      </c>
      <c r="AE34" s="49">
        <v>7196</v>
      </c>
      <c r="AF34" s="48">
        <f>35/60</f>
        <v>0.58333333333333337</v>
      </c>
      <c r="AG34" s="44">
        <v>1203</v>
      </c>
      <c r="AH34" s="92">
        <v>4107</v>
      </c>
      <c r="AI34" s="45">
        <v>6</v>
      </c>
      <c r="AJ34" s="49">
        <v>5405</v>
      </c>
      <c r="AK34" s="48">
        <f>41.9/60</f>
        <v>0.69833333333333336</v>
      </c>
      <c r="AL34" s="44">
        <v>427</v>
      </c>
      <c r="AM34" s="92">
        <v>917</v>
      </c>
      <c r="AN34" s="45">
        <v>3</v>
      </c>
      <c r="AO34" s="49">
        <v>2176</v>
      </c>
      <c r="AP34" s="48">
        <f>37.9/60</f>
        <v>0.6316666666666666</v>
      </c>
      <c r="AQ34" s="44">
        <v>478</v>
      </c>
      <c r="AR34" s="92">
        <v>1064</v>
      </c>
      <c r="AS34" s="45">
        <v>3</v>
      </c>
      <c r="AT34" s="49">
        <v>2587</v>
      </c>
      <c r="AU34" s="48">
        <f>42.3/60</f>
        <v>0.70499999999999996</v>
      </c>
      <c r="AV34" s="44">
        <v>366</v>
      </c>
      <c r="AW34" s="92">
        <v>545</v>
      </c>
      <c r="AX34" s="45">
        <v>5</v>
      </c>
      <c r="AY34" s="49">
        <v>2400</v>
      </c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</row>
    <row r="35" spans="2:72" s="50" customFormat="1" x14ac:dyDescent="0.25">
      <c r="B35" s="132"/>
      <c r="C35" s="133"/>
      <c r="D35" s="94"/>
      <c r="E35" s="112">
        <v>10</v>
      </c>
      <c r="F35" s="112"/>
      <c r="G35" s="112">
        <f t="shared" ref="G35:G46" si="7">E35*60</f>
        <v>600</v>
      </c>
      <c r="H35" s="112"/>
      <c r="I35" s="112"/>
      <c r="J35" s="112"/>
      <c r="K35" s="116">
        <f t="shared" si="3"/>
        <v>1.0786666666666667</v>
      </c>
      <c r="L35" s="117"/>
      <c r="M35" s="118">
        <f t="shared" si="4"/>
        <v>64.72</v>
      </c>
      <c r="N35" s="118"/>
      <c r="O35" s="77">
        <f t="shared" si="5"/>
        <v>1.1612</v>
      </c>
      <c r="P35" s="91">
        <f t="shared" si="2"/>
        <v>3.8008000000000002</v>
      </c>
      <c r="Q35" s="98">
        <f t="shared" si="6"/>
        <v>4</v>
      </c>
      <c r="R35" s="78">
        <f t="shared" si="2"/>
        <v>8.1131999999999991</v>
      </c>
      <c r="S35" s="46">
        <v>9</v>
      </c>
      <c r="T35" s="94">
        <v>377</v>
      </c>
      <c r="U35" s="47">
        <v>53</v>
      </c>
      <c r="V35" s="48">
        <v>1</v>
      </c>
      <c r="W35" s="44">
        <v>1605</v>
      </c>
      <c r="X35" s="92">
        <v>5699</v>
      </c>
      <c r="Y35" s="45">
        <v>5</v>
      </c>
      <c r="Z35" s="49">
        <v>10182</v>
      </c>
      <c r="AA35" s="48">
        <f>53.6/60</f>
        <v>0.89333333333333331</v>
      </c>
      <c r="AB35" s="44">
        <v>2063</v>
      </c>
      <c r="AC35" s="92">
        <v>6094</v>
      </c>
      <c r="AD35" s="45">
        <v>4</v>
      </c>
      <c r="AE35" s="49">
        <v>17314</v>
      </c>
      <c r="AF35" s="48">
        <v>1.2</v>
      </c>
      <c r="AG35" s="44">
        <v>1017</v>
      </c>
      <c r="AH35" s="92">
        <v>4244</v>
      </c>
      <c r="AI35" s="45">
        <v>7</v>
      </c>
      <c r="AJ35" s="49">
        <v>6054</v>
      </c>
      <c r="AK35" s="48">
        <v>1.1000000000000001</v>
      </c>
      <c r="AL35" s="44">
        <v>545</v>
      </c>
      <c r="AM35" s="92">
        <v>1510</v>
      </c>
      <c r="AN35" s="45">
        <v>3</v>
      </c>
      <c r="AO35" s="49">
        <v>3902</v>
      </c>
      <c r="AP35" s="48">
        <v>1.2</v>
      </c>
      <c r="AQ35" s="44">
        <v>576</v>
      </c>
      <c r="AR35" s="92">
        <v>1457</v>
      </c>
      <c r="AS35" s="45">
        <v>1</v>
      </c>
      <c r="AT35" s="49">
        <v>3114</v>
      </c>
      <c r="AU35" s="48"/>
      <c r="AV35" s="44"/>
      <c r="AW35" s="92"/>
      <c r="AX35" s="45"/>
      <c r="AY35" s="49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2:72" s="50" customFormat="1" x14ac:dyDescent="0.25">
      <c r="B36" s="132"/>
      <c r="C36" s="133"/>
      <c r="D36" s="94"/>
      <c r="E36" s="112">
        <v>20</v>
      </c>
      <c r="F36" s="112"/>
      <c r="G36" s="112">
        <f t="shared" si="7"/>
        <v>1200</v>
      </c>
      <c r="H36" s="112"/>
      <c r="I36" s="112"/>
      <c r="J36" s="112"/>
      <c r="K36" s="116">
        <f t="shared" si="3"/>
        <v>1.9833333333333334</v>
      </c>
      <c r="L36" s="117"/>
      <c r="M36" s="118">
        <f t="shared" si="4"/>
        <v>119</v>
      </c>
      <c r="N36" s="118"/>
      <c r="O36" s="77">
        <f t="shared" si="5"/>
        <v>1.8898333333333333</v>
      </c>
      <c r="P36" s="91">
        <f t="shared" si="2"/>
        <v>6.4483333333333333</v>
      </c>
      <c r="Q36" s="98">
        <f t="shared" si="6"/>
        <v>3.6666666666666665</v>
      </c>
      <c r="R36" s="78">
        <f t="shared" si="2"/>
        <v>14.047666666666666</v>
      </c>
      <c r="S36" s="46">
        <v>12.2</v>
      </c>
      <c r="T36" s="94">
        <v>424</v>
      </c>
      <c r="U36" s="47">
        <v>62</v>
      </c>
      <c r="V36" s="48">
        <v>1.6</v>
      </c>
      <c r="W36" s="44">
        <v>3160</v>
      </c>
      <c r="X36" s="92">
        <v>12136</v>
      </c>
      <c r="Y36" s="45">
        <v>4</v>
      </c>
      <c r="Z36" s="49">
        <v>22849</v>
      </c>
      <c r="AA36" s="48">
        <v>1.5</v>
      </c>
      <c r="AB36" s="44">
        <v>3457</v>
      </c>
      <c r="AC36" s="92">
        <v>11747</v>
      </c>
      <c r="AD36" s="45">
        <v>7</v>
      </c>
      <c r="AE36" s="49">
        <v>25358</v>
      </c>
      <c r="AF36" s="48">
        <v>1.8</v>
      </c>
      <c r="AG36" s="44">
        <v>2466</v>
      </c>
      <c r="AH36" s="92">
        <v>9112</v>
      </c>
      <c r="AI36" s="45">
        <v>5</v>
      </c>
      <c r="AJ36" s="49">
        <v>19564</v>
      </c>
      <c r="AK36" s="48">
        <v>2.2999999999999998</v>
      </c>
      <c r="AL36" s="44">
        <v>772</v>
      </c>
      <c r="AM36" s="92">
        <v>1853</v>
      </c>
      <c r="AN36" s="45">
        <v>2</v>
      </c>
      <c r="AO36" s="49">
        <v>5967</v>
      </c>
      <c r="AP36" s="48">
        <v>2.2999999999999998</v>
      </c>
      <c r="AQ36" s="44">
        <v>722</v>
      </c>
      <c r="AR36" s="92">
        <v>1853</v>
      </c>
      <c r="AS36" s="45">
        <v>2</v>
      </c>
      <c r="AT36" s="49">
        <v>5967</v>
      </c>
      <c r="AU36" s="48">
        <v>2.4</v>
      </c>
      <c r="AV36" s="44">
        <v>762</v>
      </c>
      <c r="AW36" s="92">
        <v>1989</v>
      </c>
      <c r="AX36" s="45">
        <v>2</v>
      </c>
      <c r="AY36" s="49">
        <v>4581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2:72" s="50" customFormat="1" x14ac:dyDescent="0.25">
      <c r="B37" s="132"/>
      <c r="C37" s="133"/>
      <c r="D37" s="94"/>
      <c r="E37" s="112">
        <v>50</v>
      </c>
      <c r="F37" s="112"/>
      <c r="G37" s="112">
        <f t="shared" si="7"/>
        <v>3000</v>
      </c>
      <c r="H37" s="112"/>
      <c r="I37" s="112"/>
      <c r="J37" s="112"/>
      <c r="K37" s="116">
        <f t="shared" si="3"/>
        <v>3.1</v>
      </c>
      <c r="L37" s="117"/>
      <c r="M37" s="118">
        <f t="shared" si="4"/>
        <v>186</v>
      </c>
      <c r="N37" s="118"/>
      <c r="O37" s="77">
        <f t="shared" si="5"/>
        <v>6.32</v>
      </c>
      <c r="P37" s="91">
        <f t="shared" si="2"/>
        <v>21.296666666666667</v>
      </c>
      <c r="Q37" s="98">
        <f t="shared" si="6"/>
        <v>2.6666666666666665</v>
      </c>
      <c r="R37" s="78">
        <f t="shared" si="2"/>
        <v>56.792333333333339</v>
      </c>
      <c r="S37" s="46">
        <v>27.2</v>
      </c>
      <c r="T37" s="94">
        <v>546</v>
      </c>
      <c r="U37" s="47">
        <v>94</v>
      </c>
      <c r="V37" s="48">
        <v>2.2999999999999998</v>
      </c>
      <c r="W37" s="44">
        <v>9670</v>
      </c>
      <c r="X37" s="92">
        <v>34583</v>
      </c>
      <c r="Y37" s="45">
        <v>4</v>
      </c>
      <c r="Z37" s="49">
        <v>86429</v>
      </c>
      <c r="AA37" s="48">
        <v>2.2999999999999998</v>
      </c>
      <c r="AB37" s="44">
        <v>8676</v>
      </c>
      <c r="AC37" s="92">
        <v>31542</v>
      </c>
      <c r="AD37" s="45">
        <v>2</v>
      </c>
      <c r="AE37" s="49">
        <v>82587</v>
      </c>
      <c r="AF37" s="48">
        <v>2.2000000000000002</v>
      </c>
      <c r="AG37" s="44">
        <v>9111</v>
      </c>
      <c r="AH37" s="92">
        <v>36738</v>
      </c>
      <c r="AI37" s="45">
        <v>4</v>
      </c>
      <c r="AJ37" s="49">
        <v>81231</v>
      </c>
      <c r="AK37" s="48">
        <v>4</v>
      </c>
      <c r="AL37" s="44">
        <v>3115</v>
      </c>
      <c r="AM37" s="92">
        <v>7259</v>
      </c>
      <c r="AN37" s="45">
        <v>2</v>
      </c>
      <c r="AO37" s="49">
        <v>29530</v>
      </c>
      <c r="AP37" s="48">
        <v>3.5</v>
      </c>
      <c r="AQ37" s="44">
        <v>4350</v>
      </c>
      <c r="AR37" s="92">
        <v>10589</v>
      </c>
      <c r="AS37" s="45">
        <v>2</v>
      </c>
      <c r="AT37" s="49">
        <v>37832</v>
      </c>
      <c r="AU37" s="48">
        <v>4.3</v>
      </c>
      <c r="AV37" s="44">
        <v>2998</v>
      </c>
      <c r="AW37" s="92">
        <v>7069</v>
      </c>
      <c r="AX37" s="45">
        <v>2</v>
      </c>
      <c r="AY37" s="49">
        <v>23145</v>
      </c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</row>
    <row r="38" spans="2:72" s="50" customFormat="1" x14ac:dyDescent="0.25">
      <c r="B38" s="132"/>
      <c r="C38" s="133"/>
      <c r="D38" s="95"/>
      <c r="E38" s="113">
        <v>80</v>
      </c>
      <c r="F38" s="113"/>
      <c r="G38" s="113">
        <f t="shared" si="7"/>
        <v>4800</v>
      </c>
      <c r="H38" s="113"/>
      <c r="I38" s="113"/>
      <c r="J38" s="113"/>
      <c r="K38" s="116">
        <f t="shared" si="3"/>
        <v>3.7833333333333332</v>
      </c>
      <c r="L38" s="117"/>
      <c r="M38" s="118">
        <f t="shared" si="4"/>
        <v>227</v>
      </c>
      <c r="N38" s="118"/>
      <c r="O38" s="77">
        <f t="shared" si="5"/>
        <v>10.316833333333333</v>
      </c>
      <c r="P38" s="91">
        <f t="shared" si="2"/>
        <v>31.202999999999999</v>
      </c>
      <c r="Q38" s="98">
        <f t="shared" si="6"/>
        <v>2.6666666666666665</v>
      </c>
      <c r="R38" s="78">
        <f t="shared" si="2"/>
        <v>85.784499999999994</v>
      </c>
      <c r="S38" s="46">
        <v>17.8</v>
      </c>
      <c r="T38" s="94">
        <v>858</v>
      </c>
      <c r="U38" s="47">
        <v>123</v>
      </c>
      <c r="V38" s="48">
        <v>2.1</v>
      </c>
      <c r="W38" s="44">
        <v>21909</v>
      </c>
      <c r="X38" s="92">
        <v>84929</v>
      </c>
      <c r="Y38" s="45">
        <v>3</v>
      </c>
      <c r="Z38" s="49">
        <v>169390</v>
      </c>
      <c r="AA38" s="48">
        <v>3.9</v>
      </c>
      <c r="AB38" s="44">
        <v>8472</v>
      </c>
      <c r="AC38" s="92">
        <v>22207</v>
      </c>
      <c r="AD38" s="45">
        <v>4</v>
      </c>
      <c r="AE38" s="49">
        <v>98510</v>
      </c>
      <c r="AF38" s="48">
        <v>4.5999999999999996</v>
      </c>
      <c r="AG38" s="44">
        <v>7068</v>
      </c>
      <c r="AH38" s="92">
        <v>18758</v>
      </c>
      <c r="AI38" s="45">
        <v>3</v>
      </c>
      <c r="AJ38" s="49">
        <v>57938</v>
      </c>
      <c r="AK38" s="48">
        <v>3.9</v>
      </c>
      <c r="AL38" s="44">
        <v>8153</v>
      </c>
      <c r="AM38" s="92">
        <v>21936</v>
      </c>
      <c r="AN38" s="45">
        <v>3</v>
      </c>
      <c r="AO38" s="49">
        <v>57799</v>
      </c>
      <c r="AP38" s="48">
        <v>4.2</v>
      </c>
      <c r="AQ38" s="44">
        <v>7781</v>
      </c>
      <c r="AR38" s="92">
        <v>17491</v>
      </c>
      <c r="AS38" s="45">
        <v>1</v>
      </c>
      <c r="AT38" s="49">
        <v>65844</v>
      </c>
      <c r="AU38" s="48">
        <v>4</v>
      </c>
      <c r="AV38" s="44">
        <v>8518</v>
      </c>
      <c r="AW38" s="92">
        <v>21897</v>
      </c>
      <c r="AX38" s="45">
        <v>2</v>
      </c>
      <c r="AY38" s="49">
        <v>65226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2:72" s="50" customFormat="1" x14ac:dyDescent="0.25">
      <c r="B39" s="132"/>
      <c r="C39" s="133"/>
      <c r="D39" s="94"/>
      <c r="E39" s="112">
        <v>100</v>
      </c>
      <c r="F39" s="112"/>
      <c r="G39" s="112">
        <f t="shared" si="7"/>
        <v>6000</v>
      </c>
      <c r="H39" s="112"/>
      <c r="I39" s="112"/>
      <c r="J39" s="112"/>
      <c r="K39" s="116">
        <f>AVERAGE(V39,AA39,AF39,AK39,AP39,AU39)</f>
        <v>4.0666666666666664</v>
      </c>
      <c r="L39" s="117"/>
      <c r="M39" s="118">
        <f t="shared" si="4"/>
        <v>244</v>
      </c>
      <c r="N39" s="118"/>
      <c r="O39" s="77">
        <f t="shared" si="5"/>
        <v>12.279</v>
      </c>
      <c r="P39" s="91">
        <f t="shared" si="2"/>
        <v>35.7485</v>
      </c>
      <c r="Q39" s="98">
        <f t="shared" si="6"/>
        <v>2.5</v>
      </c>
      <c r="R39" s="78">
        <f t="shared" si="2"/>
        <v>116.95666666666668</v>
      </c>
      <c r="S39" s="46">
        <v>20.3</v>
      </c>
      <c r="T39" s="94">
        <v>915</v>
      </c>
      <c r="U39" s="47">
        <v>146</v>
      </c>
      <c r="V39" s="48">
        <v>2.7</v>
      </c>
      <c r="W39" s="44">
        <v>21890</v>
      </c>
      <c r="X39" s="92">
        <v>80712</v>
      </c>
      <c r="Y39" s="45">
        <v>4</v>
      </c>
      <c r="Z39" s="49">
        <v>193653</v>
      </c>
      <c r="AA39" s="48">
        <v>3.7</v>
      </c>
      <c r="AB39" s="44">
        <v>12406</v>
      </c>
      <c r="AC39" s="92">
        <v>25267</v>
      </c>
      <c r="AD39" s="45">
        <v>2</v>
      </c>
      <c r="AE39" s="49">
        <v>154229</v>
      </c>
      <c r="AF39" s="48">
        <v>4.4000000000000004</v>
      </c>
      <c r="AG39" s="44">
        <v>9648</v>
      </c>
      <c r="AH39" s="92">
        <v>37695</v>
      </c>
      <c r="AI39" s="45">
        <v>3</v>
      </c>
      <c r="AJ39" s="49">
        <v>122146</v>
      </c>
      <c r="AK39" s="48">
        <v>4.7</v>
      </c>
      <c r="AL39" s="44">
        <v>9491</v>
      </c>
      <c r="AM39" s="92">
        <v>23322</v>
      </c>
      <c r="AN39" s="45">
        <v>2</v>
      </c>
      <c r="AO39" s="49">
        <v>67850</v>
      </c>
      <c r="AP39" s="48">
        <v>4.8</v>
      </c>
      <c r="AQ39" s="44">
        <v>8969</v>
      </c>
      <c r="AR39" s="92">
        <v>19028</v>
      </c>
      <c r="AS39" s="45">
        <v>2</v>
      </c>
      <c r="AT39" s="49">
        <v>70859</v>
      </c>
      <c r="AU39" s="48">
        <v>4.0999999999999996</v>
      </c>
      <c r="AV39" s="44">
        <v>11270</v>
      </c>
      <c r="AW39" s="92">
        <v>28467</v>
      </c>
      <c r="AX39" s="45">
        <v>2</v>
      </c>
      <c r="AY39" s="49">
        <v>93003</v>
      </c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2:72" s="50" customFormat="1" x14ac:dyDescent="0.25">
      <c r="B40" s="132"/>
      <c r="C40" s="133"/>
      <c r="D40" s="94"/>
      <c r="E40" s="112">
        <v>125</v>
      </c>
      <c r="F40" s="112"/>
      <c r="G40" s="112">
        <f t="shared" si="7"/>
        <v>7500</v>
      </c>
      <c r="H40" s="112"/>
      <c r="I40" s="112"/>
      <c r="J40" s="112"/>
      <c r="K40" s="116">
        <f>AVERAGE(V40,AA40,AF40,AK40,AP40,AU40)</f>
        <v>4.0666666666666664</v>
      </c>
      <c r="L40" s="117"/>
      <c r="M40" s="118">
        <f t="shared" si="4"/>
        <v>244</v>
      </c>
      <c r="N40" s="118"/>
      <c r="O40" s="77">
        <f t="shared" si="5"/>
        <v>18.239000000000001</v>
      </c>
      <c r="P40" s="91">
        <f t="shared" si="2"/>
        <v>51.365833333333335</v>
      </c>
      <c r="Q40" s="98">
        <f t="shared" si="6"/>
        <v>2.3333333333333335</v>
      </c>
      <c r="R40" s="78">
        <f t="shared" si="2"/>
        <v>139.45616666666666</v>
      </c>
      <c r="S40" s="46">
        <v>48.7</v>
      </c>
      <c r="T40" s="94">
        <v>958</v>
      </c>
      <c r="U40" s="47">
        <v>170</v>
      </c>
      <c r="V40" s="48">
        <v>2.2999999999999998</v>
      </c>
      <c r="W40" s="44">
        <v>36379</v>
      </c>
      <c r="X40" s="92">
        <v>136784</v>
      </c>
      <c r="Y40" s="45">
        <v>3</v>
      </c>
      <c r="Z40" s="49">
        <v>307007</v>
      </c>
      <c r="AA40" s="48">
        <v>3.8</v>
      </c>
      <c r="AB40" s="44">
        <v>14798</v>
      </c>
      <c r="AC40" s="92">
        <v>32804</v>
      </c>
      <c r="AD40" s="45">
        <v>4</v>
      </c>
      <c r="AE40" s="49">
        <v>10936</v>
      </c>
      <c r="AF40" s="48">
        <v>3.5</v>
      </c>
      <c r="AG40" s="44">
        <v>20513</v>
      </c>
      <c r="AH40" s="92">
        <v>54781</v>
      </c>
      <c r="AI40" s="45">
        <v>2</v>
      </c>
      <c r="AJ40" s="49">
        <v>208710</v>
      </c>
      <c r="AK40" s="48">
        <v>5</v>
      </c>
      <c r="AL40" s="44">
        <v>11654</v>
      </c>
      <c r="AM40" s="92">
        <v>25141</v>
      </c>
      <c r="AN40" s="45">
        <v>2</v>
      </c>
      <c r="AO40" s="49">
        <v>98657</v>
      </c>
      <c r="AP40" s="48">
        <v>4.8</v>
      </c>
      <c r="AQ40" s="44">
        <v>13346</v>
      </c>
      <c r="AR40" s="92">
        <v>28941</v>
      </c>
      <c r="AS40" s="45">
        <v>1</v>
      </c>
      <c r="AT40" s="49">
        <v>100326</v>
      </c>
      <c r="AU40" s="48">
        <v>5</v>
      </c>
      <c r="AV40" s="44">
        <v>12744</v>
      </c>
      <c r="AW40" s="92">
        <v>29744</v>
      </c>
      <c r="AX40" s="45">
        <v>2</v>
      </c>
      <c r="AY40" s="49">
        <v>111101</v>
      </c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2:72" s="50" customFormat="1" x14ac:dyDescent="0.25">
      <c r="B41" s="132"/>
      <c r="C41" s="133"/>
      <c r="D41" s="94"/>
      <c r="E41" s="112">
        <v>150</v>
      </c>
      <c r="F41" s="112"/>
      <c r="G41" s="112">
        <f t="shared" si="7"/>
        <v>9000</v>
      </c>
      <c r="H41" s="112"/>
      <c r="I41" s="112"/>
      <c r="J41" s="112"/>
      <c r="K41" s="116">
        <f t="shared" si="3"/>
        <v>4.2333333333333334</v>
      </c>
      <c r="L41" s="117"/>
      <c r="M41" s="118">
        <f t="shared" si="4"/>
        <v>254</v>
      </c>
      <c r="N41" s="118"/>
      <c r="O41" s="77">
        <f t="shared" si="5"/>
        <v>22.240500000000001</v>
      </c>
      <c r="P41" s="91">
        <f t="shared" si="2"/>
        <v>59.853333333333339</v>
      </c>
      <c r="Q41" s="98">
        <f t="shared" si="6"/>
        <v>3.1666666666666665</v>
      </c>
      <c r="R41" s="78">
        <f t="shared" si="2"/>
        <v>190.19533333333334</v>
      </c>
      <c r="S41" s="46">
        <v>42.7</v>
      </c>
      <c r="T41" s="94">
        <v>1042</v>
      </c>
      <c r="U41" s="47">
        <v>193</v>
      </c>
      <c r="V41" s="48">
        <v>2.2000000000000002</v>
      </c>
      <c r="W41" s="44">
        <v>47501</v>
      </c>
      <c r="X41" s="92">
        <v>161415</v>
      </c>
      <c r="Y41" s="45">
        <v>3</v>
      </c>
      <c r="Z41" s="49">
        <v>410237</v>
      </c>
      <c r="AA41" s="48">
        <v>4.7</v>
      </c>
      <c r="AB41" s="44">
        <v>16127</v>
      </c>
      <c r="AC41" s="92">
        <v>34536</v>
      </c>
      <c r="AD41" s="45">
        <v>3</v>
      </c>
      <c r="AE41" s="49">
        <v>134329</v>
      </c>
      <c r="AF41" s="48">
        <v>4.4000000000000004</v>
      </c>
      <c r="AG41" s="44">
        <v>19212</v>
      </c>
      <c r="AH41" s="92">
        <v>44686</v>
      </c>
      <c r="AI41" s="45">
        <v>3</v>
      </c>
      <c r="AJ41" s="49">
        <v>146170</v>
      </c>
      <c r="AK41" s="48">
        <v>4.7</v>
      </c>
      <c r="AL41" s="44">
        <v>16319</v>
      </c>
      <c r="AM41" s="92">
        <v>39076</v>
      </c>
      <c r="AN41" s="45">
        <v>5</v>
      </c>
      <c r="AO41" s="49">
        <v>178742</v>
      </c>
      <c r="AP41" s="48">
        <v>4.8</v>
      </c>
      <c r="AQ41" s="44">
        <v>17001</v>
      </c>
      <c r="AR41" s="92">
        <v>38285</v>
      </c>
      <c r="AS41" s="45">
        <v>2</v>
      </c>
      <c r="AT41" s="49">
        <v>136484</v>
      </c>
      <c r="AU41" s="48">
        <v>4.5999999999999996</v>
      </c>
      <c r="AV41" s="44">
        <v>17283</v>
      </c>
      <c r="AW41" s="92">
        <v>41122</v>
      </c>
      <c r="AX41" s="45">
        <v>3</v>
      </c>
      <c r="AY41" s="49">
        <v>135210</v>
      </c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2:72" s="50" customFormat="1" x14ac:dyDescent="0.25">
      <c r="B42" s="132"/>
      <c r="C42" s="133"/>
      <c r="D42" s="94"/>
      <c r="E42" s="112">
        <v>200</v>
      </c>
      <c r="F42" s="112"/>
      <c r="G42" s="112">
        <f t="shared" si="7"/>
        <v>12000</v>
      </c>
      <c r="H42" s="112"/>
      <c r="I42" s="112"/>
      <c r="J42" s="112"/>
      <c r="K42" s="116">
        <f t="shared" si="3"/>
        <v>4.7</v>
      </c>
      <c r="L42" s="117"/>
      <c r="M42" s="118">
        <f t="shared" si="4"/>
        <v>282</v>
      </c>
      <c r="N42" s="118"/>
      <c r="O42" s="77">
        <f t="shared" si="5"/>
        <v>27.329166666666669</v>
      </c>
      <c r="P42" s="91">
        <f t="shared" si="2"/>
        <v>73.948166666666665</v>
      </c>
      <c r="Q42" s="98">
        <f t="shared" si="6"/>
        <v>2.5</v>
      </c>
      <c r="R42" s="78">
        <f t="shared" si="2"/>
        <v>221.79816666666665</v>
      </c>
      <c r="S42" s="46">
        <v>32.5</v>
      </c>
      <c r="T42" s="94">
        <v>1063</v>
      </c>
      <c r="U42" s="47">
        <v>243</v>
      </c>
      <c r="V42" s="48">
        <v>2.8</v>
      </c>
      <c r="W42" s="44">
        <v>49699</v>
      </c>
      <c r="X42" s="92">
        <v>191687</v>
      </c>
      <c r="Y42" s="45">
        <v>3</v>
      </c>
      <c r="Z42" s="49">
        <v>429483</v>
      </c>
      <c r="AA42" s="48">
        <v>4.7</v>
      </c>
      <c r="AB42" s="44">
        <v>23190</v>
      </c>
      <c r="AC42" s="92">
        <v>51930</v>
      </c>
      <c r="AD42" s="45">
        <v>3</v>
      </c>
      <c r="AE42" s="49">
        <v>176705</v>
      </c>
      <c r="AF42" s="48">
        <v>5.5</v>
      </c>
      <c r="AG42" s="44">
        <v>20079</v>
      </c>
      <c r="AH42" s="92">
        <v>42318</v>
      </c>
      <c r="AI42" s="45">
        <v>1</v>
      </c>
      <c r="AJ42" s="49">
        <v>167701</v>
      </c>
      <c r="AK42" s="48">
        <v>5.2</v>
      </c>
      <c r="AL42" s="44">
        <v>22683</v>
      </c>
      <c r="AM42" s="92">
        <v>54015</v>
      </c>
      <c r="AN42" s="45">
        <v>3</v>
      </c>
      <c r="AO42" s="49">
        <v>172039</v>
      </c>
      <c r="AP42" s="48">
        <v>5.4</v>
      </c>
      <c r="AQ42" s="44">
        <v>22104</v>
      </c>
      <c r="AR42" s="92">
        <v>45243</v>
      </c>
      <c r="AS42" s="45">
        <v>2</v>
      </c>
      <c r="AT42" s="49">
        <v>186362</v>
      </c>
      <c r="AU42" s="48">
        <v>4.5999999999999996</v>
      </c>
      <c r="AV42" s="44">
        <v>26220</v>
      </c>
      <c r="AW42" s="92">
        <v>58496</v>
      </c>
      <c r="AX42" s="45">
        <v>3</v>
      </c>
      <c r="AY42" s="49">
        <v>198499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2:72" s="50" customFormat="1" x14ac:dyDescent="0.25">
      <c r="B43" s="132"/>
      <c r="C43" s="133"/>
      <c r="D43" s="94"/>
      <c r="E43" s="112">
        <v>300</v>
      </c>
      <c r="F43" s="112"/>
      <c r="G43" s="112">
        <f t="shared" si="7"/>
        <v>18000</v>
      </c>
      <c r="H43" s="112"/>
      <c r="I43" s="112"/>
      <c r="J43" s="112"/>
      <c r="K43" s="116">
        <f t="shared" si="3"/>
        <v>4.8666666666666663</v>
      </c>
      <c r="L43" s="117"/>
      <c r="M43" s="118">
        <f t="shared" si="4"/>
        <v>292</v>
      </c>
      <c r="N43" s="118"/>
      <c r="O43" s="77">
        <f t="shared" si="5"/>
        <v>43.045000000000002</v>
      </c>
      <c r="P43" s="91">
        <f t="shared" si="2"/>
        <v>97.530666666666676</v>
      </c>
      <c r="Q43" s="98">
        <f t="shared" si="6"/>
        <v>3.1666666666666665</v>
      </c>
      <c r="R43" s="78">
        <f t="shared" si="2"/>
        <v>299.90216666666669</v>
      </c>
      <c r="S43" s="46">
        <v>45</v>
      </c>
      <c r="T43" s="94">
        <v>1117</v>
      </c>
      <c r="U43" s="47">
        <v>342</v>
      </c>
      <c r="V43" s="48">
        <v>3.3</v>
      </c>
      <c r="W43" s="44">
        <v>66906</v>
      </c>
      <c r="X43" s="92">
        <v>184190</v>
      </c>
      <c r="Y43" s="45">
        <v>4</v>
      </c>
      <c r="Z43" s="49">
        <v>546197</v>
      </c>
      <c r="AA43" s="48">
        <v>4.7</v>
      </c>
      <c r="AB43" s="44">
        <v>41757</v>
      </c>
      <c r="AC43" s="92">
        <v>90733</v>
      </c>
      <c r="AD43" s="45">
        <v>5</v>
      </c>
      <c r="AE43" s="49">
        <v>267510</v>
      </c>
      <c r="AF43" s="48">
        <v>5.4</v>
      </c>
      <c r="AG43" s="44">
        <v>37123</v>
      </c>
      <c r="AH43" s="92">
        <v>76597</v>
      </c>
      <c r="AI43" s="45">
        <v>3</v>
      </c>
      <c r="AJ43" s="49">
        <v>245605</v>
      </c>
      <c r="AK43" s="48">
        <v>5.3</v>
      </c>
      <c r="AL43" s="44">
        <v>36958</v>
      </c>
      <c r="AM43" s="92">
        <v>73960</v>
      </c>
      <c r="AN43" s="45">
        <v>3</v>
      </c>
      <c r="AO43" s="49">
        <v>201190</v>
      </c>
      <c r="AP43" s="48">
        <v>5.3</v>
      </c>
      <c r="AQ43" s="44">
        <v>37583</v>
      </c>
      <c r="AR43" s="92">
        <v>76479</v>
      </c>
      <c r="AS43" s="45">
        <v>2</v>
      </c>
      <c r="AT43" s="49">
        <v>257159</v>
      </c>
      <c r="AU43" s="48">
        <v>5.2</v>
      </c>
      <c r="AV43" s="44">
        <v>37943</v>
      </c>
      <c r="AW43" s="92">
        <v>83225</v>
      </c>
      <c r="AX43" s="45">
        <v>2</v>
      </c>
      <c r="AY43" s="49">
        <v>281752</v>
      </c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s="50" customFormat="1" x14ac:dyDescent="0.25">
      <c r="B44" s="132"/>
      <c r="C44" s="133"/>
      <c r="D44" s="94"/>
      <c r="E44" s="113">
        <v>400</v>
      </c>
      <c r="F44" s="113"/>
      <c r="G44" s="112">
        <f>E44*60</f>
        <v>24000</v>
      </c>
      <c r="H44" s="112"/>
      <c r="I44" s="112"/>
      <c r="J44" s="112"/>
      <c r="K44" s="116">
        <f t="shared" si="3"/>
        <v>4.0200000000000005</v>
      </c>
      <c r="L44" s="117"/>
      <c r="M44" s="118">
        <f t="shared" si="4"/>
        <v>241.20000000000002</v>
      </c>
      <c r="N44" s="118"/>
      <c r="O44" s="77">
        <f t="shared" si="5"/>
        <v>72.519600000000011</v>
      </c>
      <c r="P44" s="91">
        <f t="shared" si="2"/>
        <v>208.9042</v>
      </c>
      <c r="Q44" s="98">
        <f t="shared" si="6"/>
        <v>2.2000000000000002</v>
      </c>
      <c r="R44" s="78">
        <f t="shared" si="2"/>
        <v>629.56500000000005</v>
      </c>
      <c r="S44" s="46">
        <v>41.5</v>
      </c>
      <c r="T44" s="94">
        <v>1209</v>
      </c>
      <c r="U44" s="47">
        <v>446</v>
      </c>
      <c r="V44" s="48">
        <v>2.9</v>
      </c>
      <c r="W44" s="44">
        <v>101536</v>
      </c>
      <c r="X44" s="92">
        <v>334715</v>
      </c>
      <c r="Y44" s="45">
        <v>2</v>
      </c>
      <c r="Z44" s="49">
        <v>1031468</v>
      </c>
      <c r="AA44" s="48">
        <v>4</v>
      </c>
      <c r="AB44" s="44">
        <v>71143</v>
      </c>
      <c r="AC44" s="92">
        <v>183517</v>
      </c>
      <c r="AD44" s="45">
        <v>2</v>
      </c>
      <c r="AE44" s="49">
        <v>552826</v>
      </c>
      <c r="AF44" s="48">
        <v>4.0999999999999996</v>
      </c>
      <c r="AG44" s="44">
        <v>71089</v>
      </c>
      <c r="AH44" s="92">
        <v>203376</v>
      </c>
      <c r="AI44" s="45">
        <v>3</v>
      </c>
      <c r="AJ44" s="49">
        <v>655248</v>
      </c>
      <c r="AK44" s="48">
        <v>4.5999999999999996</v>
      </c>
      <c r="AL44" s="44">
        <v>60565</v>
      </c>
      <c r="AM44" s="92">
        <v>163687</v>
      </c>
      <c r="AN44" s="45">
        <v>2</v>
      </c>
      <c r="AO44" s="49">
        <v>463946</v>
      </c>
      <c r="AP44" s="48">
        <v>4.5</v>
      </c>
      <c r="AQ44" s="44">
        <v>58265</v>
      </c>
      <c r="AR44" s="92">
        <v>159226</v>
      </c>
      <c r="AS44" s="45">
        <v>2</v>
      </c>
      <c r="AT44" s="49">
        <v>444337</v>
      </c>
      <c r="AU44" s="48"/>
      <c r="AV44" s="44"/>
      <c r="AW44" s="92"/>
      <c r="AX44" s="45"/>
      <c r="AY44" s="49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s="50" customFormat="1" x14ac:dyDescent="0.25">
      <c r="B45" s="132"/>
      <c r="C45" s="133"/>
      <c r="D45" s="94"/>
      <c r="E45" s="113">
        <v>500</v>
      </c>
      <c r="F45" s="113"/>
      <c r="G45" s="112">
        <f t="shared" si="7"/>
        <v>30000</v>
      </c>
      <c r="H45" s="112"/>
      <c r="I45" s="112"/>
      <c r="J45" s="112"/>
      <c r="K45" s="116">
        <f t="shared" si="3"/>
        <v>3.9200000000000004</v>
      </c>
      <c r="L45" s="117"/>
      <c r="M45" s="118">
        <f t="shared" si="4"/>
        <v>235.20000000000002</v>
      </c>
      <c r="N45" s="118"/>
      <c r="O45" s="77">
        <f t="shared" si="5"/>
        <v>91.455399999999997</v>
      </c>
      <c r="P45" s="91">
        <f t="shared" si="2"/>
        <v>252.69759999999999</v>
      </c>
      <c r="Q45" s="98">
        <f t="shared" si="6"/>
        <v>2.2000000000000002</v>
      </c>
      <c r="R45" s="78">
        <f t="shared" si="2"/>
        <v>739.89480000000003</v>
      </c>
      <c r="S45" s="46">
        <v>45.5</v>
      </c>
      <c r="T45" s="94">
        <v>1226</v>
      </c>
      <c r="U45" s="47">
        <v>546</v>
      </c>
      <c r="V45" s="48">
        <v>3.2</v>
      </c>
      <c r="W45" s="44">
        <v>114890</v>
      </c>
      <c r="X45" s="92">
        <v>316021</v>
      </c>
      <c r="Y45" s="45">
        <v>3</v>
      </c>
      <c r="Z45" s="49">
        <v>1227782</v>
      </c>
      <c r="AA45" s="48">
        <v>4.3</v>
      </c>
      <c r="AB45" s="44">
        <v>80922</v>
      </c>
      <c r="AC45" s="92">
        <v>227454</v>
      </c>
      <c r="AD45" s="45">
        <v>2</v>
      </c>
      <c r="AE45" s="49">
        <v>724072</v>
      </c>
      <c r="AF45" s="48">
        <v>3.4</v>
      </c>
      <c r="AG45" s="44">
        <v>109039</v>
      </c>
      <c r="AH45" s="92">
        <v>324513</v>
      </c>
      <c r="AI45" s="45">
        <v>2</v>
      </c>
      <c r="AJ45" s="49">
        <v>897675</v>
      </c>
      <c r="AK45" s="48">
        <v>4</v>
      </c>
      <c r="AL45" s="44">
        <v>79806</v>
      </c>
      <c r="AM45" s="92">
        <v>209554</v>
      </c>
      <c r="AN45" s="45">
        <v>2</v>
      </c>
      <c r="AO45" s="49">
        <v>768940</v>
      </c>
      <c r="AP45" s="48">
        <v>4.7</v>
      </c>
      <c r="AQ45" s="44">
        <v>72620</v>
      </c>
      <c r="AR45" s="92">
        <v>185946</v>
      </c>
      <c r="AS45" s="45">
        <v>2</v>
      </c>
      <c r="AT45" s="49">
        <v>81005</v>
      </c>
      <c r="AU45" s="48"/>
      <c r="AV45" s="44"/>
      <c r="AW45" s="92"/>
      <c r="AX45" s="45"/>
      <c r="AY45" s="49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s="50" customFormat="1" x14ac:dyDescent="0.25">
      <c r="B46" s="134"/>
      <c r="C46" s="135"/>
      <c r="D46" s="94"/>
      <c r="E46" s="113">
        <v>800</v>
      </c>
      <c r="F46" s="113"/>
      <c r="G46" s="112">
        <f t="shared" si="7"/>
        <v>48000</v>
      </c>
      <c r="H46" s="112"/>
      <c r="I46" s="112"/>
      <c r="J46" s="112"/>
      <c r="K46" s="116">
        <f t="shared" si="3"/>
        <v>4.9799999999999995</v>
      </c>
      <c r="L46" s="117"/>
      <c r="M46" s="118">
        <f t="shared" si="4"/>
        <v>298.79999999999995</v>
      </c>
      <c r="N46" s="118"/>
      <c r="O46" s="77">
        <f t="shared" si="5"/>
        <v>113.98099999999999</v>
      </c>
      <c r="P46" s="91">
        <f t="shared" si="2"/>
        <v>357.14320000000004</v>
      </c>
      <c r="Q46" s="98">
        <f t="shared" si="6"/>
        <v>2</v>
      </c>
      <c r="R46" s="78">
        <f t="shared" si="2"/>
        <v>1181.0036</v>
      </c>
      <c r="S46" s="46">
        <v>38</v>
      </c>
      <c r="T46" s="94">
        <v>1287</v>
      </c>
      <c r="U46" s="47">
        <v>842</v>
      </c>
      <c r="V46" s="48">
        <v>4.0999999999999996</v>
      </c>
      <c r="W46" s="44">
        <v>144564</v>
      </c>
      <c r="X46" s="92">
        <v>406065</v>
      </c>
      <c r="Y46" s="45">
        <v>2</v>
      </c>
      <c r="Z46" s="49">
        <v>1469701</v>
      </c>
      <c r="AA46" s="48">
        <v>5.3</v>
      </c>
      <c r="AB46" s="44">
        <v>104317</v>
      </c>
      <c r="AC46" s="92">
        <v>295270</v>
      </c>
      <c r="AD46" s="45">
        <v>2</v>
      </c>
      <c r="AE46" s="49">
        <v>1088564</v>
      </c>
      <c r="AF46" s="48">
        <v>5.3</v>
      </c>
      <c r="AG46" s="44">
        <v>104690</v>
      </c>
      <c r="AH46" s="92">
        <v>298195</v>
      </c>
      <c r="AI46" s="45">
        <v>2</v>
      </c>
      <c r="AJ46" s="49">
        <v>1126027</v>
      </c>
      <c r="AK46" s="48">
        <v>5.0999999999999996</v>
      </c>
      <c r="AL46" s="44">
        <v>105177</v>
      </c>
      <c r="AM46" s="92">
        <v>446595</v>
      </c>
      <c r="AN46" s="45">
        <v>2</v>
      </c>
      <c r="AO46" s="49">
        <v>1169227</v>
      </c>
      <c r="AP46" s="48">
        <v>5.0999999999999996</v>
      </c>
      <c r="AQ46" s="44">
        <v>111157</v>
      </c>
      <c r="AR46" s="92">
        <v>339591</v>
      </c>
      <c r="AS46" s="45">
        <v>2</v>
      </c>
      <c r="AT46" s="49">
        <v>1051499</v>
      </c>
      <c r="AU46" s="48"/>
      <c r="AV46" s="44"/>
      <c r="AW46" s="92"/>
      <c r="AX46" s="45"/>
      <c r="AY46" s="49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.75" customHeight="1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BJ47" s="27"/>
      <c r="BK47" s="27"/>
    </row>
    <row r="48" spans="2:72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BJ48" s="27"/>
      <c r="BK48" s="27"/>
    </row>
    <row r="49" spans="2:68" x14ac:dyDescent="0.25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BJ49" s="27"/>
      <c r="BK49" s="27"/>
    </row>
    <row r="50" spans="2:68" x14ac:dyDescent="0.25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U50" s="27"/>
      <c r="V50" s="27"/>
      <c r="W50" s="27"/>
      <c r="BG50" s="27"/>
      <c r="BH50" s="27"/>
      <c r="BI50" s="27"/>
      <c r="BJ50" s="27"/>
      <c r="BK50" s="27"/>
    </row>
    <row r="51" spans="2:68" x14ac:dyDescent="0.25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U51" s="27"/>
      <c r="V51" s="27"/>
      <c r="W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spans="2:68" x14ac:dyDescent="0.25">
      <c r="O52" s="27"/>
      <c r="P52" s="27"/>
      <c r="Q52" s="27"/>
      <c r="R52" s="27"/>
      <c r="U52" s="27"/>
      <c r="V52" s="27"/>
      <c r="W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spans="2:68" x14ac:dyDescent="0.25"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I53" s="27"/>
      <c r="AJ53" s="27"/>
      <c r="AK53" s="27"/>
      <c r="AL53" s="27"/>
      <c r="AM53" s="27"/>
      <c r="AN53" s="27"/>
      <c r="AO53" s="27"/>
      <c r="AP53" s="27"/>
      <c r="AQ53" s="27"/>
      <c r="AV53" s="27"/>
      <c r="BA53" s="27"/>
      <c r="BB53" s="27"/>
      <c r="BC53" s="27"/>
      <c r="BD53" s="27"/>
      <c r="BE53" s="27"/>
      <c r="BF53" s="27"/>
      <c r="BG53" s="27"/>
      <c r="BH53" s="27"/>
      <c r="BI53" s="27"/>
      <c r="BN53" s="27"/>
      <c r="BO53" s="27"/>
    </row>
    <row r="54" spans="2:68" x14ac:dyDescent="0.25"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spans="2:68" x14ac:dyDescent="0.25"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spans="2:68" x14ac:dyDescent="0.25">
      <c r="O56" s="27"/>
      <c r="P56" s="27"/>
      <c r="Q56" s="27"/>
      <c r="R56" s="27"/>
      <c r="S56" s="27"/>
      <c r="T56" s="27"/>
      <c r="V56" s="27"/>
      <c r="W56" s="27"/>
      <c r="X56" s="27"/>
      <c r="Y56" s="27"/>
      <c r="Z56" s="27"/>
      <c r="AA56" s="27"/>
      <c r="AB56" s="27"/>
      <c r="AC56" s="27"/>
      <c r="AD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2:68" x14ac:dyDescent="0.25">
      <c r="O57" s="27"/>
      <c r="P57" s="27"/>
      <c r="Q57" s="27"/>
      <c r="R57" s="27"/>
      <c r="S57" s="27"/>
      <c r="T57" s="27"/>
      <c r="V57" s="27"/>
      <c r="W57" s="27"/>
      <c r="X57" s="27"/>
      <c r="AC57" s="27"/>
      <c r="AD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2:68" x14ac:dyDescent="0.25">
      <c r="O58" s="27"/>
      <c r="P58" s="27"/>
      <c r="Q58" s="27"/>
      <c r="R58" s="27"/>
      <c r="S58" s="27"/>
      <c r="T58" s="27"/>
      <c r="V58" s="27"/>
      <c r="W58" s="27"/>
      <c r="X58" s="27"/>
      <c r="AC58" s="27"/>
      <c r="AD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O58" s="27"/>
      <c r="BP58" s="27"/>
    </row>
    <row r="59" spans="2:68" x14ac:dyDescent="0.25">
      <c r="O59" s="27"/>
      <c r="P59" s="27"/>
      <c r="Q59" s="27"/>
      <c r="R59" s="27"/>
      <c r="S59" s="27"/>
      <c r="T59" s="27"/>
      <c r="V59" s="27"/>
      <c r="W59" s="27"/>
      <c r="X59" s="27"/>
      <c r="AC59" s="27"/>
      <c r="AD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O59" s="27"/>
      <c r="BP59" s="27"/>
    </row>
    <row r="60" spans="2:68" x14ac:dyDescent="0.25">
      <c r="O60" s="27"/>
      <c r="P60" s="27"/>
      <c r="Q60" s="27"/>
      <c r="R60" s="27"/>
      <c r="S60" s="27"/>
      <c r="T60" s="27"/>
      <c r="V60" s="27"/>
      <c r="W60" s="27"/>
      <c r="X60" s="27"/>
      <c r="Y60" s="27"/>
      <c r="Z60" s="27"/>
      <c r="AA60" s="27"/>
      <c r="AB60" s="27"/>
      <c r="AC60" s="27"/>
      <c r="AD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O60" s="27"/>
      <c r="BP60" s="27"/>
    </row>
    <row r="61" spans="2:68" x14ac:dyDescent="0.25">
      <c r="O61" s="27"/>
      <c r="P61" s="27"/>
      <c r="Q61" s="27"/>
      <c r="R61" s="27"/>
      <c r="S61" s="27"/>
      <c r="T61" s="27"/>
      <c r="V61" s="27"/>
      <c r="W61" s="27"/>
      <c r="X61" s="27"/>
      <c r="Y61" s="27"/>
      <c r="Z61" s="27"/>
      <c r="AA61" s="27"/>
      <c r="AB61" s="27"/>
      <c r="AC61" s="27"/>
      <c r="AD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2:68" x14ac:dyDescent="0.25">
      <c r="P62" s="27"/>
      <c r="Q62" s="27"/>
      <c r="R62" s="27"/>
      <c r="S62" s="27"/>
      <c r="T62" s="27"/>
      <c r="X62" s="27"/>
      <c r="Y62" s="27"/>
      <c r="Z62" s="27"/>
      <c r="AA62" s="27"/>
      <c r="AB62" s="27"/>
      <c r="AC62" s="27"/>
      <c r="AD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2:68" x14ac:dyDescent="0.25">
      <c r="O63" s="27"/>
      <c r="T63" s="27"/>
      <c r="X63" s="27"/>
      <c r="Y63" s="27"/>
      <c r="Z63" s="27"/>
      <c r="AA63" s="27"/>
      <c r="AB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2:68" x14ac:dyDescent="0.25">
      <c r="O64" s="27"/>
      <c r="T64" s="27"/>
      <c r="X64" s="27"/>
      <c r="Y64" s="27"/>
      <c r="Z64" s="27"/>
      <c r="AA64" s="27"/>
      <c r="AB64" s="27"/>
      <c r="AI64" s="27"/>
      <c r="AN64" s="27"/>
      <c r="AO64" s="27"/>
      <c r="AP64" s="27"/>
      <c r="AQ64" s="27"/>
      <c r="AR64" s="27"/>
      <c r="AS64" s="27"/>
      <c r="AT64" s="27"/>
      <c r="AU64" s="27"/>
      <c r="AV64" s="27"/>
      <c r="BA64" s="27"/>
      <c r="BF64" s="27"/>
      <c r="BG64" s="27"/>
      <c r="BH64" s="27"/>
      <c r="BI64" s="27"/>
      <c r="BJ64" s="27"/>
      <c r="BK64" s="27"/>
      <c r="BL64" s="27"/>
      <c r="BM64" s="27"/>
      <c r="BN64" s="27"/>
    </row>
    <row r="65" spans="15:68" x14ac:dyDescent="0.25">
      <c r="O65" s="27"/>
      <c r="T65" s="27"/>
      <c r="X65" s="27"/>
      <c r="Y65" s="27"/>
      <c r="Z65" s="27"/>
      <c r="AA65" s="27"/>
      <c r="AB65" s="27"/>
      <c r="AC65" s="27"/>
      <c r="AD65" s="27"/>
      <c r="AI65" s="27"/>
      <c r="AN65" s="27"/>
      <c r="AO65" s="27"/>
      <c r="AP65" s="27"/>
      <c r="AQ65" s="27"/>
      <c r="AR65" s="27"/>
      <c r="AS65" s="27"/>
      <c r="AT65" s="27"/>
      <c r="AU65" s="27"/>
      <c r="AV65" s="27"/>
      <c r="BA65" s="27"/>
      <c r="BF65" s="27"/>
      <c r="BG65" s="27"/>
      <c r="BH65" s="27"/>
      <c r="BI65" s="27"/>
      <c r="BJ65" s="27"/>
      <c r="BK65" s="27"/>
      <c r="BL65" s="27"/>
      <c r="BM65" s="27"/>
      <c r="BN65" s="27"/>
    </row>
    <row r="66" spans="15:68" x14ac:dyDescent="0.25">
      <c r="O66" s="27"/>
      <c r="T66" s="27"/>
      <c r="X66" s="27"/>
      <c r="Y66" s="27"/>
      <c r="Z66" s="27"/>
      <c r="AA66" s="27"/>
      <c r="AB66" s="27"/>
      <c r="AC66" s="27"/>
      <c r="AD66" s="27"/>
      <c r="AI66" s="27"/>
      <c r="AN66" s="27"/>
      <c r="AO66" s="27"/>
      <c r="AP66" s="27"/>
      <c r="AQ66" s="27"/>
      <c r="AR66" s="27"/>
      <c r="AS66" s="27"/>
      <c r="AT66" s="27"/>
      <c r="AU66" s="27"/>
      <c r="AV66" s="27"/>
      <c r="BA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5:68" x14ac:dyDescent="0.25">
      <c r="T67" s="27"/>
      <c r="X67" s="27"/>
      <c r="Y67" s="27"/>
      <c r="Z67" s="27"/>
      <c r="AA67" s="27"/>
      <c r="AB67" s="27"/>
      <c r="AI67" s="27"/>
      <c r="AN67" s="27"/>
      <c r="AO67" s="27"/>
      <c r="AP67" s="27"/>
      <c r="AQ67" s="27"/>
      <c r="AR67" s="27"/>
      <c r="AS67" s="27"/>
      <c r="AT67" s="27"/>
      <c r="AU67" s="27"/>
      <c r="AV67" s="27"/>
      <c r="BA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5:68" x14ac:dyDescent="0.25">
      <c r="T68" s="27"/>
      <c r="X68" s="27"/>
      <c r="Y68" s="27"/>
      <c r="Z68" s="27"/>
      <c r="AA68" s="27"/>
      <c r="AB68" s="27"/>
      <c r="AN68" s="27"/>
      <c r="AO68" s="27"/>
      <c r="AP68" s="27"/>
      <c r="AQ68" s="27"/>
      <c r="AR68" s="27"/>
      <c r="AS68" s="27"/>
      <c r="AT68" s="27"/>
      <c r="AU68" s="27"/>
      <c r="AV68" s="27"/>
      <c r="BF68" s="27"/>
      <c r="BG68" s="27"/>
      <c r="BH68" s="27"/>
      <c r="BI68" s="27"/>
      <c r="BJ68" s="27"/>
      <c r="BK68" s="27"/>
      <c r="BL68" s="27"/>
      <c r="BM68" s="27"/>
      <c r="BN68" s="27"/>
    </row>
    <row r="69" spans="15:68" x14ac:dyDescent="0.25">
      <c r="AN69" s="27"/>
      <c r="AO69" s="27"/>
      <c r="AP69" s="27"/>
      <c r="AQ69" s="27"/>
      <c r="AR69" s="27"/>
      <c r="AS69" s="27"/>
      <c r="AT69" s="27"/>
      <c r="AU69" s="27"/>
      <c r="AV69" s="27"/>
      <c r="BF69" s="27"/>
      <c r="BG69" s="27"/>
      <c r="BH69" s="27"/>
      <c r="BI69" s="27"/>
      <c r="BJ69" s="27"/>
      <c r="BK69" s="27"/>
      <c r="BL69" s="27"/>
      <c r="BM69" s="27"/>
      <c r="BN69" s="27"/>
    </row>
    <row r="95" spans="1:23" x14ac:dyDescent="0.25">
      <c r="A95" s="121" t="s">
        <v>248</v>
      </c>
      <c r="B95" s="114" t="s">
        <v>229</v>
      </c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</row>
    <row r="96" spans="1:23" x14ac:dyDescent="0.25">
      <c r="A96" s="121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</row>
    <row r="98" spans="1:21" x14ac:dyDescent="0.25"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U98" s="20"/>
    </row>
    <row r="99" spans="1:21" ht="26.25" x14ac:dyDescent="0.4">
      <c r="A99" s="120" t="s">
        <v>216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U99" s="20"/>
    </row>
    <row r="100" spans="1:21" x14ac:dyDescent="0.25">
      <c r="A100" s="6"/>
      <c r="B100" s="56" t="s">
        <v>192</v>
      </c>
      <c r="C100" s="56" t="s">
        <v>167</v>
      </c>
      <c r="D100" s="56" t="s">
        <v>193</v>
      </c>
      <c r="E100" s="56" t="s">
        <v>194</v>
      </c>
      <c r="F100" s="56" t="s">
        <v>195</v>
      </c>
      <c r="G100" s="56" t="s">
        <v>196</v>
      </c>
      <c r="H100" s="56" t="s">
        <v>197</v>
      </c>
      <c r="I100" s="56" t="s">
        <v>198</v>
      </c>
      <c r="J100" s="56" t="s">
        <v>199</v>
      </c>
      <c r="K100" s="56" t="s">
        <v>200</v>
      </c>
      <c r="L100" s="56" t="s">
        <v>201</v>
      </c>
      <c r="M100" s="56" t="s">
        <v>202</v>
      </c>
      <c r="N100" s="56" t="s">
        <v>203</v>
      </c>
      <c r="O100" s="56" t="s">
        <v>204</v>
      </c>
      <c r="P100" s="56" t="s">
        <v>205</v>
      </c>
      <c r="Q100" s="56" t="s">
        <v>206</v>
      </c>
      <c r="R100" s="101" t="s">
        <v>207</v>
      </c>
      <c r="U100" s="20"/>
    </row>
    <row r="101" spans="1:21" x14ac:dyDescent="0.25">
      <c r="A101" s="34" t="s">
        <v>187</v>
      </c>
      <c r="B101" s="59" t="s">
        <v>132</v>
      </c>
      <c r="C101" s="60">
        <f t="shared" ref="C101:C107" si="8">AVERAGE(D101:R101)</f>
        <v>1545.4213999999999</v>
      </c>
      <c r="D101" s="61">
        <v>79.935000000000002</v>
      </c>
      <c r="E101" s="61">
        <v>368.99200000000002</v>
      </c>
      <c r="F101" s="61">
        <v>587.20600000000002</v>
      </c>
      <c r="G101" s="61">
        <v>782.47</v>
      </c>
      <c r="H101" s="61">
        <v>997.75300000000004</v>
      </c>
      <c r="I101" s="61">
        <v>1150.299</v>
      </c>
      <c r="J101" s="61">
        <v>1470.3910000000001</v>
      </c>
      <c r="K101" s="61">
        <v>1627.5519999999999</v>
      </c>
      <c r="L101" s="61">
        <v>1755.731</v>
      </c>
      <c r="M101" s="61">
        <v>1998.367</v>
      </c>
      <c r="N101" s="61">
        <v>2120.143</v>
      </c>
      <c r="O101" s="61">
        <v>2286.7339999999999</v>
      </c>
      <c r="P101" s="61">
        <v>2424.3069999999998</v>
      </c>
      <c r="Q101" s="61">
        <v>2693.03</v>
      </c>
      <c r="R101" s="108">
        <v>2838.4110000000001</v>
      </c>
      <c r="U101" s="20"/>
    </row>
    <row r="102" spans="1:21" x14ac:dyDescent="0.25">
      <c r="A102" s="37" t="s">
        <v>188</v>
      </c>
      <c r="B102" s="28" t="s">
        <v>132</v>
      </c>
      <c r="C102" s="62">
        <f t="shared" si="8"/>
        <v>1680.2683333333334</v>
      </c>
      <c r="D102" s="63">
        <v>87.92</v>
      </c>
      <c r="E102" s="63">
        <v>505.88099999999997</v>
      </c>
      <c r="F102" s="63">
        <v>690.98800000000006</v>
      </c>
      <c r="G102" s="63">
        <v>872.55499999999995</v>
      </c>
      <c r="H102" s="63">
        <v>1065.527</v>
      </c>
      <c r="I102" s="63">
        <v>1328.434</v>
      </c>
      <c r="J102" s="63">
        <v>1453.383</v>
      </c>
      <c r="K102" s="63">
        <v>1689.2460000000001</v>
      </c>
      <c r="L102" s="63">
        <v>1878.1379999999999</v>
      </c>
      <c r="M102" s="63">
        <v>2161.8850000000002</v>
      </c>
      <c r="N102" s="63">
        <v>2246.1149999999998</v>
      </c>
      <c r="O102" s="63">
        <v>2521.8429999999998</v>
      </c>
      <c r="P102" s="63">
        <v>2680.623</v>
      </c>
      <c r="Q102" s="63">
        <v>2873.2739999999999</v>
      </c>
      <c r="R102" s="109">
        <v>3148.2130000000002</v>
      </c>
      <c r="U102" s="20"/>
    </row>
    <row r="103" spans="1:21" x14ac:dyDescent="0.25">
      <c r="A103" s="35" t="s">
        <v>189</v>
      </c>
      <c r="B103" s="36" t="s">
        <v>132</v>
      </c>
      <c r="C103" s="64">
        <f t="shared" si="8"/>
        <v>1675.2413333333332</v>
      </c>
      <c r="D103" s="65">
        <v>50.94</v>
      </c>
      <c r="E103" s="65">
        <v>229.76</v>
      </c>
      <c r="F103" s="65">
        <v>662.81</v>
      </c>
      <c r="G103" s="65">
        <v>845.27</v>
      </c>
      <c r="H103" s="65">
        <v>1171.6300000000001</v>
      </c>
      <c r="I103" s="65">
        <v>1299.44</v>
      </c>
      <c r="J103" s="65">
        <v>1492.04</v>
      </c>
      <c r="K103" s="65">
        <v>1687.92</v>
      </c>
      <c r="L103" s="65">
        <v>1932.08</v>
      </c>
      <c r="M103" s="65">
        <v>2199.39</v>
      </c>
      <c r="N103" s="65">
        <v>2297.35</v>
      </c>
      <c r="O103" s="65">
        <v>2516.15</v>
      </c>
      <c r="P103" s="65">
        <v>2715.69</v>
      </c>
      <c r="Q103" s="65">
        <v>2931.61</v>
      </c>
      <c r="R103" s="110">
        <v>3096.54</v>
      </c>
      <c r="U103" s="20"/>
    </row>
    <row r="104" spans="1:21" x14ac:dyDescent="0.25">
      <c r="A104" s="38" t="s">
        <v>190</v>
      </c>
      <c r="B104" s="30" t="s">
        <v>132</v>
      </c>
      <c r="C104" s="66">
        <f t="shared" si="8"/>
        <v>1102.5260000000001</v>
      </c>
      <c r="D104" s="43">
        <v>944.81</v>
      </c>
      <c r="E104" s="43">
        <v>899.45</v>
      </c>
      <c r="F104" s="43">
        <v>749.85</v>
      </c>
      <c r="G104" s="43">
        <v>929.64</v>
      </c>
      <c r="H104" s="43">
        <v>900.81</v>
      </c>
      <c r="I104" s="43">
        <v>1295.44</v>
      </c>
      <c r="J104" s="43">
        <v>1374.3</v>
      </c>
      <c r="K104" s="43">
        <v>935.09</v>
      </c>
      <c r="L104" s="43">
        <v>1906.86</v>
      </c>
      <c r="M104" s="43">
        <v>1410.66</v>
      </c>
      <c r="N104" s="43">
        <v>1548.99</v>
      </c>
      <c r="O104" s="43">
        <v>1225.55</v>
      </c>
      <c r="P104" s="43">
        <v>1170.3599999999999</v>
      </c>
      <c r="Q104" s="43">
        <v>1163.5999999999999</v>
      </c>
      <c r="R104" s="43">
        <v>82.48</v>
      </c>
    </row>
    <row r="105" spans="1:21" x14ac:dyDescent="0.25">
      <c r="A105" s="39" t="s">
        <v>186</v>
      </c>
      <c r="B105" s="40" t="s">
        <v>132</v>
      </c>
      <c r="C105" s="67">
        <f t="shared" si="8"/>
        <v>152.75933333333333</v>
      </c>
      <c r="D105" s="68">
        <v>508.14</v>
      </c>
      <c r="E105" s="68">
        <v>93.234999999999999</v>
      </c>
      <c r="F105" s="68">
        <v>304.26</v>
      </c>
      <c r="G105" s="68">
        <v>88.984999999999999</v>
      </c>
      <c r="H105" s="68">
        <v>88.165000000000006</v>
      </c>
      <c r="I105" s="68">
        <v>94.454999999999998</v>
      </c>
      <c r="J105" s="68">
        <v>101.01</v>
      </c>
      <c r="K105" s="68">
        <v>298.66500000000002</v>
      </c>
      <c r="L105" s="68">
        <v>77.66</v>
      </c>
      <c r="M105" s="68">
        <v>90.344999999999999</v>
      </c>
      <c r="N105" s="68">
        <v>171.88499999999999</v>
      </c>
      <c r="O105" s="68">
        <v>90.215000000000003</v>
      </c>
      <c r="P105" s="68">
        <v>89.864999999999995</v>
      </c>
      <c r="Q105" s="68">
        <v>90.34</v>
      </c>
      <c r="R105" s="68">
        <v>104.16500000000001</v>
      </c>
    </row>
    <row r="106" spans="1:21" x14ac:dyDescent="0.25">
      <c r="A106" s="6" t="s">
        <v>185</v>
      </c>
      <c r="B106" s="56" t="s">
        <v>132</v>
      </c>
      <c r="C106" s="69">
        <f t="shared" si="8"/>
        <v>146.14066666666668</v>
      </c>
      <c r="D106" s="70">
        <v>319.685</v>
      </c>
      <c r="E106" s="70">
        <v>133.28</v>
      </c>
      <c r="F106" s="70">
        <v>93.594999999999999</v>
      </c>
      <c r="G106" s="70">
        <v>123.795</v>
      </c>
      <c r="H106" s="70">
        <v>33.47</v>
      </c>
      <c r="I106" s="70">
        <v>34.445</v>
      </c>
      <c r="J106" s="70">
        <v>232.34</v>
      </c>
      <c r="K106" s="70">
        <v>31.574999999999999</v>
      </c>
      <c r="L106" s="70">
        <v>582.16999999999996</v>
      </c>
      <c r="M106" s="70">
        <v>140.29</v>
      </c>
      <c r="N106" s="70">
        <v>36.454999999999998</v>
      </c>
      <c r="O106" s="70">
        <v>211.43</v>
      </c>
      <c r="P106" s="70">
        <v>34.085000000000001</v>
      </c>
      <c r="Q106" s="70">
        <v>151.89500000000001</v>
      </c>
      <c r="R106" s="70">
        <v>33.6</v>
      </c>
    </row>
    <row r="107" spans="1:21" x14ac:dyDescent="0.25">
      <c r="A107" s="41" t="s">
        <v>191</v>
      </c>
      <c r="B107" s="42" t="s">
        <v>132</v>
      </c>
      <c r="C107" s="71">
        <f t="shared" si="8"/>
        <v>178.86900000000003</v>
      </c>
      <c r="D107" s="72">
        <v>313.29500000000002</v>
      </c>
      <c r="E107" s="72">
        <v>46.795000000000002</v>
      </c>
      <c r="F107" s="72">
        <v>402.85</v>
      </c>
      <c r="G107" s="72">
        <v>166.715</v>
      </c>
      <c r="H107" s="72">
        <v>188.44499999999999</v>
      </c>
      <c r="I107" s="72">
        <v>34.25</v>
      </c>
      <c r="J107" s="72">
        <v>83.12</v>
      </c>
      <c r="K107" s="72">
        <v>280.01499999999999</v>
      </c>
      <c r="L107" s="72">
        <v>147.27500000000001</v>
      </c>
      <c r="M107" s="72">
        <v>231.91499999999999</v>
      </c>
      <c r="N107" s="72">
        <v>138.035</v>
      </c>
      <c r="O107" s="72">
        <v>152.39500000000001</v>
      </c>
      <c r="P107" s="72">
        <v>196.51499999999999</v>
      </c>
      <c r="Q107" s="72">
        <v>164.04</v>
      </c>
      <c r="R107" s="72">
        <v>137.375</v>
      </c>
    </row>
    <row r="108" spans="1:21" s="89" customFormat="1" x14ac:dyDescent="0.25">
      <c r="A108" s="87"/>
      <c r="B108" s="52"/>
      <c r="C108" s="88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/>
      <c r="T108"/>
      <c r="U108"/>
    </row>
    <row r="110" spans="1:21" ht="26.25" x14ac:dyDescent="0.4">
      <c r="A110" s="120" t="s">
        <v>233</v>
      </c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</row>
    <row r="111" spans="1:21" x14ac:dyDescent="0.25">
      <c r="A111" s="6"/>
      <c r="B111" s="75" t="s">
        <v>192</v>
      </c>
      <c r="C111" s="75" t="s">
        <v>167</v>
      </c>
      <c r="D111" s="75" t="s">
        <v>193</v>
      </c>
      <c r="E111" s="75" t="s">
        <v>194</v>
      </c>
      <c r="F111" s="75" t="s">
        <v>195</v>
      </c>
      <c r="G111" s="75" t="s">
        <v>196</v>
      </c>
      <c r="H111" s="75" t="s">
        <v>197</v>
      </c>
      <c r="I111" s="75" t="s">
        <v>198</v>
      </c>
      <c r="J111" s="75" t="s">
        <v>199</v>
      </c>
      <c r="K111" s="75" t="s">
        <v>200</v>
      </c>
      <c r="L111" s="75" t="s">
        <v>201</v>
      </c>
      <c r="M111" s="75" t="s">
        <v>202</v>
      </c>
      <c r="N111" s="75" t="s">
        <v>203</v>
      </c>
      <c r="O111" s="75" t="s">
        <v>204</v>
      </c>
      <c r="P111" s="75" t="s">
        <v>205</v>
      </c>
      <c r="Q111" s="75" t="s">
        <v>206</v>
      </c>
      <c r="R111" s="75" t="s">
        <v>207</v>
      </c>
    </row>
    <row r="112" spans="1:21" x14ac:dyDescent="0.25">
      <c r="A112" s="34" t="s">
        <v>187</v>
      </c>
      <c r="B112" s="76" t="s">
        <v>132</v>
      </c>
      <c r="C112" s="60">
        <f t="shared" ref="C112:C118" si="9">AVERAGE(D112:R112)</f>
        <v>422.5646666666666</v>
      </c>
      <c r="D112" s="61">
        <v>44.36</v>
      </c>
      <c r="E112" s="61">
        <v>77.38</v>
      </c>
      <c r="F112" s="61">
        <v>135.88999999999999</v>
      </c>
      <c r="G112" s="61">
        <v>372.83</v>
      </c>
      <c r="H112" s="61">
        <v>306.5</v>
      </c>
      <c r="I112" s="61">
        <v>394.15</v>
      </c>
      <c r="J112" s="61">
        <v>349.49</v>
      </c>
      <c r="K112" s="61">
        <v>430.36</v>
      </c>
      <c r="L112" s="61">
        <v>395.33</v>
      </c>
      <c r="M112" s="61">
        <v>460.45</v>
      </c>
      <c r="N112" s="61">
        <v>498.87</v>
      </c>
      <c r="O112" s="61">
        <v>677.98</v>
      </c>
      <c r="P112" s="61">
        <v>678.37</v>
      </c>
      <c r="Q112" s="61">
        <v>760.99</v>
      </c>
      <c r="R112" s="61">
        <v>755.52</v>
      </c>
    </row>
    <row r="113" spans="1:63" x14ac:dyDescent="0.25">
      <c r="A113" s="37" t="s">
        <v>188</v>
      </c>
      <c r="B113" s="28" t="s">
        <v>132</v>
      </c>
      <c r="C113" s="62">
        <f t="shared" si="9"/>
        <v>461.60600000000005</v>
      </c>
      <c r="D113" s="63">
        <v>37.869999999999997</v>
      </c>
      <c r="E113" s="63">
        <v>195.15</v>
      </c>
      <c r="F113" s="63">
        <v>208.31</v>
      </c>
      <c r="G113" s="63">
        <v>278.25</v>
      </c>
      <c r="H113" s="63">
        <v>281.29000000000002</v>
      </c>
      <c r="I113" s="63">
        <v>321.94</v>
      </c>
      <c r="J113" s="63">
        <v>363.68</v>
      </c>
      <c r="K113" s="63">
        <v>485.59</v>
      </c>
      <c r="L113" s="63">
        <v>597.54</v>
      </c>
      <c r="M113" s="63">
        <v>560.41</v>
      </c>
      <c r="N113" s="63">
        <v>635.57000000000005</v>
      </c>
      <c r="O113" s="63">
        <v>666.75</v>
      </c>
      <c r="P113" s="63">
        <v>734.77</v>
      </c>
      <c r="Q113" s="63">
        <v>778.42</v>
      </c>
      <c r="R113" s="63">
        <v>778.55</v>
      </c>
    </row>
    <row r="114" spans="1:63" x14ac:dyDescent="0.25">
      <c r="A114" s="35" t="s">
        <v>189</v>
      </c>
      <c r="B114" s="36" t="s">
        <v>132</v>
      </c>
      <c r="C114" s="64">
        <f t="shared" si="9"/>
        <v>393.83333333333331</v>
      </c>
      <c r="D114" s="65">
        <v>36.15</v>
      </c>
      <c r="E114" s="65">
        <v>131.49</v>
      </c>
      <c r="F114" s="65">
        <v>174.39</v>
      </c>
      <c r="G114" s="65">
        <v>212.99</v>
      </c>
      <c r="H114" s="65">
        <v>277.43</v>
      </c>
      <c r="I114" s="65">
        <v>318.2</v>
      </c>
      <c r="J114" s="65">
        <v>344.96</v>
      </c>
      <c r="K114" s="65">
        <v>403.47</v>
      </c>
      <c r="L114" s="65">
        <v>418.5</v>
      </c>
      <c r="M114" s="65">
        <v>515.48</v>
      </c>
      <c r="N114" s="65">
        <v>534.02</v>
      </c>
      <c r="O114" s="65">
        <v>563.77</v>
      </c>
      <c r="P114" s="65">
        <v>595.28</v>
      </c>
      <c r="Q114" s="65">
        <v>638.83000000000004</v>
      </c>
      <c r="R114" s="65">
        <v>742.54</v>
      </c>
    </row>
    <row r="115" spans="1:63" x14ac:dyDescent="0.25">
      <c r="A115" s="38" t="s">
        <v>190</v>
      </c>
      <c r="B115" s="30" t="s">
        <v>132</v>
      </c>
      <c r="C115" s="66">
        <f t="shared" si="9"/>
        <v>922.49199999999996</v>
      </c>
      <c r="D115" s="43">
        <v>557.28</v>
      </c>
      <c r="E115" s="43">
        <v>603.13</v>
      </c>
      <c r="F115" s="43">
        <v>646.36</v>
      </c>
      <c r="G115" s="43">
        <v>561.75</v>
      </c>
      <c r="H115" s="43">
        <v>493.31</v>
      </c>
      <c r="I115" s="43">
        <v>640.28</v>
      </c>
      <c r="J115" s="43">
        <v>863.05</v>
      </c>
      <c r="K115" s="43">
        <v>926.21</v>
      </c>
      <c r="L115" s="43">
        <v>911.17</v>
      </c>
      <c r="M115" s="43">
        <v>1045.67</v>
      </c>
      <c r="N115" s="43">
        <v>980.79</v>
      </c>
      <c r="O115" s="43">
        <v>1489.24</v>
      </c>
      <c r="P115" s="43">
        <v>1471.96</v>
      </c>
      <c r="Q115" s="43">
        <v>1324.12</v>
      </c>
      <c r="R115" s="43">
        <v>1323.06</v>
      </c>
    </row>
    <row r="116" spans="1:63" x14ac:dyDescent="0.25">
      <c r="A116" s="39" t="s">
        <v>186</v>
      </c>
      <c r="B116" s="40" t="s">
        <v>132</v>
      </c>
      <c r="C116" s="67">
        <f t="shared" si="9"/>
        <v>271.08600000000001</v>
      </c>
      <c r="D116" s="68">
        <v>1840.9949999999999</v>
      </c>
      <c r="E116" s="68">
        <v>112.89</v>
      </c>
      <c r="F116" s="68">
        <v>511.24</v>
      </c>
      <c r="G116" s="68">
        <v>98.885000000000005</v>
      </c>
      <c r="H116" s="68">
        <v>108.2</v>
      </c>
      <c r="I116" s="68">
        <v>104.76</v>
      </c>
      <c r="J116" s="68">
        <v>115.75</v>
      </c>
      <c r="K116" s="68">
        <v>74.795000000000002</v>
      </c>
      <c r="L116" s="68">
        <v>80.66</v>
      </c>
      <c r="M116" s="68">
        <v>290.76499999999999</v>
      </c>
      <c r="N116" s="68">
        <v>253.85</v>
      </c>
      <c r="O116" s="68">
        <v>59.405000000000001</v>
      </c>
      <c r="P116" s="68">
        <v>98.405000000000001</v>
      </c>
      <c r="Q116" s="68">
        <v>249.02</v>
      </c>
      <c r="R116" s="68">
        <v>66.67</v>
      </c>
    </row>
    <row r="117" spans="1:63" x14ac:dyDescent="0.25">
      <c r="A117" s="6" t="s">
        <v>185</v>
      </c>
      <c r="B117" s="75" t="s">
        <v>132</v>
      </c>
      <c r="C117" s="69">
        <f t="shared" si="9"/>
        <v>135.51633333333334</v>
      </c>
      <c r="D117" s="70">
        <v>684.74</v>
      </c>
      <c r="E117" s="70">
        <v>62.274999999999999</v>
      </c>
      <c r="F117" s="70">
        <v>93.61</v>
      </c>
      <c r="G117" s="70">
        <v>65.795000000000002</v>
      </c>
      <c r="H117" s="70">
        <v>74.135000000000005</v>
      </c>
      <c r="I117" s="70">
        <v>94.76</v>
      </c>
      <c r="J117" s="70">
        <v>74.63</v>
      </c>
      <c r="K117" s="70">
        <v>80.864999999999995</v>
      </c>
      <c r="L117" s="70">
        <v>191.84</v>
      </c>
      <c r="M117" s="70">
        <v>97.114999999999995</v>
      </c>
      <c r="N117" s="70">
        <v>83.525000000000006</v>
      </c>
      <c r="O117" s="70">
        <v>82.78</v>
      </c>
      <c r="P117" s="70">
        <v>108.66500000000001</v>
      </c>
      <c r="Q117" s="70">
        <v>137.60499999999999</v>
      </c>
      <c r="R117" s="70">
        <v>100.405</v>
      </c>
    </row>
    <row r="118" spans="1:63" x14ac:dyDescent="0.25">
      <c r="A118" s="41" t="s">
        <v>191</v>
      </c>
      <c r="B118" s="42" t="s">
        <v>132</v>
      </c>
      <c r="C118" s="71">
        <f t="shared" si="9"/>
        <v>96.589333333333329</v>
      </c>
      <c r="D118" s="72">
        <v>96.79</v>
      </c>
      <c r="E118" s="72">
        <v>73.91</v>
      </c>
      <c r="F118" s="72">
        <v>73.25</v>
      </c>
      <c r="G118" s="72">
        <v>83.85</v>
      </c>
      <c r="H118" s="72">
        <v>150.755</v>
      </c>
      <c r="I118" s="72">
        <v>238.815</v>
      </c>
      <c r="J118" s="72">
        <v>85.575000000000003</v>
      </c>
      <c r="K118" s="72">
        <v>95.57</v>
      </c>
      <c r="L118" s="72">
        <v>80.319999999999993</v>
      </c>
      <c r="M118" s="72">
        <v>87.805000000000007</v>
      </c>
      <c r="N118" s="72">
        <v>71.825000000000003</v>
      </c>
      <c r="O118" s="72">
        <v>82.055000000000007</v>
      </c>
      <c r="P118" s="72">
        <v>39.57</v>
      </c>
      <c r="Q118" s="72">
        <v>114.765</v>
      </c>
      <c r="R118" s="72">
        <v>73.984999999999999</v>
      </c>
      <c r="Y118" s="80"/>
    </row>
    <row r="119" spans="1:63" x14ac:dyDescent="0.25">
      <c r="Y119" s="21"/>
    </row>
    <row r="120" spans="1:63" x14ac:dyDescent="0.25">
      <c r="R120" s="103"/>
    </row>
    <row r="121" spans="1:63" x14ac:dyDescent="0.25">
      <c r="B121" s="51"/>
      <c r="C121" s="51"/>
      <c r="D121" s="51"/>
      <c r="E121" s="51"/>
      <c r="F121" s="51"/>
      <c r="G121" s="52"/>
      <c r="H121" s="52"/>
      <c r="I121" s="52"/>
      <c r="J121" s="52"/>
      <c r="K121" s="52"/>
      <c r="L121" s="52"/>
      <c r="M121" s="53"/>
      <c r="N121" s="53"/>
      <c r="O121" s="52"/>
      <c r="P121" s="52"/>
      <c r="Q121" s="54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5"/>
      <c r="BJ121" s="27"/>
      <c r="BK121" s="27"/>
    </row>
    <row r="122" spans="1:63" x14ac:dyDescent="0.25">
      <c r="B122" s="115" t="s">
        <v>219</v>
      </c>
      <c r="C122" s="115"/>
      <c r="D122" s="56"/>
      <c r="E122" s="115" t="s">
        <v>228</v>
      </c>
      <c r="F122" s="115"/>
      <c r="G122" s="115" t="s">
        <v>217</v>
      </c>
      <c r="H122" s="115"/>
      <c r="I122" s="115"/>
      <c r="J122" s="115"/>
      <c r="K122" s="124" t="s">
        <v>227</v>
      </c>
      <c r="L122" s="125"/>
      <c r="M122" s="126" t="s">
        <v>218</v>
      </c>
      <c r="N122" s="126"/>
      <c r="O122" s="28" t="s">
        <v>221</v>
      </c>
      <c r="P122" s="29" t="s">
        <v>158</v>
      </c>
      <c r="Q122" s="30" t="s">
        <v>123</v>
      </c>
      <c r="R122" s="33" t="s">
        <v>209</v>
      </c>
      <c r="S122" s="56" t="s">
        <v>146</v>
      </c>
      <c r="T122" s="32" t="s">
        <v>177</v>
      </c>
      <c r="U122" s="59" t="s">
        <v>222</v>
      </c>
      <c r="V122" s="28" t="s">
        <v>223</v>
      </c>
      <c r="W122" s="29" t="s">
        <v>158</v>
      </c>
      <c r="X122" s="30" t="s">
        <v>123</v>
      </c>
      <c r="Y122" s="59" t="s">
        <v>222</v>
      </c>
      <c r="Z122" s="28" t="s">
        <v>223</v>
      </c>
      <c r="AA122" s="29" t="s">
        <v>158</v>
      </c>
      <c r="AB122" s="30" t="s">
        <v>123</v>
      </c>
      <c r="AC122" s="59" t="s">
        <v>222</v>
      </c>
      <c r="AD122" s="28" t="s">
        <v>223</v>
      </c>
      <c r="AE122" s="29" t="s">
        <v>158</v>
      </c>
      <c r="AF122" s="30" t="s">
        <v>123</v>
      </c>
      <c r="AG122" s="59" t="s">
        <v>222</v>
      </c>
      <c r="AH122" s="28" t="s">
        <v>223</v>
      </c>
      <c r="AI122" s="29" t="s">
        <v>158</v>
      </c>
      <c r="AJ122" s="30" t="s">
        <v>123</v>
      </c>
      <c r="AK122" s="59" t="s">
        <v>222</v>
      </c>
      <c r="AL122" s="28" t="s">
        <v>223</v>
      </c>
      <c r="AM122" s="29" t="s">
        <v>158</v>
      </c>
      <c r="AN122" s="30" t="s">
        <v>123</v>
      </c>
      <c r="AO122" s="59" t="s">
        <v>222</v>
      </c>
      <c r="AP122" s="28" t="s">
        <v>223</v>
      </c>
      <c r="AQ122" s="29" t="s">
        <v>158</v>
      </c>
      <c r="AR122" s="30" t="s">
        <v>123</v>
      </c>
      <c r="AS122" s="59" t="s">
        <v>222</v>
      </c>
      <c r="AT122" s="28" t="s">
        <v>223</v>
      </c>
      <c r="AU122" s="29" t="s">
        <v>158</v>
      </c>
      <c r="AV122" s="30" t="s">
        <v>123</v>
      </c>
      <c r="AW122" s="59" t="s">
        <v>222</v>
      </c>
      <c r="AX122" s="28" t="s">
        <v>223</v>
      </c>
      <c r="AY122" s="29" t="s">
        <v>158</v>
      </c>
      <c r="AZ122" s="30" t="s">
        <v>123</v>
      </c>
      <c r="BA122" s="59" t="s">
        <v>222</v>
      </c>
      <c r="BB122" s="28" t="s">
        <v>223</v>
      </c>
      <c r="BC122" s="29" t="s">
        <v>158</v>
      </c>
      <c r="BD122" s="30" t="s">
        <v>123</v>
      </c>
      <c r="BE122" s="59" t="s">
        <v>222</v>
      </c>
      <c r="BF122" s="28" t="s">
        <v>223</v>
      </c>
      <c r="BG122" s="29" t="s">
        <v>158</v>
      </c>
      <c r="BH122" s="30" t="s">
        <v>123</v>
      </c>
    </row>
    <row r="123" spans="1:63" s="50" customFormat="1" x14ac:dyDescent="0.25">
      <c r="B123" s="112" t="s">
        <v>220</v>
      </c>
      <c r="C123" s="112"/>
      <c r="D123" s="57"/>
      <c r="E123" s="112">
        <v>1</v>
      </c>
      <c r="F123" s="112"/>
      <c r="G123" s="112">
        <f>E123*60</f>
        <v>60</v>
      </c>
      <c r="H123" s="112"/>
      <c r="I123" s="112"/>
      <c r="J123" s="112"/>
      <c r="K123" s="127">
        <f>AVERAGE(U123,Y123,AC123,AG123,AK123,AO123,AS123,AW123,BA123,BE123)</f>
        <v>0.13791666666666666</v>
      </c>
      <c r="L123" s="128"/>
      <c r="M123" s="118">
        <f>K123*60</f>
        <v>8.2750000000000004</v>
      </c>
      <c r="N123" s="118"/>
      <c r="O123" s="77">
        <f>AVERAGE(V123,Z123,AD123,AH123,AL123,AP123,AT123,AX123,BB123,BF123)/1000</f>
        <v>1.3592500000000001</v>
      </c>
      <c r="P123" s="45">
        <f t="shared" ref="P123:P130" si="10">AVERAGE(W123,AA123,AE123,AI123,AM123,AQ123,AU123,AY123,BC123,BG123)</f>
        <v>63.5</v>
      </c>
      <c r="Q123" s="78">
        <f>AVERAGE(X123,AB123,AF123,AJ123,AN123,AR123,AV123,AZ123,BD123,BH123)/1000</f>
        <v>2.57775</v>
      </c>
      <c r="R123" s="46">
        <v>3.4</v>
      </c>
      <c r="S123" s="57">
        <v>571</v>
      </c>
      <c r="T123" s="47">
        <v>51</v>
      </c>
      <c r="U123" s="48">
        <f>8.5/60</f>
        <v>0.14166666666666666</v>
      </c>
      <c r="V123" s="44">
        <v>1266</v>
      </c>
      <c r="W123" s="45">
        <v>54</v>
      </c>
      <c r="X123" s="49">
        <v>2466</v>
      </c>
      <c r="Y123" s="48">
        <f>8.3/60</f>
        <v>0.13833333333333334</v>
      </c>
      <c r="Z123" s="44">
        <v>1585</v>
      </c>
      <c r="AA123" s="45">
        <v>39</v>
      </c>
      <c r="AB123" s="49">
        <v>2851</v>
      </c>
      <c r="AC123" s="48">
        <f>8/60</f>
        <v>0.13333333333333333</v>
      </c>
      <c r="AD123" s="44">
        <v>1146</v>
      </c>
      <c r="AE123" s="45">
        <v>84</v>
      </c>
      <c r="AF123" s="49">
        <v>2527</v>
      </c>
      <c r="AG123" s="48">
        <f>8.3/60</f>
        <v>0.13833333333333334</v>
      </c>
      <c r="AH123" s="44">
        <v>1440</v>
      </c>
      <c r="AI123" s="45">
        <v>77</v>
      </c>
      <c r="AJ123" s="49">
        <v>2467</v>
      </c>
      <c r="AK123" s="48"/>
      <c r="AL123" s="44"/>
      <c r="AM123" s="45"/>
      <c r="AN123" s="49"/>
      <c r="AO123" s="48"/>
      <c r="AP123" s="44"/>
      <c r="AQ123" s="45"/>
      <c r="AR123" s="49"/>
      <c r="AS123" s="48"/>
      <c r="AT123" s="44"/>
      <c r="AU123" s="45"/>
      <c r="AV123" s="49"/>
      <c r="AW123" s="48"/>
      <c r="AX123" s="44"/>
      <c r="AY123" s="45"/>
      <c r="AZ123" s="49"/>
      <c r="BA123" s="48"/>
      <c r="BB123" s="44"/>
      <c r="BC123" s="45"/>
      <c r="BD123" s="49"/>
      <c r="BE123" s="48"/>
      <c r="BF123" s="44"/>
      <c r="BG123" s="45"/>
      <c r="BH123" s="49"/>
    </row>
    <row r="124" spans="1:63" s="50" customFormat="1" x14ac:dyDescent="0.25">
      <c r="B124" s="112"/>
      <c r="C124" s="112"/>
      <c r="D124" s="57"/>
      <c r="E124" s="112">
        <v>5</v>
      </c>
      <c r="F124" s="112"/>
      <c r="G124" s="112">
        <f>E124*60</f>
        <v>300</v>
      </c>
      <c r="H124" s="112"/>
      <c r="I124" s="112"/>
      <c r="J124" s="112"/>
      <c r="K124" s="127">
        <f t="shared" ref="K124:K128" si="11">AVERAGE(U124,Y124,AC124,AG124,AK124,AO124,AS124,AW124,BA124,BE124)</f>
        <v>0.40499999999999997</v>
      </c>
      <c r="L124" s="128"/>
      <c r="M124" s="118">
        <f t="shared" ref="M124:M127" si="12">K124*60</f>
        <v>24.299999999999997</v>
      </c>
      <c r="N124" s="118"/>
      <c r="O124" s="77">
        <f t="shared" ref="O124:O130" si="13">AVERAGE(V124,Z124,AD124,AH124,AL124,AP124,AT124,AX124,BB124,BF124)/1000</f>
        <v>4.4859999999999998</v>
      </c>
      <c r="P124" s="45">
        <f t="shared" si="10"/>
        <v>89.75</v>
      </c>
      <c r="Q124" s="78">
        <f t="shared" ref="Q124:Q130" si="14">AVERAGE(X124,AB124,AF124,AJ124,AN124,AR124,AV124,AZ124,BD124,BH124)/1000</f>
        <v>13.51825</v>
      </c>
      <c r="R124" s="46">
        <v>4.8</v>
      </c>
      <c r="S124" s="57">
        <v>590</v>
      </c>
      <c r="T124" s="47">
        <v>55</v>
      </c>
      <c r="U124" s="48">
        <f>25.7/60</f>
        <v>0.42833333333333334</v>
      </c>
      <c r="V124" s="44">
        <v>4101</v>
      </c>
      <c r="W124" s="45">
        <v>105</v>
      </c>
      <c r="X124" s="49">
        <v>11796</v>
      </c>
      <c r="Y124" s="48">
        <f>27.2/60</f>
        <v>0.45333333333333331</v>
      </c>
      <c r="Z124" s="44">
        <v>3445</v>
      </c>
      <c r="AA124" s="45">
        <v>99</v>
      </c>
      <c r="AB124" s="49">
        <v>10771</v>
      </c>
      <c r="AC124" s="48">
        <f>23.6/60</f>
        <v>0.39333333333333337</v>
      </c>
      <c r="AD124" s="44">
        <v>4493</v>
      </c>
      <c r="AE124" s="45">
        <v>44</v>
      </c>
      <c r="AF124" s="49">
        <v>14257</v>
      </c>
      <c r="AG124" s="48">
        <f>20.7/60</f>
        <v>0.34499999999999997</v>
      </c>
      <c r="AH124" s="44">
        <v>5905</v>
      </c>
      <c r="AI124" s="45">
        <v>111</v>
      </c>
      <c r="AJ124" s="49">
        <v>17249</v>
      </c>
      <c r="AK124" s="48"/>
      <c r="AL124" s="44"/>
      <c r="AM124" s="45"/>
      <c r="AN124" s="49"/>
      <c r="AO124" s="48"/>
      <c r="AP124" s="44"/>
      <c r="AQ124" s="45"/>
      <c r="AR124" s="49"/>
      <c r="AS124" s="48"/>
      <c r="AT124" s="44"/>
      <c r="AU124" s="45"/>
      <c r="AV124" s="49"/>
      <c r="AW124" s="48"/>
      <c r="AX124" s="44"/>
      <c r="AY124" s="45"/>
      <c r="AZ124" s="49"/>
      <c r="BA124" s="48"/>
      <c r="BB124" s="44"/>
      <c r="BC124" s="45"/>
      <c r="BD124" s="49"/>
      <c r="BE124" s="48"/>
      <c r="BF124" s="44"/>
      <c r="BG124" s="45"/>
      <c r="BH124" s="49"/>
    </row>
    <row r="125" spans="1:63" s="50" customFormat="1" x14ac:dyDescent="0.25">
      <c r="B125" s="112"/>
      <c r="C125" s="112"/>
      <c r="D125" s="74"/>
      <c r="E125" s="112">
        <v>10</v>
      </c>
      <c r="F125" s="112"/>
      <c r="G125" s="112">
        <f t="shared" ref="G125:G130" si="15">E125*60</f>
        <v>600</v>
      </c>
      <c r="H125" s="112"/>
      <c r="I125" s="112"/>
      <c r="J125" s="112"/>
      <c r="K125" s="127">
        <f t="shared" si="11"/>
        <v>0.5788888888888889</v>
      </c>
      <c r="L125" s="128"/>
      <c r="M125" s="118">
        <f t="shared" si="12"/>
        <v>34.733333333333334</v>
      </c>
      <c r="N125" s="118"/>
      <c r="O125" s="77">
        <f t="shared" si="13"/>
        <v>8.4629999999999992</v>
      </c>
      <c r="P125" s="45">
        <f t="shared" si="10"/>
        <v>98</v>
      </c>
      <c r="Q125" s="78">
        <f t="shared" si="14"/>
        <v>24.186666666666667</v>
      </c>
      <c r="R125" s="46">
        <v>4.8</v>
      </c>
      <c r="S125" s="74">
        <v>637</v>
      </c>
      <c r="T125" s="47">
        <v>57</v>
      </c>
      <c r="U125" s="48">
        <f>33.4/60</f>
        <v>0.55666666666666664</v>
      </c>
      <c r="V125" s="44">
        <v>8669</v>
      </c>
      <c r="W125" s="45">
        <v>51</v>
      </c>
      <c r="X125" s="49">
        <v>26739</v>
      </c>
      <c r="Y125" s="48">
        <f>33.9/60</f>
        <v>0.56499999999999995</v>
      </c>
      <c r="Z125" s="44">
        <v>8896</v>
      </c>
      <c r="AA125" s="45">
        <v>119</v>
      </c>
      <c r="AB125" s="49">
        <v>27915</v>
      </c>
      <c r="AC125" s="48">
        <f>36.9/60</f>
        <v>0.61499999999999999</v>
      </c>
      <c r="AD125" s="44">
        <v>7824</v>
      </c>
      <c r="AE125" s="45">
        <v>124</v>
      </c>
      <c r="AF125" s="49">
        <v>17906</v>
      </c>
      <c r="AG125" s="48"/>
      <c r="AH125" s="44"/>
      <c r="AI125" s="45"/>
      <c r="AJ125" s="49"/>
      <c r="AK125" s="48"/>
      <c r="AL125" s="44"/>
      <c r="AM125" s="45"/>
      <c r="AN125" s="49"/>
      <c r="AO125" s="48"/>
      <c r="AP125" s="44"/>
      <c r="AQ125" s="45"/>
      <c r="AR125" s="49"/>
      <c r="AS125" s="48"/>
      <c r="AT125" s="44"/>
      <c r="AU125" s="45"/>
      <c r="AV125" s="49"/>
      <c r="AW125" s="48"/>
      <c r="AX125" s="44"/>
      <c r="AY125" s="45"/>
      <c r="AZ125" s="49"/>
      <c r="BA125" s="48"/>
      <c r="BB125" s="44"/>
      <c r="BC125" s="45"/>
      <c r="BD125" s="49"/>
      <c r="BE125" s="48"/>
      <c r="BF125" s="44"/>
      <c r="BG125" s="45"/>
      <c r="BH125" s="49"/>
    </row>
    <row r="126" spans="1:63" s="50" customFormat="1" x14ac:dyDescent="0.25">
      <c r="B126" s="112"/>
      <c r="C126" s="112"/>
      <c r="D126" s="74"/>
      <c r="E126" s="112">
        <v>20</v>
      </c>
      <c r="F126" s="112"/>
      <c r="G126" s="112">
        <f t="shared" si="15"/>
        <v>1200</v>
      </c>
      <c r="H126" s="112"/>
      <c r="I126" s="112"/>
      <c r="J126" s="112"/>
      <c r="K126" s="127">
        <f t="shared" si="11"/>
        <v>0.63041666666666663</v>
      </c>
      <c r="L126" s="128"/>
      <c r="M126" s="118">
        <f t="shared" si="12"/>
        <v>37.824999999999996</v>
      </c>
      <c r="N126" s="118"/>
      <c r="O126" s="77">
        <f t="shared" si="13"/>
        <v>21.035499999999999</v>
      </c>
      <c r="P126" s="45">
        <f t="shared" si="10"/>
        <v>98.75</v>
      </c>
      <c r="Q126" s="78">
        <f t="shared" si="14"/>
        <v>70.623999999999995</v>
      </c>
      <c r="R126" s="46">
        <v>4.2</v>
      </c>
      <c r="S126" s="74">
        <v>731</v>
      </c>
      <c r="T126" s="47">
        <v>57</v>
      </c>
      <c r="U126" s="48">
        <f>39.1/60</f>
        <v>0.65166666666666673</v>
      </c>
      <c r="V126" s="44">
        <v>20621</v>
      </c>
      <c r="W126" s="45">
        <v>130</v>
      </c>
      <c r="X126" s="49">
        <v>65402</v>
      </c>
      <c r="Y126" s="48">
        <f>37.4/60</f>
        <v>0.62333333333333329</v>
      </c>
      <c r="Z126" s="44">
        <v>21050</v>
      </c>
      <c r="AA126" s="45">
        <v>10</v>
      </c>
      <c r="AB126" s="49">
        <v>72376</v>
      </c>
      <c r="AC126" s="48">
        <f>37.7/60</f>
        <v>0.62833333333333341</v>
      </c>
      <c r="AD126" s="44">
        <v>21882</v>
      </c>
      <c r="AE126" s="45">
        <v>115</v>
      </c>
      <c r="AF126" s="49">
        <v>70486</v>
      </c>
      <c r="AG126" s="48">
        <f>37.1/60</f>
        <v>0.6183333333333334</v>
      </c>
      <c r="AH126" s="44">
        <v>20589</v>
      </c>
      <c r="AI126" s="45">
        <v>140</v>
      </c>
      <c r="AJ126" s="49">
        <v>74232</v>
      </c>
      <c r="AK126" s="48"/>
      <c r="AL126" s="44"/>
      <c r="AM126" s="45"/>
      <c r="AN126" s="49"/>
      <c r="AO126" s="48"/>
      <c r="AP126" s="44"/>
      <c r="AQ126" s="45"/>
      <c r="AR126" s="49"/>
      <c r="AS126" s="48"/>
      <c r="AT126" s="44"/>
      <c r="AU126" s="45"/>
      <c r="AV126" s="49"/>
      <c r="AW126" s="48"/>
      <c r="AX126" s="44"/>
      <c r="AY126" s="45"/>
      <c r="AZ126" s="49"/>
      <c r="BA126" s="48"/>
      <c r="BB126" s="44"/>
      <c r="BC126" s="45"/>
      <c r="BD126" s="49"/>
      <c r="BE126" s="48"/>
      <c r="BF126" s="44"/>
      <c r="BG126" s="45"/>
      <c r="BH126" s="49"/>
    </row>
    <row r="127" spans="1:63" s="50" customFormat="1" x14ac:dyDescent="0.25">
      <c r="B127" s="112"/>
      <c r="C127" s="112"/>
      <c r="D127" s="74"/>
      <c r="E127" s="112">
        <v>50</v>
      </c>
      <c r="F127" s="112"/>
      <c r="G127" s="112">
        <f t="shared" si="15"/>
        <v>3000</v>
      </c>
      <c r="H127" s="112"/>
      <c r="I127" s="112"/>
      <c r="J127" s="112"/>
      <c r="K127" s="127">
        <f t="shared" si="11"/>
        <v>0.67277777777777781</v>
      </c>
      <c r="L127" s="128"/>
      <c r="M127" s="118">
        <f t="shared" si="12"/>
        <v>40.366666666666667</v>
      </c>
      <c r="N127" s="118"/>
      <c r="O127" s="77">
        <f t="shared" si="13"/>
        <v>56.269666666666666</v>
      </c>
      <c r="P127" s="45">
        <f t="shared" si="10"/>
        <v>70.333333333333329</v>
      </c>
      <c r="Q127" s="78">
        <f t="shared" si="14"/>
        <v>223.70033333333333</v>
      </c>
      <c r="R127" s="46">
        <v>11.3</v>
      </c>
      <c r="S127" s="74">
        <v>854</v>
      </c>
      <c r="T127" s="47">
        <v>57</v>
      </c>
      <c r="U127" s="48">
        <f>39.8/60</f>
        <v>0.66333333333333333</v>
      </c>
      <c r="V127" s="44">
        <v>56667</v>
      </c>
      <c r="W127" s="45">
        <v>155</v>
      </c>
      <c r="X127" s="49">
        <v>183871</v>
      </c>
      <c r="Y127" s="48">
        <f>40.2/60</f>
        <v>0.67</v>
      </c>
      <c r="Z127" s="44">
        <v>56304</v>
      </c>
      <c r="AA127" s="45">
        <v>32</v>
      </c>
      <c r="AB127" s="49">
        <v>219582</v>
      </c>
      <c r="AC127" s="48">
        <f>41.1/60</f>
        <v>0.68500000000000005</v>
      </c>
      <c r="AD127" s="44">
        <v>55838</v>
      </c>
      <c r="AE127" s="45">
        <v>24</v>
      </c>
      <c r="AF127" s="49">
        <v>267648</v>
      </c>
      <c r="AG127" s="48"/>
      <c r="AH127" s="44"/>
      <c r="AI127" s="45"/>
      <c r="AJ127" s="49"/>
      <c r="AK127" s="48"/>
      <c r="AL127" s="44"/>
      <c r="AM127" s="45"/>
      <c r="AN127" s="49"/>
      <c r="AO127" s="48"/>
      <c r="AP127" s="44"/>
      <c r="AQ127" s="45"/>
      <c r="AR127" s="49"/>
      <c r="AS127" s="48"/>
      <c r="AT127" s="44"/>
      <c r="AU127" s="45"/>
      <c r="AV127" s="49"/>
      <c r="AW127" s="48"/>
      <c r="AX127" s="44"/>
      <c r="AY127" s="45"/>
      <c r="AZ127" s="49"/>
      <c r="BA127" s="48"/>
      <c r="BB127" s="44"/>
      <c r="BC127" s="45"/>
      <c r="BD127" s="49"/>
      <c r="BE127" s="48"/>
      <c r="BF127" s="44"/>
      <c r="BG127" s="45"/>
      <c r="BH127" s="49"/>
    </row>
    <row r="128" spans="1:63" s="50" customFormat="1" x14ac:dyDescent="0.25">
      <c r="B128" s="112"/>
      <c r="C128" s="112"/>
      <c r="D128" s="58"/>
      <c r="E128" s="113">
        <v>80</v>
      </c>
      <c r="F128" s="113"/>
      <c r="G128" s="113">
        <f t="shared" si="15"/>
        <v>4800</v>
      </c>
      <c r="H128" s="113"/>
      <c r="I128" s="113"/>
      <c r="J128" s="113"/>
      <c r="K128" s="127">
        <f t="shared" si="11"/>
        <v>0.70333333333333325</v>
      </c>
      <c r="L128" s="128"/>
      <c r="M128" s="118">
        <f t="shared" ref="M128:M130" si="16">K128*60</f>
        <v>42.199999999999996</v>
      </c>
      <c r="N128" s="118"/>
      <c r="O128" s="77">
        <f t="shared" si="13"/>
        <v>87.898666666666671</v>
      </c>
      <c r="P128" s="45">
        <f t="shared" si="10"/>
        <v>29</v>
      </c>
      <c r="Q128" s="78">
        <f t="shared" si="14"/>
        <v>393.2956666666667</v>
      </c>
      <c r="R128" s="46">
        <v>9.1</v>
      </c>
      <c r="S128" s="57">
        <v>854</v>
      </c>
      <c r="T128" s="47">
        <v>57</v>
      </c>
      <c r="U128" s="48">
        <f>40.6/60</f>
        <v>0.67666666666666664</v>
      </c>
      <c r="V128" s="44">
        <v>90924</v>
      </c>
      <c r="W128" s="45">
        <v>13</v>
      </c>
      <c r="X128" s="49">
        <v>339637</v>
      </c>
      <c r="Y128" s="48">
        <f>42.6/60</f>
        <v>0.71000000000000008</v>
      </c>
      <c r="Z128" s="44">
        <v>89595</v>
      </c>
      <c r="AA128" s="45">
        <v>37</v>
      </c>
      <c r="AB128" s="49">
        <v>318047</v>
      </c>
      <c r="AC128" s="48">
        <f>43.4/60</f>
        <v>0.72333333333333327</v>
      </c>
      <c r="AD128" s="44">
        <v>83177</v>
      </c>
      <c r="AE128" s="45">
        <v>37</v>
      </c>
      <c r="AF128" s="49">
        <v>522203</v>
      </c>
      <c r="AG128" s="48"/>
      <c r="AH128" s="44"/>
      <c r="AI128" s="45"/>
      <c r="AJ128" s="49"/>
      <c r="AK128" s="48"/>
      <c r="AL128" s="44"/>
      <c r="AM128" s="45"/>
      <c r="AN128" s="49"/>
      <c r="AO128" s="48"/>
      <c r="AP128" s="44"/>
      <c r="AQ128" s="45"/>
      <c r="AR128" s="49"/>
      <c r="AS128" s="48"/>
      <c r="AT128" s="44"/>
      <c r="AU128" s="45"/>
      <c r="AV128" s="49"/>
      <c r="AW128" s="48"/>
      <c r="AX128" s="44"/>
      <c r="AY128" s="45"/>
      <c r="AZ128" s="49"/>
      <c r="BA128" s="48"/>
      <c r="BB128" s="44"/>
      <c r="BC128" s="45"/>
      <c r="BD128" s="49"/>
      <c r="BE128" s="48"/>
      <c r="BF128" s="44"/>
      <c r="BG128" s="45"/>
      <c r="BH128" s="49"/>
    </row>
    <row r="129" spans="2:60" s="50" customFormat="1" x14ac:dyDescent="0.25">
      <c r="B129" s="112"/>
      <c r="C129" s="112"/>
      <c r="D129" s="57"/>
      <c r="E129" s="112">
        <v>100</v>
      </c>
      <c r="F129" s="112"/>
      <c r="G129" s="112">
        <f t="shared" si="15"/>
        <v>6000</v>
      </c>
      <c r="H129" s="112"/>
      <c r="I129" s="112"/>
      <c r="J129" s="112"/>
      <c r="K129" s="127">
        <f t="shared" ref="K129:K130" si="17">AVERAGE(U129,Y129,AC129,AG129,AK129,AO129,AS129,AW129,BA129,BE129)</f>
        <v>0.67333333333333334</v>
      </c>
      <c r="L129" s="128"/>
      <c r="M129" s="118">
        <f t="shared" si="16"/>
        <v>40.4</v>
      </c>
      <c r="N129" s="118"/>
      <c r="O129" s="77">
        <f t="shared" si="13"/>
        <v>115.361</v>
      </c>
      <c r="P129" s="45">
        <f t="shared" si="10"/>
        <v>49</v>
      </c>
      <c r="Q129" s="78">
        <f t="shared" si="14"/>
        <v>581.83299999999997</v>
      </c>
      <c r="R129" s="46"/>
      <c r="S129" s="57"/>
      <c r="T129" s="47"/>
      <c r="U129" s="48">
        <f>40.4/60</f>
        <v>0.67333333333333334</v>
      </c>
      <c r="V129" s="44">
        <v>115361</v>
      </c>
      <c r="W129" s="45">
        <v>49</v>
      </c>
      <c r="X129" s="49">
        <v>581833</v>
      </c>
      <c r="Y129" s="48"/>
      <c r="Z129" s="44"/>
      <c r="AA129" s="45"/>
      <c r="AB129" s="49"/>
      <c r="AC129" s="48"/>
      <c r="AD129" s="44"/>
      <c r="AE129" s="45"/>
      <c r="AF129" s="49"/>
      <c r="AG129" s="48"/>
      <c r="AH129" s="44"/>
      <c r="AI129" s="45"/>
      <c r="AJ129" s="49"/>
      <c r="AK129" s="48"/>
      <c r="AL129" s="44"/>
      <c r="AM129" s="45"/>
      <c r="AN129" s="49"/>
      <c r="AO129" s="48"/>
      <c r="AP129" s="44"/>
      <c r="AQ129" s="45"/>
      <c r="AR129" s="49"/>
      <c r="AS129" s="48"/>
      <c r="AT129" s="44"/>
      <c r="AU129" s="45"/>
      <c r="AV129" s="49"/>
      <c r="AW129" s="48"/>
      <c r="AX129" s="44"/>
      <c r="AY129" s="45"/>
      <c r="AZ129" s="49"/>
      <c r="BA129" s="48"/>
      <c r="BB129" s="44"/>
      <c r="BC129" s="45"/>
      <c r="BD129" s="49"/>
      <c r="BE129" s="48"/>
      <c r="BF129" s="44"/>
      <c r="BG129" s="45"/>
      <c r="BH129" s="49"/>
    </row>
    <row r="130" spans="2:60" s="50" customFormat="1" x14ac:dyDescent="0.25">
      <c r="B130" s="112"/>
      <c r="C130" s="112"/>
      <c r="D130" s="57"/>
      <c r="E130" s="112"/>
      <c r="F130" s="112"/>
      <c r="G130" s="112">
        <f t="shared" si="15"/>
        <v>0</v>
      </c>
      <c r="H130" s="112"/>
      <c r="I130" s="112"/>
      <c r="J130" s="112"/>
      <c r="K130" s="127" t="e">
        <f t="shared" si="17"/>
        <v>#DIV/0!</v>
      </c>
      <c r="L130" s="128"/>
      <c r="M130" s="118" t="e">
        <f t="shared" si="16"/>
        <v>#DIV/0!</v>
      </c>
      <c r="N130" s="118"/>
      <c r="O130" s="77" t="e">
        <f t="shared" si="13"/>
        <v>#DIV/0!</v>
      </c>
      <c r="P130" s="45" t="e">
        <f t="shared" si="10"/>
        <v>#DIV/0!</v>
      </c>
      <c r="Q130" s="78" t="e">
        <f t="shared" si="14"/>
        <v>#DIV/0!</v>
      </c>
      <c r="R130" s="46"/>
      <c r="S130" s="57"/>
      <c r="T130" s="47"/>
      <c r="U130" s="48"/>
      <c r="V130" s="44"/>
      <c r="W130" s="45"/>
      <c r="X130" s="49"/>
      <c r="Y130" s="48"/>
      <c r="Z130" s="44"/>
      <c r="AA130" s="45"/>
      <c r="AB130" s="49"/>
      <c r="AC130" s="48"/>
      <c r="AD130" s="44"/>
      <c r="AE130" s="45"/>
      <c r="AF130" s="49"/>
      <c r="AG130" s="48"/>
      <c r="AH130" s="44"/>
      <c r="AI130" s="45"/>
      <c r="AJ130" s="49"/>
      <c r="AK130" s="48"/>
      <c r="AL130" s="44"/>
      <c r="AM130" s="45"/>
      <c r="AN130" s="49"/>
      <c r="AO130" s="48"/>
      <c r="AP130" s="44"/>
      <c r="AQ130" s="45"/>
      <c r="AR130" s="49"/>
      <c r="AS130" s="48"/>
      <c r="AT130" s="44"/>
      <c r="AU130" s="45"/>
      <c r="AV130" s="49"/>
      <c r="AW130" s="48"/>
      <c r="AX130" s="44"/>
      <c r="AY130" s="45"/>
      <c r="AZ130" s="49"/>
      <c r="BA130" s="48"/>
      <c r="BB130" s="44"/>
      <c r="BC130" s="45"/>
      <c r="BD130" s="49"/>
      <c r="BE130" s="48"/>
      <c r="BF130" s="44"/>
      <c r="BG130" s="45"/>
      <c r="BH130" s="49"/>
    </row>
    <row r="181" spans="2:72" x14ac:dyDescent="0.25">
      <c r="R181" s="103"/>
    </row>
    <row r="183" spans="2:72" x14ac:dyDescent="0.25">
      <c r="B183" s="52"/>
      <c r="C183" s="52"/>
      <c r="D183" s="52"/>
      <c r="E183" s="52"/>
      <c r="F183" s="52" t="s">
        <v>230</v>
      </c>
      <c r="G183" s="52"/>
      <c r="H183" s="52"/>
      <c r="I183" s="52"/>
      <c r="J183" s="52"/>
      <c r="K183" s="52"/>
      <c r="L183" s="52"/>
      <c r="M183" s="53"/>
      <c r="N183" s="53"/>
      <c r="O183" s="52"/>
      <c r="P183" s="52" t="s">
        <v>230</v>
      </c>
      <c r="Q183" s="93">
        <f>AVERAGE(R183:AA183)</f>
        <v>24</v>
      </c>
      <c r="R183">
        <v>24</v>
      </c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5"/>
      <c r="BJ183" s="55"/>
      <c r="BK183" s="27"/>
    </row>
    <row r="184" spans="2:72" x14ac:dyDescent="0.25">
      <c r="B184" s="52"/>
      <c r="C184" s="52"/>
      <c r="D184" s="52"/>
      <c r="E184" s="52"/>
      <c r="F184" s="52" t="s">
        <v>162</v>
      </c>
      <c r="G184" s="52"/>
      <c r="H184" s="52"/>
      <c r="I184" s="52"/>
      <c r="J184" s="52"/>
      <c r="K184" s="52"/>
      <c r="L184" s="52"/>
      <c r="M184" s="53"/>
      <c r="N184" s="53"/>
      <c r="O184" s="52"/>
      <c r="P184" s="52" t="s">
        <v>162</v>
      </c>
      <c r="Q184" s="93">
        <f t="shared" ref="Q184:Q185" si="18">AVERAGE(R184:AA184)</f>
        <v>1048</v>
      </c>
      <c r="R184">
        <v>1049</v>
      </c>
      <c r="S184">
        <v>1070</v>
      </c>
      <c r="T184">
        <v>1015</v>
      </c>
      <c r="U184">
        <v>1024</v>
      </c>
      <c r="V184">
        <v>1074</v>
      </c>
      <c r="W184" s="52">
        <v>1056</v>
      </c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5"/>
      <c r="BJ184" s="55"/>
      <c r="BK184" s="27"/>
    </row>
    <row r="185" spans="2:72" x14ac:dyDescent="0.25">
      <c r="B185" s="52"/>
      <c r="C185" s="52"/>
      <c r="D185" s="52"/>
      <c r="E185" s="52"/>
      <c r="F185" s="52" t="s">
        <v>163</v>
      </c>
      <c r="G185" s="52"/>
      <c r="H185" s="52"/>
      <c r="I185" s="52"/>
      <c r="J185" s="52">
        <f>332800*2</f>
        <v>665600</v>
      </c>
      <c r="K185" s="52"/>
      <c r="L185" s="52"/>
      <c r="M185" s="53"/>
      <c r="N185" s="53"/>
      <c r="O185" s="52"/>
      <c r="P185" s="52" t="s">
        <v>163</v>
      </c>
      <c r="Q185" s="93">
        <f t="shared" si="18"/>
        <v>59</v>
      </c>
      <c r="R185">
        <v>58</v>
      </c>
      <c r="S185">
        <v>60</v>
      </c>
      <c r="T185">
        <v>59</v>
      </c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5"/>
      <c r="BJ185" s="55"/>
      <c r="BK185" s="27"/>
    </row>
    <row r="186" spans="2:72" x14ac:dyDescent="0.25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3"/>
      <c r="N186" s="53"/>
      <c r="O186" s="79">
        <v>0.38541666666666669</v>
      </c>
      <c r="P186" s="52"/>
      <c r="Q186" s="54"/>
      <c r="R186" s="52"/>
      <c r="S186" s="52"/>
      <c r="T186" s="52"/>
      <c r="U186" s="52"/>
      <c r="V186" s="99">
        <f>(V188-V187)*X187</f>
        <v>1056.4507042253522</v>
      </c>
      <c r="W186" s="52"/>
      <c r="X186" s="52">
        <v>1024</v>
      </c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5"/>
      <c r="BJ186" s="55"/>
      <c r="BK186" s="27"/>
    </row>
    <row r="187" spans="2:72" x14ac:dyDescent="0.25">
      <c r="B187" s="52"/>
      <c r="C187" s="52"/>
      <c r="D187" s="52">
        <f>999999-814396</f>
        <v>185603</v>
      </c>
      <c r="E187" s="52"/>
      <c r="F187" s="52"/>
      <c r="G187" s="52"/>
      <c r="H187" s="52"/>
      <c r="I187" s="52"/>
      <c r="J187" s="52"/>
      <c r="K187" s="52"/>
      <c r="L187" s="52"/>
      <c r="M187" s="53"/>
      <c r="N187" s="53"/>
      <c r="O187" s="52"/>
      <c r="P187" s="52"/>
      <c r="Q187" s="54"/>
      <c r="R187" s="52"/>
      <c r="S187" s="52"/>
      <c r="T187" s="52"/>
      <c r="U187" s="52"/>
      <c r="V187" s="52">
        <v>407</v>
      </c>
      <c r="W187" s="52">
        <v>416</v>
      </c>
      <c r="X187" s="52">
        <f>X186/X188</f>
        <v>3.6056338028169015</v>
      </c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5"/>
      <c r="BJ187" s="55"/>
      <c r="BK187" s="27"/>
    </row>
    <row r="188" spans="2:72" x14ac:dyDescent="0.25">
      <c r="B188" s="52"/>
      <c r="C188" s="52"/>
      <c r="D188" s="52">
        <f>D187/1300</f>
        <v>142.77153846153846</v>
      </c>
      <c r="E188" s="52">
        <f>D187-142*1300</f>
        <v>1003</v>
      </c>
      <c r="F188" s="52"/>
      <c r="G188" s="52"/>
      <c r="H188" s="52"/>
      <c r="I188" s="52"/>
      <c r="J188" s="52"/>
      <c r="K188" s="52"/>
      <c r="L188" s="52"/>
      <c r="M188" s="53"/>
      <c r="N188" s="53"/>
      <c r="O188" s="52"/>
      <c r="P188" s="52"/>
      <c r="Q188" s="54">
        <v>0.37083333333333335</v>
      </c>
      <c r="R188" s="52"/>
      <c r="S188" s="52"/>
      <c r="T188" s="52"/>
      <c r="U188" s="52">
        <f>V188-V187</f>
        <v>293</v>
      </c>
      <c r="V188" s="52">
        <f>W188</f>
        <v>700</v>
      </c>
      <c r="W188" s="52">
        <v>700</v>
      </c>
      <c r="X188" s="52">
        <f>W188-W187</f>
        <v>284</v>
      </c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5"/>
      <c r="BJ188" s="55"/>
      <c r="BK188" s="27"/>
    </row>
    <row r="189" spans="2:72" x14ac:dyDescent="0.25">
      <c r="B189" s="51"/>
      <c r="C189" s="51"/>
      <c r="D189" s="51"/>
      <c r="E189" s="51"/>
      <c r="F189" s="51"/>
      <c r="G189" s="52"/>
      <c r="H189" s="52"/>
      <c r="I189" s="52"/>
      <c r="J189" s="52"/>
      <c r="K189" s="52"/>
      <c r="L189" s="52"/>
      <c r="M189" s="53"/>
      <c r="N189" s="53"/>
      <c r="O189" s="52"/>
      <c r="P189" s="52"/>
      <c r="Q189" s="54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5"/>
      <c r="BJ189" s="27"/>
      <c r="BK189" s="27"/>
    </row>
    <row r="190" spans="2:72" x14ac:dyDescent="0.25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U190" s="52"/>
      <c r="V190" s="119" t="s">
        <v>234</v>
      </c>
      <c r="W190" s="119"/>
      <c r="X190" s="119"/>
      <c r="Y190" s="119"/>
      <c r="Z190" s="119"/>
      <c r="AA190" s="119" t="s">
        <v>235</v>
      </c>
      <c r="AB190" s="119"/>
      <c r="AC190" s="119"/>
      <c r="AD190" s="119"/>
      <c r="AE190" s="119"/>
      <c r="AF190" s="119" t="s">
        <v>236</v>
      </c>
      <c r="AG190" s="119"/>
      <c r="AH190" s="119"/>
      <c r="AI190" s="119"/>
      <c r="AJ190" s="119"/>
      <c r="AK190" s="119" t="s">
        <v>237</v>
      </c>
      <c r="AL190" s="119"/>
      <c r="AM190" s="119"/>
      <c r="AN190" s="119"/>
      <c r="AO190" s="119"/>
      <c r="AP190" s="119" t="s">
        <v>238</v>
      </c>
      <c r="AQ190" s="119"/>
      <c r="AR190" s="119"/>
      <c r="AS190" s="119"/>
      <c r="AT190" s="119"/>
      <c r="AU190" s="119" t="s">
        <v>239</v>
      </c>
      <c r="AV190" s="119"/>
      <c r="AW190" s="119"/>
      <c r="AX190" s="119"/>
      <c r="AY190" s="119"/>
    </row>
    <row r="191" spans="2:72" x14ac:dyDescent="0.25">
      <c r="B191" s="115" t="s">
        <v>219</v>
      </c>
      <c r="C191" s="115"/>
      <c r="D191" s="81"/>
      <c r="E191" s="115" t="s">
        <v>228</v>
      </c>
      <c r="F191" s="115"/>
      <c r="G191" s="115" t="s">
        <v>217</v>
      </c>
      <c r="H191" s="115"/>
      <c r="I191" s="115"/>
      <c r="J191" s="115"/>
      <c r="K191" s="124" t="s">
        <v>227</v>
      </c>
      <c r="L191" s="125"/>
      <c r="M191" s="126" t="s">
        <v>218</v>
      </c>
      <c r="N191" s="126"/>
      <c r="O191" s="28" t="s">
        <v>243</v>
      </c>
      <c r="P191" s="90" t="s">
        <v>242</v>
      </c>
      <c r="Q191" s="29" t="s">
        <v>240</v>
      </c>
      <c r="R191" s="30" t="s">
        <v>241</v>
      </c>
      <c r="S191" s="33" t="s">
        <v>244</v>
      </c>
      <c r="T191" s="81" t="s">
        <v>245</v>
      </c>
      <c r="U191" s="32" t="s">
        <v>177</v>
      </c>
      <c r="V191" s="84" t="s">
        <v>222</v>
      </c>
      <c r="W191" s="28" t="s">
        <v>223</v>
      </c>
      <c r="X191" s="90">
        <v>0.9</v>
      </c>
      <c r="Y191" s="29" t="s">
        <v>158</v>
      </c>
      <c r="Z191" s="30" t="s">
        <v>123</v>
      </c>
      <c r="AA191" s="84" t="s">
        <v>222</v>
      </c>
      <c r="AB191" s="28" t="s">
        <v>223</v>
      </c>
      <c r="AC191" s="90">
        <v>0.9</v>
      </c>
      <c r="AD191" s="29" t="s">
        <v>158</v>
      </c>
      <c r="AE191" s="30" t="s">
        <v>123</v>
      </c>
      <c r="AF191" s="84" t="s">
        <v>222</v>
      </c>
      <c r="AG191" s="28" t="s">
        <v>223</v>
      </c>
      <c r="AH191" s="90">
        <v>0.9</v>
      </c>
      <c r="AI191" s="29" t="s">
        <v>158</v>
      </c>
      <c r="AJ191" s="30" t="s">
        <v>123</v>
      </c>
      <c r="AK191" s="84" t="s">
        <v>222</v>
      </c>
      <c r="AL191" s="28" t="s">
        <v>223</v>
      </c>
      <c r="AM191" s="90">
        <v>0.9</v>
      </c>
      <c r="AN191" s="29" t="s">
        <v>158</v>
      </c>
      <c r="AO191" s="30" t="s">
        <v>123</v>
      </c>
      <c r="AP191" s="84" t="s">
        <v>222</v>
      </c>
      <c r="AQ191" s="28" t="s">
        <v>223</v>
      </c>
      <c r="AR191" s="90">
        <v>0.9</v>
      </c>
      <c r="AS191" s="29" t="s">
        <v>158</v>
      </c>
      <c r="AT191" s="30" t="s">
        <v>123</v>
      </c>
      <c r="AU191" s="85" t="s">
        <v>222</v>
      </c>
      <c r="AV191" s="28" t="s">
        <v>223</v>
      </c>
      <c r="AW191" s="90">
        <v>0.9</v>
      </c>
      <c r="AX191" s="29" t="s">
        <v>158</v>
      </c>
      <c r="AY191" s="30" t="s">
        <v>123</v>
      </c>
    </row>
    <row r="192" spans="2:72" s="50" customFormat="1" x14ac:dyDescent="0.25">
      <c r="B192" s="130" t="s">
        <v>220</v>
      </c>
      <c r="C192" s="131"/>
      <c r="D192" s="82"/>
      <c r="E192" s="112">
        <v>1</v>
      </c>
      <c r="F192" s="112"/>
      <c r="G192" s="112">
        <f>E192*60</f>
        <v>60</v>
      </c>
      <c r="H192" s="112"/>
      <c r="I192" s="112"/>
      <c r="J192" s="112"/>
      <c r="K192" s="116">
        <f>AVERAGE(V192,AA192,AF192,AK192,AP192,AU192)</f>
        <v>0.15222222222222223</v>
      </c>
      <c r="L192" s="117"/>
      <c r="M192" s="118">
        <f>K192*60</f>
        <v>9.1333333333333346</v>
      </c>
      <c r="N192" s="118"/>
      <c r="O192" s="77">
        <f>AVERAGE(W192,AB192,AG192,AL192,AQ192,AV192)/1000</f>
        <v>0.66300000000000003</v>
      </c>
      <c r="P192" s="91">
        <f t="shared" ref="P192:R205" si="19">AVERAGE(X192,AC192,AH192,AM192,AR192,AW192)/1000</f>
        <v>0.97799999999999998</v>
      </c>
      <c r="Q192" s="98">
        <f>AVERAGE(Y192,AD192,AI192,AN192,AS192,AX192)</f>
        <v>14.333333333333334</v>
      </c>
      <c r="R192" s="78">
        <f t="shared" si="19"/>
        <v>2.2036666666666664</v>
      </c>
      <c r="S192" s="46">
        <v>2.7</v>
      </c>
      <c r="T192" s="82">
        <v>533</v>
      </c>
      <c r="U192" s="47">
        <v>51</v>
      </c>
      <c r="V192" s="48">
        <f>8.4/60</f>
        <v>0.14000000000000001</v>
      </c>
      <c r="W192" s="44">
        <v>1218</v>
      </c>
      <c r="X192" s="92"/>
      <c r="Y192" s="45">
        <v>19</v>
      </c>
      <c r="Z192" s="49">
        <v>4305</v>
      </c>
      <c r="AA192" s="48">
        <f>8.6/60</f>
        <v>0.14333333333333334</v>
      </c>
      <c r="AB192" s="44">
        <v>746</v>
      </c>
      <c r="AC192" s="92"/>
      <c r="AD192" s="45">
        <v>33</v>
      </c>
      <c r="AE192" s="49">
        <v>2860</v>
      </c>
      <c r="AF192" s="48">
        <f>9.5/60</f>
        <v>0.15833333333333333</v>
      </c>
      <c r="AG192" s="44">
        <v>640</v>
      </c>
      <c r="AH192" s="92"/>
      <c r="AI192" s="45">
        <v>16</v>
      </c>
      <c r="AJ192" s="49">
        <v>2307</v>
      </c>
      <c r="AK192" s="48">
        <f>9.2/60</f>
        <v>0.15333333333333332</v>
      </c>
      <c r="AL192" s="44">
        <v>749</v>
      </c>
      <c r="AM192" s="92">
        <v>1695</v>
      </c>
      <c r="AN192" s="45">
        <v>8</v>
      </c>
      <c r="AO192" s="49">
        <v>2117</v>
      </c>
      <c r="AP192" s="48">
        <f>9.5/60</f>
        <v>0.15833333333333333</v>
      </c>
      <c r="AQ192" s="44">
        <v>265</v>
      </c>
      <c r="AR192" s="92">
        <v>442</v>
      </c>
      <c r="AS192" s="45">
        <v>3</v>
      </c>
      <c r="AT192" s="49">
        <v>508</v>
      </c>
      <c r="AU192" s="48">
        <f>9.6/60</f>
        <v>0.16</v>
      </c>
      <c r="AV192" s="44">
        <v>360</v>
      </c>
      <c r="AW192" s="92">
        <v>797</v>
      </c>
      <c r="AX192" s="45">
        <v>7</v>
      </c>
      <c r="AY192" s="49">
        <v>1125</v>
      </c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</row>
    <row r="193" spans="2:72" s="50" customFormat="1" x14ac:dyDescent="0.25">
      <c r="B193" s="132"/>
      <c r="C193" s="133"/>
      <c r="D193" s="82"/>
      <c r="E193" s="112">
        <v>5</v>
      </c>
      <c r="F193" s="112"/>
      <c r="G193" s="112">
        <f>E193*60</f>
        <v>300</v>
      </c>
      <c r="H193" s="112"/>
      <c r="I193" s="112"/>
      <c r="J193" s="112"/>
      <c r="K193" s="116">
        <f t="shared" ref="K193:K205" si="20">AVERAGE(V193,AA193,AF193,AK193,AP193,AU193)</f>
        <v>0.64194444444444443</v>
      </c>
      <c r="L193" s="117"/>
      <c r="M193" s="118">
        <f t="shared" ref="M193:M205" si="21">K193*60</f>
        <v>38.516666666666666</v>
      </c>
      <c r="N193" s="118"/>
      <c r="O193" s="77">
        <f t="shared" ref="O193:O205" si="22">AVERAGE(W193,AB193,AG193,AL193,AQ193,AV193)/1000</f>
        <v>0.84450000000000003</v>
      </c>
      <c r="P193" s="91">
        <f t="shared" si="19"/>
        <v>2.6915</v>
      </c>
      <c r="Q193" s="98">
        <f t="shared" ref="Q193:Q205" si="23">AVERAGE(Y193,AD193,AI193,AN193,AS193,AX193)</f>
        <v>7.666666666666667</v>
      </c>
      <c r="R193" s="78">
        <f t="shared" si="19"/>
        <v>4.9424999999999999</v>
      </c>
      <c r="S193" s="46">
        <v>6.2</v>
      </c>
      <c r="T193" s="82">
        <v>564</v>
      </c>
      <c r="U193" s="47">
        <v>55</v>
      </c>
      <c r="V193" s="48">
        <f>37/60</f>
        <v>0.6166666666666667</v>
      </c>
      <c r="W193" s="44">
        <v>1220</v>
      </c>
      <c r="X193" s="92">
        <v>4396</v>
      </c>
      <c r="Y193" s="45">
        <v>10</v>
      </c>
      <c r="Z193" s="49">
        <v>6692</v>
      </c>
      <c r="AA193" s="48">
        <f>34.9/60</f>
        <v>0.58166666666666667</v>
      </c>
      <c r="AB193" s="44">
        <v>1077</v>
      </c>
      <c r="AC193" s="92">
        <v>3304</v>
      </c>
      <c r="AD193" s="45">
        <v>18</v>
      </c>
      <c r="AE193" s="49">
        <v>7740</v>
      </c>
      <c r="AF193" s="48">
        <f>38/60</f>
        <v>0.6333333333333333</v>
      </c>
      <c r="AG193" s="44">
        <v>1222</v>
      </c>
      <c r="AH193" s="92">
        <v>3722</v>
      </c>
      <c r="AI193" s="45">
        <v>9</v>
      </c>
      <c r="AJ193" s="49">
        <v>6547</v>
      </c>
      <c r="AK193" s="48">
        <f>42.3/60</f>
        <v>0.70499999999999996</v>
      </c>
      <c r="AL193" s="44">
        <v>480</v>
      </c>
      <c r="AM193" s="92">
        <v>1424</v>
      </c>
      <c r="AN193" s="45">
        <v>3</v>
      </c>
      <c r="AO193" s="49">
        <v>2978</v>
      </c>
      <c r="AP193" s="48">
        <f>39.7/60</f>
        <v>0.66166666666666674</v>
      </c>
      <c r="AQ193" s="44">
        <v>549</v>
      </c>
      <c r="AR193" s="92">
        <v>1806</v>
      </c>
      <c r="AS193" s="45">
        <v>3</v>
      </c>
      <c r="AT193" s="49">
        <v>2801</v>
      </c>
      <c r="AU193" s="48">
        <f>39.2/60</f>
        <v>0.65333333333333343</v>
      </c>
      <c r="AV193" s="44">
        <v>519</v>
      </c>
      <c r="AW193" s="92">
        <v>1497</v>
      </c>
      <c r="AX193" s="45">
        <v>3</v>
      </c>
      <c r="AY193" s="49">
        <v>2897</v>
      </c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</row>
    <row r="194" spans="2:72" s="50" customFormat="1" x14ac:dyDescent="0.25">
      <c r="B194" s="132"/>
      <c r="C194" s="133"/>
      <c r="D194" s="82"/>
      <c r="E194" s="112">
        <v>10</v>
      </c>
      <c r="F194" s="112"/>
      <c r="G194" s="112">
        <f t="shared" ref="G194:G199" si="24">E194*60</f>
        <v>600</v>
      </c>
      <c r="H194" s="112"/>
      <c r="I194" s="112"/>
      <c r="J194" s="112"/>
      <c r="K194" s="116">
        <f t="shared" si="20"/>
        <v>1.1000000000000001</v>
      </c>
      <c r="L194" s="117"/>
      <c r="M194" s="118">
        <f t="shared" si="21"/>
        <v>66</v>
      </c>
      <c r="N194" s="118"/>
      <c r="O194" s="77">
        <f t="shared" si="22"/>
        <v>1.1246666666666667</v>
      </c>
      <c r="P194" s="91">
        <f t="shared" si="19"/>
        <v>3.6389999999999998</v>
      </c>
      <c r="Q194" s="98">
        <f t="shared" si="23"/>
        <v>4.833333333333333</v>
      </c>
      <c r="R194" s="78">
        <f t="shared" si="19"/>
        <v>7.5871666666666666</v>
      </c>
      <c r="S194" s="46">
        <v>6</v>
      </c>
      <c r="T194" s="82">
        <v>619</v>
      </c>
      <c r="U194" s="47">
        <v>57</v>
      </c>
      <c r="V194" s="48">
        <v>1.1000000000000001</v>
      </c>
      <c r="W194" s="44">
        <v>1482</v>
      </c>
      <c r="X194" s="92">
        <v>5096</v>
      </c>
      <c r="Y194" s="45">
        <v>7</v>
      </c>
      <c r="Z194" s="49">
        <v>10992</v>
      </c>
      <c r="AA194" s="48">
        <v>1.1000000000000001</v>
      </c>
      <c r="AB194" s="44">
        <v>1594</v>
      </c>
      <c r="AC194" s="92">
        <v>4868</v>
      </c>
      <c r="AD194" s="45">
        <v>5</v>
      </c>
      <c r="AE194" s="49">
        <v>13014</v>
      </c>
      <c r="AF194" s="48">
        <v>1</v>
      </c>
      <c r="AG194" s="44">
        <v>1416</v>
      </c>
      <c r="AH194" s="92">
        <v>5046</v>
      </c>
      <c r="AI194" s="45">
        <v>9</v>
      </c>
      <c r="AJ194" s="49">
        <v>9075</v>
      </c>
      <c r="AK194" s="48">
        <v>1.1000000000000001</v>
      </c>
      <c r="AL194" s="44">
        <v>716</v>
      </c>
      <c r="AM194" s="92">
        <v>2671</v>
      </c>
      <c r="AN194" s="45">
        <v>2</v>
      </c>
      <c r="AO194" s="49">
        <v>3627</v>
      </c>
      <c r="AP194" s="48">
        <v>1.1000000000000001</v>
      </c>
      <c r="AQ194" s="44">
        <v>829</v>
      </c>
      <c r="AR194" s="92">
        <v>2291</v>
      </c>
      <c r="AS194" s="45">
        <v>3</v>
      </c>
      <c r="AT194" s="49">
        <v>3787</v>
      </c>
      <c r="AU194" s="48">
        <v>1.2</v>
      </c>
      <c r="AV194" s="44">
        <v>711</v>
      </c>
      <c r="AW194" s="92">
        <v>1862</v>
      </c>
      <c r="AX194" s="45">
        <v>3</v>
      </c>
      <c r="AY194" s="49">
        <v>5028</v>
      </c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</row>
    <row r="195" spans="2:72" s="50" customFormat="1" x14ac:dyDescent="0.25">
      <c r="B195" s="132"/>
      <c r="C195" s="133"/>
      <c r="D195" s="82"/>
      <c r="E195" s="112">
        <v>20</v>
      </c>
      <c r="F195" s="112"/>
      <c r="G195" s="112">
        <f t="shared" si="24"/>
        <v>1200</v>
      </c>
      <c r="H195" s="112"/>
      <c r="I195" s="112"/>
      <c r="J195" s="112"/>
      <c r="K195" s="116">
        <f t="shared" si="20"/>
        <v>1.8666666666666665</v>
      </c>
      <c r="L195" s="117"/>
      <c r="M195" s="118">
        <f t="shared" si="21"/>
        <v>111.99999999999999</v>
      </c>
      <c r="N195" s="118"/>
      <c r="O195" s="77">
        <f t="shared" si="22"/>
        <v>2.0546666666666664</v>
      </c>
      <c r="P195" s="91">
        <f t="shared" si="19"/>
        <v>6.3123333333333331</v>
      </c>
      <c r="Q195" s="98">
        <f t="shared" si="23"/>
        <v>5.166666666666667</v>
      </c>
      <c r="R195" s="78">
        <f t="shared" si="19"/>
        <v>16.553833333333333</v>
      </c>
      <c r="S195" s="46">
        <v>11.4</v>
      </c>
      <c r="T195" s="82">
        <v>672</v>
      </c>
      <c r="U195" s="47">
        <v>58</v>
      </c>
      <c r="V195" s="48">
        <v>2</v>
      </c>
      <c r="W195" s="44">
        <v>2161</v>
      </c>
      <c r="X195" s="92">
        <v>6137</v>
      </c>
      <c r="Y195" s="45">
        <v>5</v>
      </c>
      <c r="Z195" s="49">
        <v>17349</v>
      </c>
      <c r="AA195" s="48">
        <v>1.8</v>
      </c>
      <c r="AB195" s="44">
        <v>2286</v>
      </c>
      <c r="AC195" s="92">
        <v>7877</v>
      </c>
      <c r="AD195" s="45">
        <v>6</v>
      </c>
      <c r="AE195" s="49">
        <v>17336</v>
      </c>
      <c r="AF195" s="48">
        <v>1.7</v>
      </c>
      <c r="AG195" s="44">
        <v>2661</v>
      </c>
      <c r="AH195" s="92">
        <v>8571</v>
      </c>
      <c r="AI195" s="45">
        <v>5</v>
      </c>
      <c r="AJ195" s="49">
        <v>18164</v>
      </c>
      <c r="AK195" s="48">
        <v>1.8</v>
      </c>
      <c r="AL195" s="44">
        <v>2714</v>
      </c>
      <c r="AM195" s="92">
        <v>8732</v>
      </c>
      <c r="AN195" s="45">
        <v>5</v>
      </c>
      <c r="AO195" s="49">
        <v>17914</v>
      </c>
      <c r="AP195" s="48">
        <v>1.9</v>
      </c>
      <c r="AQ195" s="44">
        <v>1549</v>
      </c>
      <c r="AR195" s="92">
        <v>4012</v>
      </c>
      <c r="AS195" s="45">
        <v>6</v>
      </c>
      <c r="AT195" s="49">
        <v>18167</v>
      </c>
      <c r="AU195" s="48">
        <v>2</v>
      </c>
      <c r="AV195" s="44">
        <v>957</v>
      </c>
      <c r="AW195" s="92">
        <v>2545</v>
      </c>
      <c r="AX195" s="45">
        <v>4</v>
      </c>
      <c r="AY195" s="49">
        <v>10393</v>
      </c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</row>
    <row r="196" spans="2:72" s="50" customFormat="1" x14ac:dyDescent="0.25">
      <c r="B196" s="132"/>
      <c r="C196" s="133"/>
      <c r="D196" s="82"/>
      <c r="E196" s="112">
        <v>50</v>
      </c>
      <c r="F196" s="112"/>
      <c r="G196" s="112">
        <f t="shared" si="24"/>
        <v>3000</v>
      </c>
      <c r="H196" s="112"/>
      <c r="I196" s="112"/>
      <c r="J196" s="112"/>
      <c r="K196" s="116">
        <f t="shared" si="20"/>
        <v>3.3833333333333333</v>
      </c>
      <c r="L196" s="117"/>
      <c r="M196" s="118">
        <f t="shared" si="21"/>
        <v>203</v>
      </c>
      <c r="N196" s="118"/>
      <c r="O196" s="77">
        <f t="shared" si="22"/>
        <v>6.5071666666666665</v>
      </c>
      <c r="P196" s="91">
        <f t="shared" si="19"/>
        <v>15.957666666666666</v>
      </c>
      <c r="Q196" s="98">
        <f t="shared" si="23"/>
        <v>4.5</v>
      </c>
      <c r="R196" s="78">
        <f t="shared" si="19"/>
        <v>37.323</v>
      </c>
      <c r="S196" s="46">
        <v>19.600000000000001</v>
      </c>
      <c r="T196" s="82">
        <v>850</v>
      </c>
      <c r="U196" s="47">
        <v>58</v>
      </c>
      <c r="V196" s="48">
        <v>2.4</v>
      </c>
      <c r="W196" s="44">
        <v>10072</v>
      </c>
      <c r="X196" s="92">
        <v>24134</v>
      </c>
      <c r="Y196" s="45">
        <v>5</v>
      </c>
      <c r="Z196" s="49">
        <v>64470</v>
      </c>
      <c r="AA196" s="48">
        <v>2.4</v>
      </c>
      <c r="AB196" s="44">
        <v>10760</v>
      </c>
      <c r="AC196" s="92">
        <v>27358</v>
      </c>
      <c r="AD196" s="45">
        <v>4</v>
      </c>
      <c r="AE196" s="49">
        <v>46503</v>
      </c>
      <c r="AF196" s="48">
        <v>3.2</v>
      </c>
      <c r="AG196" s="44">
        <v>6723</v>
      </c>
      <c r="AH196" s="92">
        <v>16639</v>
      </c>
      <c r="AI196" s="45">
        <v>6</v>
      </c>
      <c r="AJ196" s="49">
        <v>40400</v>
      </c>
      <c r="AK196" s="48">
        <v>3.5</v>
      </c>
      <c r="AL196" s="44">
        <v>5416</v>
      </c>
      <c r="AM196" s="92">
        <v>12094</v>
      </c>
      <c r="AN196" s="45">
        <v>4</v>
      </c>
      <c r="AO196" s="49">
        <v>30886</v>
      </c>
      <c r="AP196" s="48">
        <v>4.4000000000000004</v>
      </c>
      <c r="AQ196" s="44">
        <v>2873</v>
      </c>
      <c r="AR196" s="92">
        <v>8155</v>
      </c>
      <c r="AS196" s="45">
        <v>3</v>
      </c>
      <c r="AT196" s="49">
        <v>20451</v>
      </c>
      <c r="AU196" s="48">
        <v>4.4000000000000004</v>
      </c>
      <c r="AV196" s="44">
        <v>3199</v>
      </c>
      <c r="AW196" s="92">
        <v>7366</v>
      </c>
      <c r="AX196" s="45">
        <v>5</v>
      </c>
      <c r="AY196" s="49">
        <v>21228</v>
      </c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2:72" s="50" customFormat="1" x14ac:dyDescent="0.25">
      <c r="B197" s="132"/>
      <c r="C197" s="133"/>
      <c r="D197" s="83"/>
      <c r="E197" s="113">
        <v>80</v>
      </c>
      <c r="F197" s="113"/>
      <c r="G197" s="113">
        <f t="shared" si="24"/>
        <v>4800</v>
      </c>
      <c r="H197" s="113"/>
      <c r="I197" s="113"/>
      <c r="J197" s="113"/>
      <c r="K197" s="116">
        <f t="shared" si="20"/>
        <v>3.9999999999999996</v>
      </c>
      <c r="L197" s="117"/>
      <c r="M197" s="118">
        <f t="shared" si="21"/>
        <v>239.99999999999997</v>
      </c>
      <c r="N197" s="118"/>
      <c r="O197" s="77">
        <f t="shared" si="22"/>
        <v>10.431166666666666</v>
      </c>
      <c r="P197" s="91">
        <f t="shared" si="19"/>
        <v>26.202200000000001</v>
      </c>
      <c r="Q197" s="98">
        <f t="shared" si="23"/>
        <v>4</v>
      </c>
      <c r="R197" s="78">
        <f t="shared" si="19"/>
        <v>59.147199999999998</v>
      </c>
      <c r="S197" s="46">
        <v>18.100000000000001</v>
      </c>
      <c r="T197" s="82">
        <v>871</v>
      </c>
      <c r="U197" s="47">
        <v>57</v>
      </c>
      <c r="V197" s="48">
        <v>3</v>
      </c>
      <c r="W197" s="44">
        <v>15484</v>
      </c>
      <c r="X197" s="92">
        <v>41509</v>
      </c>
      <c r="Y197" s="45">
        <v>6</v>
      </c>
      <c r="Z197" s="49">
        <v>103706</v>
      </c>
      <c r="AA197" s="48">
        <v>4.3</v>
      </c>
      <c r="AB197" s="44">
        <v>8986</v>
      </c>
      <c r="AC197" s="92">
        <v>23442</v>
      </c>
      <c r="AD197" s="45">
        <v>4</v>
      </c>
      <c r="AE197" s="49">
        <v>57436</v>
      </c>
      <c r="AF197" s="48">
        <v>4.0999999999999996</v>
      </c>
      <c r="AG197" s="44">
        <v>10441</v>
      </c>
      <c r="AH197" s="92">
        <v>25110</v>
      </c>
      <c r="AI197" s="45">
        <v>4</v>
      </c>
      <c r="AJ197" s="49">
        <v>43467</v>
      </c>
      <c r="AK197" s="48">
        <v>4.3</v>
      </c>
      <c r="AL197" s="44">
        <v>9091</v>
      </c>
      <c r="AM197" s="92">
        <v>23223</v>
      </c>
      <c r="AN197" s="45">
        <v>3</v>
      </c>
      <c r="AO197" s="49">
        <v>38244</v>
      </c>
      <c r="AP197" s="48">
        <v>4.5999999999999996</v>
      </c>
      <c r="AQ197" s="44">
        <v>7965</v>
      </c>
      <c r="AR197" s="92">
        <v>17727</v>
      </c>
      <c r="AS197" s="45">
        <v>3</v>
      </c>
      <c r="AT197" s="49">
        <v>52883</v>
      </c>
      <c r="AU197" s="48">
        <v>3.7</v>
      </c>
      <c r="AV197" s="44">
        <v>10620</v>
      </c>
      <c r="AW197" s="92"/>
      <c r="AX197" s="45"/>
      <c r="AY197" s="49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2:72" s="50" customFormat="1" x14ac:dyDescent="0.25">
      <c r="B198" s="132"/>
      <c r="C198" s="133"/>
      <c r="D198" s="82"/>
      <c r="E198" s="112">
        <v>100</v>
      </c>
      <c r="F198" s="112"/>
      <c r="G198" s="112">
        <f t="shared" si="24"/>
        <v>6000</v>
      </c>
      <c r="H198" s="112"/>
      <c r="I198" s="112"/>
      <c r="J198" s="112"/>
      <c r="K198" s="116">
        <f t="shared" si="20"/>
        <v>3.9833333333333338</v>
      </c>
      <c r="L198" s="117"/>
      <c r="M198" s="118">
        <f t="shared" si="21"/>
        <v>239.00000000000003</v>
      </c>
      <c r="N198" s="118"/>
      <c r="O198" s="77">
        <f t="shared" si="22"/>
        <v>13.052833333333334</v>
      </c>
      <c r="P198" s="91">
        <f t="shared" si="19"/>
        <v>36.466000000000001</v>
      </c>
      <c r="Q198" s="98">
        <f t="shared" si="23"/>
        <v>3.5</v>
      </c>
      <c r="R198" s="78">
        <f t="shared" si="19"/>
        <v>75.525999999999996</v>
      </c>
      <c r="S198" s="46">
        <v>19.2</v>
      </c>
      <c r="T198" s="82">
        <v>905</v>
      </c>
      <c r="U198" s="47">
        <v>57</v>
      </c>
      <c r="V198" s="48">
        <v>2.8</v>
      </c>
      <c r="W198" s="44">
        <v>24484</v>
      </c>
      <c r="X198" s="92">
        <v>55187</v>
      </c>
      <c r="Y198" s="45">
        <v>6</v>
      </c>
      <c r="Z198" s="49">
        <v>107922</v>
      </c>
      <c r="AA198" s="48">
        <v>3.3</v>
      </c>
      <c r="AB198" s="44">
        <v>15439</v>
      </c>
      <c r="AC198" s="92">
        <v>45222</v>
      </c>
      <c r="AD198" s="45">
        <v>3</v>
      </c>
      <c r="AE198" s="49">
        <v>96122</v>
      </c>
      <c r="AF198" s="48">
        <v>3.6</v>
      </c>
      <c r="AG198" s="44">
        <v>16486</v>
      </c>
      <c r="AH198" s="92">
        <v>41906</v>
      </c>
      <c r="AI198" s="45">
        <v>3</v>
      </c>
      <c r="AJ198" s="49">
        <v>99863</v>
      </c>
      <c r="AK198" s="48">
        <v>4.5</v>
      </c>
      <c r="AL198" s="44">
        <v>11557</v>
      </c>
      <c r="AM198" s="92">
        <v>25549</v>
      </c>
      <c r="AN198" s="45">
        <v>4</v>
      </c>
      <c r="AO198" s="49">
        <v>46663</v>
      </c>
      <c r="AP198" s="48">
        <v>4.9000000000000004</v>
      </c>
      <c r="AQ198" s="44">
        <v>10</v>
      </c>
      <c r="AR198" s="92">
        <v>24780</v>
      </c>
      <c r="AS198" s="45">
        <v>2</v>
      </c>
      <c r="AT198" s="49">
        <v>45306</v>
      </c>
      <c r="AU198" s="48">
        <v>4.8</v>
      </c>
      <c r="AV198" s="44">
        <v>10341</v>
      </c>
      <c r="AW198" s="92">
        <v>26152</v>
      </c>
      <c r="AX198" s="45">
        <v>3</v>
      </c>
      <c r="AY198" s="49">
        <v>57280</v>
      </c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2:72" s="50" customFormat="1" x14ac:dyDescent="0.25">
      <c r="B199" s="132"/>
      <c r="C199" s="133"/>
      <c r="D199" s="82"/>
      <c r="E199" s="112">
        <v>125</v>
      </c>
      <c r="F199" s="112"/>
      <c r="G199" s="112">
        <f t="shared" si="24"/>
        <v>7500</v>
      </c>
      <c r="H199" s="112"/>
      <c r="I199" s="112"/>
      <c r="J199" s="112"/>
      <c r="K199" s="116">
        <f t="shared" si="20"/>
        <v>4.583333333333333</v>
      </c>
      <c r="L199" s="117"/>
      <c r="M199" s="118">
        <f t="shared" si="21"/>
        <v>275</v>
      </c>
      <c r="N199" s="118"/>
      <c r="O199" s="77">
        <f t="shared" si="22"/>
        <v>16.633333333333333</v>
      </c>
      <c r="P199" s="91">
        <f t="shared" si="19"/>
        <v>40.052</v>
      </c>
      <c r="Q199" s="98">
        <f t="shared" si="23"/>
        <v>4.333333333333333</v>
      </c>
      <c r="R199" s="78">
        <f t="shared" si="19"/>
        <v>75.853666666666669</v>
      </c>
      <c r="S199" s="46">
        <v>24.3</v>
      </c>
      <c r="T199" s="82">
        <v>954</v>
      </c>
      <c r="U199" s="47">
        <v>58</v>
      </c>
      <c r="V199" s="48">
        <v>3.2</v>
      </c>
      <c r="W199" s="44">
        <v>27054</v>
      </c>
      <c r="X199" s="92">
        <v>66333</v>
      </c>
      <c r="Y199" s="45">
        <v>7</v>
      </c>
      <c r="Z199" s="49">
        <v>129093</v>
      </c>
      <c r="AA199" s="48">
        <v>4.7</v>
      </c>
      <c r="AB199" s="44">
        <v>16464</v>
      </c>
      <c r="AC199" s="92">
        <v>35990</v>
      </c>
      <c r="AD199" s="45">
        <v>5</v>
      </c>
      <c r="AE199" s="49">
        <v>53527</v>
      </c>
      <c r="AF199" s="48">
        <v>4.7</v>
      </c>
      <c r="AG199" s="44">
        <v>15093</v>
      </c>
      <c r="AH199" s="92">
        <v>34432</v>
      </c>
      <c r="AI199" s="45">
        <v>4</v>
      </c>
      <c r="AJ199" s="49">
        <v>68076</v>
      </c>
      <c r="AK199" s="48">
        <v>4.8</v>
      </c>
      <c r="AL199" s="44">
        <v>14990</v>
      </c>
      <c r="AM199" s="92">
        <v>36653</v>
      </c>
      <c r="AN199" s="45">
        <v>4</v>
      </c>
      <c r="AO199" s="49">
        <v>68430</v>
      </c>
      <c r="AP199" s="48">
        <v>5.0999999999999996</v>
      </c>
      <c r="AQ199" s="44">
        <v>12360</v>
      </c>
      <c r="AR199" s="92">
        <v>35961</v>
      </c>
      <c r="AS199" s="45">
        <v>3</v>
      </c>
      <c r="AT199" s="49">
        <v>83300</v>
      </c>
      <c r="AU199" s="48">
        <v>5</v>
      </c>
      <c r="AV199" s="44">
        <v>13839</v>
      </c>
      <c r="AW199" s="92">
        <v>30943</v>
      </c>
      <c r="AX199" s="45">
        <v>3</v>
      </c>
      <c r="AY199" s="49">
        <v>52696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2:72" s="50" customFormat="1" x14ac:dyDescent="0.25">
      <c r="B200" s="132"/>
      <c r="C200" s="133"/>
      <c r="D200" s="82"/>
      <c r="E200" s="112">
        <v>150</v>
      </c>
      <c r="F200" s="112"/>
      <c r="G200" s="112">
        <f t="shared" ref="G200:G205" si="25">E200*60</f>
        <v>9000</v>
      </c>
      <c r="H200" s="112"/>
      <c r="I200" s="112"/>
      <c r="J200" s="112"/>
      <c r="K200" s="116">
        <f t="shared" si="20"/>
        <v>4.3999999999999995</v>
      </c>
      <c r="L200" s="117"/>
      <c r="M200" s="118">
        <f t="shared" si="21"/>
        <v>263.99999999999994</v>
      </c>
      <c r="N200" s="118"/>
      <c r="O200" s="77">
        <f t="shared" si="22"/>
        <v>22.99516666666667</v>
      </c>
      <c r="P200" s="91">
        <f t="shared" si="19"/>
        <v>60.412166666666664</v>
      </c>
      <c r="Q200" s="98">
        <f t="shared" si="23"/>
        <v>4.166666666666667</v>
      </c>
      <c r="R200" s="78">
        <f t="shared" si="19"/>
        <v>122.54316666666668</v>
      </c>
      <c r="S200" s="46">
        <v>22.1</v>
      </c>
      <c r="T200" s="82">
        <v>966</v>
      </c>
      <c r="U200" s="47">
        <v>57</v>
      </c>
      <c r="V200" s="48">
        <v>2.5</v>
      </c>
      <c r="W200" s="44">
        <v>44766</v>
      </c>
      <c r="X200" s="92">
        <v>103397</v>
      </c>
      <c r="Y200" s="45">
        <v>8</v>
      </c>
      <c r="Z200" s="49">
        <v>191914</v>
      </c>
      <c r="AA200" s="48">
        <v>4.7</v>
      </c>
      <c r="AB200" s="44">
        <v>18780</v>
      </c>
      <c r="AC200" s="92">
        <v>48477</v>
      </c>
      <c r="AD200" s="45">
        <v>3</v>
      </c>
      <c r="AE200" s="49">
        <v>104357</v>
      </c>
      <c r="AF200" s="48">
        <v>5.2</v>
      </c>
      <c r="AG200" s="44">
        <v>17099</v>
      </c>
      <c r="AH200" s="92">
        <v>46454</v>
      </c>
      <c r="AI200" s="45">
        <v>4</v>
      </c>
      <c r="AJ200" s="49">
        <v>88879</v>
      </c>
      <c r="AK200" s="48">
        <v>4.8</v>
      </c>
      <c r="AL200" s="44">
        <v>17931</v>
      </c>
      <c r="AM200" s="92">
        <v>56715</v>
      </c>
      <c r="AN200" s="45">
        <v>3</v>
      </c>
      <c r="AO200" s="49">
        <v>122895</v>
      </c>
      <c r="AP200" s="48">
        <v>4.7</v>
      </c>
      <c r="AQ200" s="44">
        <v>18693</v>
      </c>
      <c r="AR200" s="92">
        <v>43538</v>
      </c>
      <c r="AS200" s="45">
        <v>4</v>
      </c>
      <c r="AT200" s="49">
        <v>90162</v>
      </c>
      <c r="AU200" s="48">
        <v>4.5</v>
      </c>
      <c r="AV200" s="44">
        <v>20702</v>
      </c>
      <c r="AW200" s="92">
        <v>63892</v>
      </c>
      <c r="AX200" s="45">
        <v>3</v>
      </c>
      <c r="AY200" s="49">
        <v>137052</v>
      </c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  <row r="201" spans="2:72" s="50" customFormat="1" x14ac:dyDescent="0.25">
      <c r="B201" s="132"/>
      <c r="C201" s="133"/>
      <c r="D201" s="82"/>
      <c r="E201" s="112">
        <v>200</v>
      </c>
      <c r="F201" s="112"/>
      <c r="G201" s="112">
        <f t="shared" si="25"/>
        <v>12000</v>
      </c>
      <c r="H201" s="112"/>
      <c r="I201" s="112"/>
      <c r="J201" s="112"/>
      <c r="K201" s="116">
        <f t="shared" si="20"/>
        <v>4.6333333333333329</v>
      </c>
      <c r="L201" s="117"/>
      <c r="M201" s="118">
        <f t="shared" si="21"/>
        <v>278</v>
      </c>
      <c r="N201" s="118"/>
      <c r="O201" s="77">
        <f t="shared" si="22"/>
        <v>29.481000000000002</v>
      </c>
      <c r="P201" s="91">
        <f t="shared" si="19"/>
        <v>74.897999999999996</v>
      </c>
      <c r="Q201" s="98">
        <f t="shared" si="23"/>
        <v>4</v>
      </c>
      <c r="R201" s="78">
        <f t="shared" si="19"/>
        <v>155.19516666666667</v>
      </c>
      <c r="S201" s="46">
        <v>22.3</v>
      </c>
      <c r="T201" s="82">
        <v>991</v>
      </c>
      <c r="U201" s="47">
        <v>57</v>
      </c>
      <c r="V201" s="48">
        <v>3.7</v>
      </c>
      <c r="W201" s="44">
        <v>38356</v>
      </c>
      <c r="X201" s="92">
        <v>111361</v>
      </c>
      <c r="Y201" s="45">
        <v>7</v>
      </c>
      <c r="Z201" s="49">
        <v>265455</v>
      </c>
      <c r="AA201" s="48">
        <v>4.2</v>
      </c>
      <c r="AB201" s="44">
        <v>32961</v>
      </c>
      <c r="AC201" s="92">
        <v>84783</v>
      </c>
      <c r="AD201" s="45">
        <v>4</v>
      </c>
      <c r="AE201" s="49">
        <v>173122</v>
      </c>
      <c r="AF201" s="48">
        <v>5.0999999999999996</v>
      </c>
      <c r="AG201" s="44">
        <v>25106</v>
      </c>
      <c r="AH201" s="92">
        <v>62465</v>
      </c>
      <c r="AI201" s="45">
        <v>3</v>
      </c>
      <c r="AJ201" s="49">
        <v>125321</v>
      </c>
      <c r="AK201" s="48">
        <v>4.9000000000000004</v>
      </c>
      <c r="AL201" s="44">
        <v>27653</v>
      </c>
      <c r="AM201" s="92">
        <v>55915</v>
      </c>
      <c r="AN201" s="45">
        <v>4</v>
      </c>
      <c r="AO201" s="49">
        <v>93943</v>
      </c>
      <c r="AP201" s="48">
        <v>4.7</v>
      </c>
      <c r="AQ201" s="44">
        <v>27930</v>
      </c>
      <c r="AR201" s="92">
        <v>75669</v>
      </c>
      <c r="AS201" s="45">
        <v>3</v>
      </c>
      <c r="AT201" s="49">
        <v>159311</v>
      </c>
      <c r="AU201" s="48">
        <v>5.2</v>
      </c>
      <c r="AV201" s="44">
        <v>24880</v>
      </c>
      <c r="AW201" s="92">
        <v>59195</v>
      </c>
      <c r="AX201" s="45">
        <v>3</v>
      </c>
      <c r="AY201" s="49">
        <v>114019</v>
      </c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2:72" s="50" customFormat="1" x14ac:dyDescent="0.25">
      <c r="B202" s="132"/>
      <c r="C202" s="133"/>
      <c r="D202" s="86"/>
      <c r="E202" s="112">
        <v>300</v>
      </c>
      <c r="F202" s="112"/>
      <c r="G202" s="112">
        <f t="shared" ref="G202" si="26">E202*60</f>
        <v>18000</v>
      </c>
      <c r="H202" s="112"/>
      <c r="I202" s="112"/>
      <c r="J202" s="112"/>
      <c r="K202" s="116">
        <f t="shared" ref="K202" si="27">AVERAGE(V202,AA202,AF202,AK202,AP202,AU202)</f>
        <v>5.0166666666666666</v>
      </c>
      <c r="L202" s="117"/>
      <c r="M202" s="118">
        <f t="shared" ref="M202" si="28">K202*60</f>
        <v>301</v>
      </c>
      <c r="N202" s="118"/>
      <c r="O202" s="77">
        <f t="shared" ref="O202" si="29">AVERAGE(W202,AB202,AG202,AL202,AQ202,AV202)/1000</f>
        <v>41.900333333333336</v>
      </c>
      <c r="P202" s="91">
        <f t="shared" ref="P202" si="30">AVERAGE(X202,AC202,AH202,AM202,AR202,AW202)/1000</f>
        <v>115.10166666666667</v>
      </c>
      <c r="Q202" s="98">
        <f t="shared" ref="Q202" si="31">AVERAGE(Y202,AD202,AI202,AN202,AS202,AX202)</f>
        <v>3.5</v>
      </c>
      <c r="R202" s="78">
        <f t="shared" ref="R202" si="32">AVERAGE(Z202,AE202,AJ202,AO202,AT202,AY202)/1000</f>
        <v>227.34216666666666</v>
      </c>
      <c r="S202" s="46">
        <v>26</v>
      </c>
      <c r="T202" s="86">
        <v>1002</v>
      </c>
      <c r="U202" s="47">
        <v>57</v>
      </c>
      <c r="V202" s="48">
        <v>4</v>
      </c>
      <c r="W202" s="44">
        <v>56284</v>
      </c>
      <c r="X202" s="92">
        <v>153452</v>
      </c>
      <c r="Y202" s="45">
        <v>6</v>
      </c>
      <c r="Z202" s="49">
        <v>337931</v>
      </c>
      <c r="AA202" s="48">
        <v>5.2</v>
      </c>
      <c r="AB202" s="44">
        <v>40343</v>
      </c>
      <c r="AC202" s="92">
        <v>119702</v>
      </c>
      <c r="AD202" s="45">
        <v>4</v>
      </c>
      <c r="AE202" s="49">
        <v>252083</v>
      </c>
      <c r="AF202" s="48">
        <v>5.3</v>
      </c>
      <c r="AG202" s="44">
        <v>38627</v>
      </c>
      <c r="AH202" s="92">
        <v>100914</v>
      </c>
      <c r="AI202" s="45">
        <v>4</v>
      </c>
      <c r="AJ202" s="49">
        <v>164282</v>
      </c>
      <c r="AK202" s="48">
        <v>5</v>
      </c>
      <c r="AL202" s="44">
        <v>41863</v>
      </c>
      <c r="AM202" s="92">
        <v>101420</v>
      </c>
      <c r="AN202" s="45">
        <v>2</v>
      </c>
      <c r="AO202" s="49">
        <v>185495</v>
      </c>
      <c r="AP202" s="48">
        <v>5.3</v>
      </c>
      <c r="AQ202" s="44">
        <v>37507</v>
      </c>
      <c r="AR202" s="92">
        <v>106185</v>
      </c>
      <c r="AS202" s="45">
        <v>3</v>
      </c>
      <c r="AT202" s="49">
        <v>216139</v>
      </c>
      <c r="AU202" s="48">
        <v>5.3</v>
      </c>
      <c r="AV202" s="44">
        <v>36778</v>
      </c>
      <c r="AW202" s="92">
        <v>108937</v>
      </c>
      <c r="AX202" s="45">
        <v>2</v>
      </c>
      <c r="AY202" s="49">
        <v>208123</v>
      </c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2:72" s="50" customFormat="1" x14ac:dyDescent="0.25">
      <c r="B203" s="132"/>
      <c r="C203" s="133"/>
      <c r="D203" s="86"/>
      <c r="E203" s="112">
        <v>400</v>
      </c>
      <c r="F203" s="112"/>
      <c r="G203" s="112">
        <f t="shared" ref="G203" si="33">E203*60</f>
        <v>24000</v>
      </c>
      <c r="H203" s="112"/>
      <c r="I203" s="112"/>
      <c r="J203" s="112"/>
      <c r="K203" s="116">
        <f t="shared" ref="K203" si="34">AVERAGE(V203,AA203,AF203,AK203,AP203,AU203)</f>
        <v>5.2666666666666666</v>
      </c>
      <c r="L203" s="117"/>
      <c r="M203" s="118">
        <f t="shared" ref="M203" si="35">K203*60</f>
        <v>316</v>
      </c>
      <c r="N203" s="118"/>
      <c r="O203" s="77">
        <f t="shared" ref="O203" si="36">AVERAGE(W203,AB203,AG203,AL203,AQ203,AV203)/1000</f>
        <v>130.19283333333334</v>
      </c>
      <c r="P203" s="91">
        <f t="shared" ref="P203" si="37">AVERAGE(X203,AC203,AH203,AM203,AR203,AW203)/1000</f>
        <v>138.67983333333333</v>
      </c>
      <c r="Q203" s="98">
        <f t="shared" ref="Q203" si="38">AVERAGE(Y203,AD203,AI203,AN203,AS203,AX203)</f>
        <v>3</v>
      </c>
      <c r="R203" s="78">
        <f t="shared" ref="R203" si="39">AVERAGE(Z203,AE203,AJ203,AO203,AT203,AY203)/1000</f>
        <v>275.05816666666669</v>
      </c>
      <c r="S203" s="46">
        <v>28</v>
      </c>
      <c r="T203" s="86">
        <v>980</v>
      </c>
      <c r="U203" s="47">
        <v>58</v>
      </c>
      <c r="V203" s="48">
        <v>4.4000000000000004</v>
      </c>
      <c r="W203" s="44">
        <v>67302</v>
      </c>
      <c r="X203" s="92">
        <v>196259</v>
      </c>
      <c r="Y203" s="45">
        <v>3</v>
      </c>
      <c r="Z203" s="49">
        <v>373601</v>
      </c>
      <c r="AA203" s="48">
        <v>5.5</v>
      </c>
      <c r="AB203" s="44">
        <v>505851</v>
      </c>
      <c r="AC203" s="92">
        <v>136128</v>
      </c>
      <c r="AD203" s="45">
        <v>3</v>
      </c>
      <c r="AE203" s="49">
        <v>284397</v>
      </c>
      <c r="AF203" s="48">
        <v>5.0999999999999996</v>
      </c>
      <c r="AG203" s="44">
        <v>58016</v>
      </c>
      <c r="AH203" s="92">
        <v>124938</v>
      </c>
      <c r="AI203" s="45">
        <v>3</v>
      </c>
      <c r="AJ203" s="49">
        <v>217404</v>
      </c>
      <c r="AK203" s="48">
        <v>5.4</v>
      </c>
      <c r="AL203" s="44">
        <v>52291</v>
      </c>
      <c r="AM203" s="92">
        <v>126121</v>
      </c>
      <c r="AN203" s="45">
        <v>3</v>
      </c>
      <c r="AO203" s="49">
        <v>257905</v>
      </c>
      <c r="AP203" s="48">
        <v>5.6</v>
      </c>
      <c r="AQ203" s="44">
        <v>49266</v>
      </c>
      <c r="AR203" s="92">
        <v>126394</v>
      </c>
      <c r="AS203" s="45">
        <v>3</v>
      </c>
      <c r="AT203" s="49">
        <v>262484</v>
      </c>
      <c r="AU203" s="48">
        <v>5.6</v>
      </c>
      <c r="AV203" s="44">
        <v>48431</v>
      </c>
      <c r="AW203" s="92">
        <v>122239</v>
      </c>
      <c r="AX203" s="45">
        <v>3</v>
      </c>
      <c r="AY203" s="49">
        <v>254558</v>
      </c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2:72" s="50" customFormat="1" x14ac:dyDescent="0.25">
      <c r="B204" s="132"/>
      <c r="C204" s="133"/>
      <c r="D204" s="86"/>
      <c r="E204" s="112">
        <v>500</v>
      </c>
      <c r="F204" s="112"/>
      <c r="G204" s="112">
        <f t="shared" ref="G204" si="40">E204*60</f>
        <v>30000</v>
      </c>
      <c r="H204" s="112"/>
      <c r="I204" s="112"/>
      <c r="J204" s="112"/>
      <c r="K204" s="116">
        <f t="shared" ref="K204" si="41">AVERAGE(V204,AA204,AF204,AK204,AP204,AU204)</f>
        <v>5.0333333333333332</v>
      </c>
      <c r="L204" s="117"/>
      <c r="M204" s="118">
        <f t="shared" ref="M204" si="42">K204*60</f>
        <v>302</v>
      </c>
      <c r="N204" s="118"/>
      <c r="O204" s="77">
        <f t="shared" ref="O204" si="43">AVERAGE(W204,AB204,AG204,AL204,AQ204,AV204)/1000</f>
        <v>70.992666666666665</v>
      </c>
      <c r="P204" s="91">
        <f t="shared" ref="P204" si="44">AVERAGE(X204,AC204,AH204,AM204,AR204,AW204)/1000</f>
        <v>199.34766666666667</v>
      </c>
      <c r="Q204" s="98">
        <f t="shared" ref="Q204" si="45">AVERAGE(Y204,AD204,AI204,AN204,AS204,AX204)</f>
        <v>3.1666666666666665</v>
      </c>
      <c r="R204" s="78">
        <f t="shared" ref="R204" si="46">AVERAGE(Z204,AE204,AJ204,AO204,AT204,AY204)/1000</f>
        <v>412.34683333333334</v>
      </c>
      <c r="S204" s="46">
        <v>23</v>
      </c>
      <c r="T204" s="86">
        <v>1003</v>
      </c>
      <c r="U204" s="47">
        <v>58</v>
      </c>
      <c r="V204" s="48">
        <v>4.2</v>
      </c>
      <c r="W204" s="44">
        <v>84516</v>
      </c>
      <c r="X204" s="92">
        <v>240201</v>
      </c>
      <c r="Y204" s="45">
        <v>6</v>
      </c>
      <c r="Z204" s="49">
        <v>512858</v>
      </c>
      <c r="AA204" s="48">
        <v>4.8</v>
      </c>
      <c r="AB204" s="44">
        <v>73394</v>
      </c>
      <c r="AC204" s="92">
        <v>214752</v>
      </c>
      <c r="AD204" s="45">
        <v>3</v>
      </c>
      <c r="AE204" s="49">
        <v>450602</v>
      </c>
      <c r="AF204" s="48">
        <v>5.0999999999999996</v>
      </c>
      <c r="AG204" s="44">
        <v>71209</v>
      </c>
      <c r="AH204" s="92">
        <v>183607</v>
      </c>
      <c r="AI204" s="45">
        <v>3</v>
      </c>
      <c r="AJ204" s="49">
        <v>367421</v>
      </c>
      <c r="AK204" s="48">
        <v>5.2</v>
      </c>
      <c r="AL204" s="44">
        <v>66874</v>
      </c>
      <c r="AM204" s="92">
        <v>194795</v>
      </c>
      <c r="AN204" s="45">
        <v>2</v>
      </c>
      <c r="AO204" s="49">
        <v>372877</v>
      </c>
      <c r="AP204" s="48">
        <v>5.2</v>
      </c>
      <c r="AQ204" s="44">
        <v>67772</v>
      </c>
      <c r="AR204" s="92">
        <v>199943</v>
      </c>
      <c r="AS204" s="45">
        <v>3</v>
      </c>
      <c r="AT204" s="49">
        <v>450034</v>
      </c>
      <c r="AU204" s="48">
        <v>5.7</v>
      </c>
      <c r="AV204" s="44">
        <v>62191</v>
      </c>
      <c r="AW204" s="92">
        <v>162788</v>
      </c>
      <c r="AX204" s="45">
        <v>2</v>
      </c>
      <c r="AY204" s="49">
        <v>320289</v>
      </c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2:72" s="50" customFormat="1" x14ac:dyDescent="0.25">
      <c r="B205" s="134"/>
      <c r="C205" s="135"/>
      <c r="D205" s="82"/>
      <c r="E205" s="112">
        <v>800</v>
      </c>
      <c r="F205" s="112"/>
      <c r="G205" s="112">
        <f t="shared" si="25"/>
        <v>48000</v>
      </c>
      <c r="H205" s="112"/>
      <c r="I205" s="112"/>
      <c r="J205" s="112"/>
      <c r="K205" s="116">
        <f t="shared" si="20"/>
        <v>4.5999999999999996</v>
      </c>
      <c r="L205" s="117"/>
      <c r="M205" s="118">
        <f t="shared" si="21"/>
        <v>276</v>
      </c>
      <c r="N205" s="118"/>
      <c r="O205" s="77">
        <f t="shared" si="22"/>
        <v>130.51374999999999</v>
      </c>
      <c r="P205" s="91">
        <f t="shared" si="19"/>
        <v>301.90499999999997</v>
      </c>
      <c r="Q205" s="98">
        <f t="shared" si="23"/>
        <v>3.5</v>
      </c>
      <c r="R205" s="78">
        <f t="shared" si="19"/>
        <v>535.66025000000002</v>
      </c>
      <c r="S205" s="46">
        <v>24</v>
      </c>
      <c r="T205" s="82">
        <v>1048</v>
      </c>
      <c r="U205" s="47">
        <v>59</v>
      </c>
      <c r="V205" s="48">
        <v>4.4000000000000004</v>
      </c>
      <c r="W205" s="44">
        <v>135896</v>
      </c>
      <c r="X205" s="92">
        <v>306474</v>
      </c>
      <c r="Y205" s="45">
        <v>6</v>
      </c>
      <c r="Z205" s="49">
        <v>575494</v>
      </c>
      <c r="AA205" s="48">
        <v>4.8</v>
      </c>
      <c r="AB205" s="44">
        <v>122066</v>
      </c>
      <c r="AC205" s="92">
        <v>302745</v>
      </c>
      <c r="AD205" s="45">
        <v>3</v>
      </c>
      <c r="AE205" s="49">
        <v>555174</v>
      </c>
      <c r="AF205" s="48">
        <v>4.3</v>
      </c>
      <c r="AG205" s="44">
        <v>144598</v>
      </c>
      <c r="AH205" s="92">
        <v>313937</v>
      </c>
      <c r="AI205" s="45">
        <v>3</v>
      </c>
      <c r="AJ205" s="49">
        <v>420595</v>
      </c>
      <c r="AK205" s="48">
        <v>4.9000000000000004</v>
      </c>
      <c r="AL205" s="44">
        <v>119495</v>
      </c>
      <c r="AM205" s="92">
        <v>284464</v>
      </c>
      <c r="AN205" s="45">
        <v>2</v>
      </c>
      <c r="AO205" s="49">
        <v>591378</v>
      </c>
      <c r="AP205" s="48"/>
      <c r="AQ205" s="44"/>
      <c r="AR205" s="92"/>
      <c r="AS205" s="45"/>
      <c r="AT205" s="49"/>
      <c r="AU205" s="48"/>
      <c r="AV205" s="44"/>
      <c r="AW205" s="92"/>
      <c r="AX205" s="45"/>
      <c r="AY205" s="49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</row>
    <row r="252" spans="1:23" x14ac:dyDescent="0.25">
      <c r="A252" s="111" t="s">
        <v>249</v>
      </c>
      <c r="B252" s="114" t="s">
        <v>247</v>
      </c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</row>
    <row r="253" spans="1:23" x14ac:dyDescent="0.25">
      <c r="A253" s="111" t="s">
        <v>250</v>
      </c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</row>
    <row r="256" spans="1:23" x14ac:dyDescent="0.25">
      <c r="B256" s="152" t="s">
        <v>253</v>
      </c>
      <c r="C256" t="s">
        <v>246</v>
      </c>
    </row>
    <row r="257" spans="1:4" x14ac:dyDescent="0.25">
      <c r="A257" s="6"/>
      <c r="B257" s="104" t="s">
        <v>167</v>
      </c>
      <c r="C257" s="104" t="s">
        <v>167</v>
      </c>
      <c r="D257" s="104" t="s">
        <v>192</v>
      </c>
    </row>
    <row r="258" spans="1:4" x14ac:dyDescent="0.25">
      <c r="A258" s="34" t="s">
        <v>187</v>
      </c>
      <c r="B258" s="153">
        <f>C112</f>
        <v>422.5646666666666</v>
      </c>
      <c r="C258" s="60">
        <f>C16</f>
        <v>413.14464000000004</v>
      </c>
      <c r="D258" s="105" t="s">
        <v>132</v>
      </c>
    </row>
    <row r="259" spans="1:4" x14ac:dyDescent="0.25">
      <c r="A259" s="37" t="s">
        <v>188</v>
      </c>
      <c r="B259" s="154">
        <f>C113</f>
        <v>461.60600000000005</v>
      </c>
      <c r="C259" s="62">
        <f>C17</f>
        <v>448.80933333333343</v>
      </c>
      <c r="D259" s="28" t="s">
        <v>132</v>
      </c>
    </row>
    <row r="260" spans="1:4" x14ac:dyDescent="0.25">
      <c r="A260" s="35" t="s">
        <v>189</v>
      </c>
      <c r="B260" s="155">
        <f>C114</f>
        <v>393.83333333333331</v>
      </c>
      <c r="C260" s="137">
        <f>C18</f>
        <v>425.41066666666671</v>
      </c>
      <c r="D260" s="36" t="s">
        <v>132</v>
      </c>
    </row>
    <row r="261" spans="1:4" x14ac:dyDescent="0.25">
      <c r="A261" s="38" t="s">
        <v>190</v>
      </c>
      <c r="B261" s="156">
        <f>C115</f>
        <v>922.49199999999996</v>
      </c>
      <c r="C261" s="66">
        <f>C19</f>
        <v>965.69399999999996</v>
      </c>
      <c r="D261" s="30" t="s">
        <v>132</v>
      </c>
    </row>
    <row r="262" spans="1:4" x14ac:dyDescent="0.25">
      <c r="A262" s="39" t="s">
        <v>186</v>
      </c>
      <c r="B262" s="157">
        <f>C116</f>
        <v>271.08600000000001</v>
      </c>
      <c r="C262" s="67">
        <f>C20</f>
        <v>85.539333333333332</v>
      </c>
      <c r="D262" s="40" t="s">
        <v>132</v>
      </c>
    </row>
    <row r="263" spans="1:4" x14ac:dyDescent="0.25">
      <c r="A263" s="6" t="s">
        <v>185</v>
      </c>
      <c r="B263" s="158">
        <f>C117</f>
        <v>135.51633333333334</v>
      </c>
      <c r="C263" s="138">
        <f>C21</f>
        <v>77.831666666666649</v>
      </c>
      <c r="D263" s="104" t="s">
        <v>132</v>
      </c>
    </row>
    <row r="264" spans="1:4" x14ac:dyDescent="0.25">
      <c r="A264" s="41" t="s">
        <v>191</v>
      </c>
      <c r="B264" s="159">
        <f>C118</f>
        <v>96.589333333333329</v>
      </c>
      <c r="C264" s="71">
        <f>C22</f>
        <v>57.243666666666662</v>
      </c>
      <c r="D264" s="42" t="s">
        <v>132</v>
      </c>
    </row>
    <row r="289" spans="2:21" x14ac:dyDescent="0.25">
      <c r="B289" s="115" t="s">
        <v>228</v>
      </c>
      <c r="C289" s="115"/>
      <c r="D289" s="115" t="s">
        <v>217</v>
      </c>
      <c r="E289" s="115"/>
      <c r="F289" s="139" t="s">
        <v>218</v>
      </c>
      <c r="G289" s="102" t="s">
        <v>218</v>
      </c>
      <c r="H289" s="141" t="s">
        <v>243</v>
      </c>
      <c r="I289" s="28" t="s">
        <v>243</v>
      </c>
      <c r="J289" s="143" t="s">
        <v>242</v>
      </c>
      <c r="K289" s="90" t="s">
        <v>242</v>
      </c>
      <c r="L289" s="145" t="s">
        <v>240</v>
      </c>
      <c r="M289" s="29" t="s">
        <v>240</v>
      </c>
      <c r="N289" s="147" t="s">
        <v>241</v>
      </c>
      <c r="O289" s="30" t="s">
        <v>241</v>
      </c>
      <c r="P289" s="149" t="s">
        <v>244</v>
      </c>
      <c r="Q289" s="33" t="s">
        <v>244</v>
      </c>
      <c r="R289" s="150" t="s">
        <v>245</v>
      </c>
      <c r="S289" s="101" t="s">
        <v>245</v>
      </c>
      <c r="T289" s="151" t="s">
        <v>177</v>
      </c>
      <c r="U289" s="32" t="s">
        <v>177</v>
      </c>
    </row>
    <row r="290" spans="2:21" x14ac:dyDescent="0.25">
      <c r="B290" s="112">
        <v>1</v>
      </c>
      <c r="C290" s="112"/>
      <c r="D290" s="112">
        <f>B290*60</f>
        <v>60</v>
      </c>
      <c r="E290" s="112"/>
      <c r="F290" s="140">
        <f>M192</f>
        <v>9.1333333333333346</v>
      </c>
      <c r="G290" s="107">
        <f>M33</f>
        <v>9.3833333333333329</v>
      </c>
      <c r="H290" s="142">
        <f>O192</f>
        <v>0.66300000000000003</v>
      </c>
      <c r="I290" s="77">
        <f>O33</f>
        <v>0.64349999999999996</v>
      </c>
      <c r="J290" s="144">
        <f>P192</f>
        <v>0.97799999999999998</v>
      </c>
      <c r="K290" s="91">
        <f>P33</f>
        <v>1.0791666666666668</v>
      </c>
      <c r="L290" s="146">
        <f>Q192</f>
        <v>14.333333333333334</v>
      </c>
      <c r="M290" s="98">
        <f>Q33</f>
        <v>30.666666666666668</v>
      </c>
      <c r="N290" s="148">
        <f>R192</f>
        <v>2.2036666666666664</v>
      </c>
      <c r="O290" s="78">
        <f>R33</f>
        <v>1.8493333333333333</v>
      </c>
      <c r="P290" s="149">
        <f>S192</f>
        <v>2.7</v>
      </c>
      <c r="Q290" s="46">
        <f>S33</f>
        <v>4.8</v>
      </c>
      <c r="R290" s="150">
        <f>T192</f>
        <v>533</v>
      </c>
      <c r="S290" s="100">
        <f>T33</f>
        <v>353</v>
      </c>
      <c r="T290" s="151">
        <f>U192</f>
        <v>51</v>
      </c>
      <c r="U290" s="47">
        <f>U33</f>
        <v>51</v>
      </c>
    </row>
    <row r="291" spans="2:21" x14ac:dyDescent="0.25">
      <c r="B291" s="112">
        <v>5</v>
      </c>
      <c r="C291" s="112"/>
      <c r="D291" s="112">
        <f>B291*60</f>
        <v>300</v>
      </c>
      <c r="E291" s="112"/>
      <c r="F291" s="140">
        <f>M193</f>
        <v>38.516666666666666</v>
      </c>
      <c r="G291" s="107">
        <f>M34</f>
        <v>38.149999999999991</v>
      </c>
      <c r="H291" s="142">
        <f>O193</f>
        <v>0.84450000000000003</v>
      </c>
      <c r="I291" s="77">
        <f>O34</f>
        <v>0.85599999999999998</v>
      </c>
      <c r="J291" s="144">
        <f>P193</f>
        <v>2.6915</v>
      </c>
      <c r="K291" s="91">
        <f>P34</f>
        <v>2.4744999999999999</v>
      </c>
      <c r="L291" s="146">
        <f>Q193</f>
        <v>7.666666666666667</v>
      </c>
      <c r="M291" s="98">
        <f>Q34</f>
        <v>4.666666666666667</v>
      </c>
      <c r="N291" s="148">
        <f>R193</f>
        <v>4.9424999999999999</v>
      </c>
      <c r="O291" s="78">
        <f>R34</f>
        <v>4.2743333333333329</v>
      </c>
      <c r="P291" s="149">
        <f>S193</f>
        <v>6.2</v>
      </c>
      <c r="Q291" s="46">
        <f>S34</f>
        <v>5.4</v>
      </c>
      <c r="R291" s="150">
        <f>T193</f>
        <v>564</v>
      </c>
      <c r="S291" s="100">
        <f>T34</f>
        <v>358</v>
      </c>
      <c r="T291" s="151">
        <f>U193</f>
        <v>55</v>
      </c>
      <c r="U291" s="47">
        <f>U34</f>
        <v>51</v>
      </c>
    </row>
    <row r="292" spans="2:21" x14ac:dyDescent="0.25">
      <c r="B292" s="112">
        <v>10</v>
      </c>
      <c r="C292" s="112"/>
      <c r="D292" s="112">
        <f t="shared" ref="D292:D303" si="47">B292*60</f>
        <v>600</v>
      </c>
      <c r="E292" s="112"/>
      <c r="F292" s="140">
        <f>M194</f>
        <v>66</v>
      </c>
      <c r="G292" s="107">
        <f>M35</f>
        <v>64.72</v>
      </c>
      <c r="H292" s="142">
        <f>O194</f>
        <v>1.1246666666666667</v>
      </c>
      <c r="I292" s="77">
        <f>O35</f>
        <v>1.1612</v>
      </c>
      <c r="J292" s="144">
        <f>P194</f>
        <v>3.6389999999999998</v>
      </c>
      <c r="K292" s="91">
        <f>P35</f>
        <v>3.8008000000000002</v>
      </c>
      <c r="L292" s="146">
        <f>Q194</f>
        <v>4.833333333333333</v>
      </c>
      <c r="M292" s="98">
        <f>Q35</f>
        <v>4</v>
      </c>
      <c r="N292" s="148">
        <f>R194</f>
        <v>7.5871666666666666</v>
      </c>
      <c r="O292" s="78">
        <f>R35</f>
        <v>8.1131999999999991</v>
      </c>
      <c r="P292" s="149">
        <f>S194</f>
        <v>6</v>
      </c>
      <c r="Q292" s="46">
        <f>S35</f>
        <v>9</v>
      </c>
      <c r="R292" s="150">
        <f>T194</f>
        <v>619</v>
      </c>
      <c r="S292" s="100">
        <f>T35</f>
        <v>377</v>
      </c>
      <c r="T292" s="151">
        <f>U194</f>
        <v>57</v>
      </c>
      <c r="U292" s="47">
        <f>U35</f>
        <v>53</v>
      </c>
    </row>
    <row r="293" spans="2:21" x14ac:dyDescent="0.25">
      <c r="B293" s="112">
        <v>20</v>
      </c>
      <c r="C293" s="112"/>
      <c r="D293" s="112">
        <f t="shared" si="47"/>
        <v>1200</v>
      </c>
      <c r="E293" s="112"/>
      <c r="F293" s="140">
        <f>M195</f>
        <v>111.99999999999999</v>
      </c>
      <c r="G293" s="107">
        <f>M36</f>
        <v>119</v>
      </c>
      <c r="H293" s="142">
        <f>O195</f>
        <v>2.0546666666666664</v>
      </c>
      <c r="I293" s="77">
        <f>O36</f>
        <v>1.8898333333333333</v>
      </c>
      <c r="J293" s="144">
        <f>P195</f>
        <v>6.3123333333333331</v>
      </c>
      <c r="K293" s="91">
        <f>P36</f>
        <v>6.4483333333333333</v>
      </c>
      <c r="L293" s="146">
        <f>Q195</f>
        <v>5.166666666666667</v>
      </c>
      <c r="M293" s="98">
        <f>Q36</f>
        <v>3.6666666666666665</v>
      </c>
      <c r="N293" s="148">
        <f>R195</f>
        <v>16.553833333333333</v>
      </c>
      <c r="O293" s="78">
        <f>R36</f>
        <v>14.047666666666666</v>
      </c>
      <c r="P293" s="149">
        <f>S195</f>
        <v>11.4</v>
      </c>
      <c r="Q293" s="46">
        <f>S36</f>
        <v>12.2</v>
      </c>
      <c r="R293" s="150">
        <f>T195</f>
        <v>672</v>
      </c>
      <c r="S293" s="100">
        <f>T36</f>
        <v>424</v>
      </c>
      <c r="T293" s="151">
        <f>U195</f>
        <v>58</v>
      </c>
      <c r="U293" s="47">
        <f>U36</f>
        <v>62</v>
      </c>
    </row>
    <row r="294" spans="2:21" x14ac:dyDescent="0.25">
      <c r="B294" s="112">
        <v>50</v>
      </c>
      <c r="C294" s="112"/>
      <c r="D294" s="112">
        <f t="shared" si="47"/>
        <v>3000</v>
      </c>
      <c r="E294" s="112"/>
      <c r="F294" s="140">
        <f>M196</f>
        <v>203</v>
      </c>
      <c r="G294" s="107">
        <f>M37</f>
        <v>186</v>
      </c>
      <c r="H294" s="142">
        <f>O196</f>
        <v>6.5071666666666665</v>
      </c>
      <c r="I294" s="77">
        <f>O37</f>
        <v>6.32</v>
      </c>
      <c r="J294" s="144">
        <f>P196</f>
        <v>15.957666666666666</v>
      </c>
      <c r="K294" s="91">
        <f>P37</f>
        <v>21.296666666666667</v>
      </c>
      <c r="L294" s="146">
        <f>Q196</f>
        <v>4.5</v>
      </c>
      <c r="M294" s="98">
        <f>Q37</f>
        <v>2.6666666666666665</v>
      </c>
      <c r="N294" s="148">
        <f>R196</f>
        <v>37.323</v>
      </c>
      <c r="O294" s="78">
        <f>R37</f>
        <v>56.792333333333339</v>
      </c>
      <c r="P294" s="149">
        <f>S196</f>
        <v>19.600000000000001</v>
      </c>
      <c r="Q294" s="46">
        <f>S37</f>
        <v>27.2</v>
      </c>
      <c r="R294" s="150">
        <f>T196</f>
        <v>850</v>
      </c>
      <c r="S294" s="100">
        <f>T37</f>
        <v>546</v>
      </c>
      <c r="T294" s="151">
        <f>U196</f>
        <v>58</v>
      </c>
      <c r="U294" s="47">
        <f>U37</f>
        <v>94</v>
      </c>
    </row>
    <row r="295" spans="2:21" x14ac:dyDescent="0.25">
      <c r="B295" s="113">
        <v>80</v>
      </c>
      <c r="C295" s="113"/>
      <c r="D295" s="113">
        <f t="shared" si="47"/>
        <v>4800</v>
      </c>
      <c r="E295" s="113"/>
      <c r="F295" s="140">
        <f>M197</f>
        <v>239.99999999999997</v>
      </c>
      <c r="G295" s="107">
        <f>M38</f>
        <v>227</v>
      </c>
      <c r="H295" s="142">
        <f>O197</f>
        <v>10.431166666666666</v>
      </c>
      <c r="I295" s="77">
        <f>O38</f>
        <v>10.316833333333333</v>
      </c>
      <c r="J295" s="144">
        <f>P197</f>
        <v>26.202200000000001</v>
      </c>
      <c r="K295" s="91">
        <f>P38</f>
        <v>31.202999999999999</v>
      </c>
      <c r="L295" s="146">
        <f>Q197</f>
        <v>4</v>
      </c>
      <c r="M295" s="98">
        <f>Q38</f>
        <v>2.6666666666666665</v>
      </c>
      <c r="N295" s="148">
        <f>R197</f>
        <v>59.147199999999998</v>
      </c>
      <c r="O295" s="78">
        <f>R38</f>
        <v>85.784499999999994</v>
      </c>
      <c r="P295" s="149">
        <f>S197</f>
        <v>18.100000000000001</v>
      </c>
      <c r="Q295" s="46">
        <f>S38</f>
        <v>17.8</v>
      </c>
      <c r="R295" s="150">
        <f>T197</f>
        <v>871</v>
      </c>
      <c r="S295" s="100">
        <f>T38</f>
        <v>858</v>
      </c>
      <c r="T295" s="151">
        <f>U197</f>
        <v>57</v>
      </c>
      <c r="U295" s="47">
        <f>U38</f>
        <v>123</v>
      </c>
    </row>
    <row r="296" spans="2:21" x14ac:dyDescent="0.25">
      <c r="B296" s="112">
        <v>100</v>
      </c>
      <c r="C296" s="112"/>
      <c r="D296" s="112">
        <f t="shared" si="47"/>
        <v>6000</v>
      </c>
      <c r="E296" s="112"/>
      <c r="F296" s="140">
        <f>M198</f>
        <v>239.00000000000003</v>
      </c>
      <c r="G296" s="107">
        <f>M39</f>
        <v>244</v>
      </c>
      <c r="H296" s="142">
        <f>O198</f>
        <v>13.052833333333334</v>
      </c>
      <c r="I296" s="77">
        <f>O39</f>
        <v>12.279</v>
      </c>
      <c r="J296" s="144">
        <f>P198</f>
        <v>36.466000000000001</v>
      </c>
      <c r="K296" s="91">
        <f>P39</f>
        <v>35.7485</v>
      </c>
      <c r="L296" s="146">
        <f>Q198</f>
        <v>3.5</v>
      </c>
      <c r="M296" s="98">
        <f>Q39</f>
        <v>2.5</v>
      </c>
      <c r="N296" s="148">
        <f>R198</f>
        <v>75.525999999999996</v>
      </c>
      <c r="O296" s="78">
        <f>R39</f>
        <v>116.95666666666668</v>
      </c>
      <c r="P296" s="149">
        <f>S198</f>
        <v>19.2</v>
      </c>
      <c r="Q296" s="46">
        <f>S39</f>
        <v>20.3</v>
      </c>
      <c r="R296" s="150">
        <f>T198</f>
        <v>905</v>
      </c>
      <c r="S296" s="100">
        <f>T39</f>
        <v>915</v>
      </c>
      <c r="T296" s="151">
        <f>U198</f>
        <v>57</v>
      </c>
      <c r="U296" s="47">
        <f>U39</f>
        <v>146</v>
      </c>
    </row>
    <row r="297" spans="2:21" x14ac:dyDescent="0.25">
      <c r="B297" s="112">
        <v>125</v>
      </c>
      <c r="C297" s="112"/>
      <c r="D297" s="112">
        <f t="shared" si="47"/>
        <v>7500</v>
      </c>
      <c r="E297" s="112"/>
      <c r="F297" s="140">
        <f>M199</f>
        <v>275</v>
      </c>
      <c r="G297" s="107">
        <f>M40</f>
        <v>244</v>
      </c>
      <c r="H297" s="142">
        <f>O199</f>
        <v>16.633333333333333</v>
      </c>
      <c r="I297" s="77">
        <f>O40</f>
        <v>18.239000000000001</v>
      </c>
      <c r="J297" s="144">
        <f>P199</f>
        <v>40.052</v>
      </c>
      <c r="K297" s="91">
        <f>P40</f>
        <v>51.365833333333335</v>
      </c>
      <c r="L297" s="146">
        <f>Q199</f>
        <v>4.333333333333333</v>
      </c>
      <c r="M297" s="98">
        <f>Q40</f>
        <v>2.3333333333333335</v>
      </c>
      <c r="N297" s="148">
        <f>R199</f>
        <v>75.853666666666669</v>
      </c>
      <c r="O297" s="78">
        <f>R40</f>
        <v>139.45616666666666</v>
      </c>
      <c r="P297" s="149">
        <f>S199</f>
        <v>24.3</v>
      </c>
      <c r="Q297" s="46">
        <f>S40</f>
        <v>48.7</v>
      </c>
      <c r="R297" s="150">
        <f>T199</f>
        <v>954</v>
      </c>
      <c r="S297" s="100">
        <f>T40</f>
        <v>958</v>
      </c>
      <c r="T297" s="151">
        <f>U199</f>
        <v>58</v>
      </c>
      <c r="U297" s="47">
        <f>U40</f>
        <v>170</v>
      </c>
    </row>
    <row r="298" spans="2:21" x14ac:dyDescent="0.25">
      <c r="B298" s="112">
        <v>150</v>
      </c>
      <c r="C298" s="112"/>
      <c r="D298" s="112">
        <f t="shared" si="47"/>
        <v>9000</v>
      </c>
      <c r="E298" s="112"/>
      <c r="F298" s="140">
        <f>M200</f>
        <v>263.99999999999994</v>
      </c>
      <c r="G298" s="107">
        <f>M41</f>
        <v>254</v>
      </c>
      <c r="H298" s="142">
        <f>O200</f>
        <v>22.99516666666667</v>
      </c>
      <c r="I298" s="77">
        <f>O41</f>
        <v>22.240500000000001</v>
      </c>
      <c r="J298" s="144">
        <f>P200</f>
        <v>60.412166666666664</v>
      </c>
      <c r="K298" s="91">
        <f>P41</f>
        <v>59.853333333333339</v>
      </c>
      <c r="L298" s="146">
        <f>Q200</f>
        <v>4.166666666666667</v>
      </c>
      <c r="M298" s="98">
        <f>Q41</f>
        <v>3.1666666666666665</v>
      </c>
      <c r="N298" s="148">
        <f>R200</f>
        <v>122.54316666666668</v>
      </c>
      <c r="O298" s="78">
        <f>R41</f>
        <v>190.19533333333334</v>
      </c>
      <c r="P298" s="149">
        <f>S200</f>
        <v>22.1</v>
      </c>
      <c r="Q298" s="46">
        <f>S41</f>
        <v>42.7</v>
      </c>
      <c r="R298" s="150">
        <f>T200</f>
        <v>966</v>
      </c>
      <c r="S298" s="100">
        <f>T41</f>
        <v>1042</v>
      </c>
      <c r="T298" s="151">
        <f>U200</f>
        <v>57</v>
      </c>
      <c r="U298" s="47">
        <f>U41</f>
        <v>193</v>
      </c>
    </row>
    <row r="299" spans="2:21" x14ac:dyDescent="0.25">
      <c r="B299" s="112">
        <v>200</v>
      </c>
      <c r="C299" s="112"/>
      <c r="D299" s="112">
        <f t="shared" si="47"/>
        <v>12000</v>
      </c>
      <c r="E299" s="112"/>
      <c r="F299" s="140">
        <f>M201</f>
        <v>278</v>
      </c>
      <c r="G299" s="107">
        <f>M42</f>
        <v>282</v>
      </c>
      <c r="H299" s="142">
        <f>O201</f>
        <v>29.481000000000002</v>
      </c>
      <c r="I299" s="77">
        <f>O42</f>
        <v>27.329166666666669</v>
      </c>
      <c r="J299" s="144">
        <f>P201</f>
        <v>74.897999999999996</v>
      </c>
      <c r="K299" s="91">
        <f>P42</f>
        <v>73.948166666666665</v>
      </c>
      <c r="L299" s="146">
        <f>Q201</f>
        <v>4</v>
      </c>
      <c r="M299" s="98">
        <f>Q42</f>
        <v>2.5</v>
      </c>
      <c r="N299" s="148">
        <f>R201</f>
        <v>155.19516666666667</v>
      </c>
      <c r="O299" s="78">
        <f>R42</f>
        <v>221.79816666666665</v>
      </c>
      <c r="P299" s="149">
        <f>S201</f>
        <v>22.3</v>
      </c>
      <c r="Q299" s="46">
        <f>S42</f>
        <v>32.5</v>
      </c>
      <c r="R299" s="150">
        <f>T201</f>
        <v>991</v>
      </c>
      <c r="S299" s="100">
        <f>T42</f>
        <v>1063</v>
      </c>
      <c r="T299" s="151">
        <f>U201</f>
        <v>57</v>
      </c>
      <c r="U299" s="47">
        <f>U42</f>
        <v>243</v>
      </c>
    </row>
    <row r="300" spans="2:21" x14ac:dyDescent="0.25">
      <c r="B300" s="112">
        <v>300</v>
      </c>
      <c r="C300" s="112"/>
      <c r="D300" s="112">
        <f t="shared" si="47"/>
        <v>18000</v>
      </c>
      <c r="E300" s="112"/>
      <c r="F300" s="140">
        <f>M202</f>
        <v>301</v>
      </c>
      <c r="G300" s="107">
        <f>M43</f>
        <v>292</v>
      </c>
      <c r="H300" s="142">
        <f>O202</f>
        <v>41.900333333333336</v>
      </c>
      <c r="I300" s="77">
        <f>O43</f>
        <v>43.045000000000002</v>
      </c>
      <c r="J300" s="144">
        <f>P202</f>
        <v>115.10166666666667</v>
      </c>
      <c r="K300" s="91">
        <f>P43</f>
        <v>97.530666666666676</v>
      </c>
      <c r="L300" s="146">
        <f>Q202</f>
        <v>3.5</v>
      </c>
      <c r="M300" s="98">
        <f>Q43</f>
        <v>3.1666666666666665</v>
      </c>
      <c r="N300" s="148">
        <f>R202</f>
        <v>227.34216666666666</v>
      </c>
      <c r="O300" s="78">
        <f>R43</f>
        <v>299.90216666666669</v>
      </c>
      <c r="P300" s="149">
        <f>S202</f>
        <v>26</v>
      </c>
      <c r="Q300" s="46">
        <f>S43</f>
        <v>45</v>
      </c>
      <c r="R300" s="150">
        <f>T202</f>
        <v>1002</v>
      </c>
      <c r="S300" s="100">
        <f>T43</f>
        <v>1117</v>
      </c>
      <c r="T300" s="151">
        <f>U202</f>
        <v>57</v>
      </c>
      <c r="U300" s="47">
        <f>U43</f>
        <v>342</v>
      </c>
    </row>
    <row r="301" spans="2:21" x14ac:dyDescent="0.25">
      <c r="B301" s="112">
        <v>400</v>
      </c>
      <c r="C301" s="112"/>
      <c r="D301" s="112">
        <f t="shared" si="47"/>
        <v>24000</v>
      </c>
      <c r="E301" s="112"/>
      <c r="F301" s="140">
        <f>M203</f>
        <v>316</v>
      </c>
      <c r="G301" s="107">
        <f>M44</f>
        <v>241.20000000000002</v>
      </c>
      <c r="H301" s="142">
        <f>O203</f>
        <v>130.19283333333334</v>
      </c>
      <c r="I301" s="77">
        <f>O44</f>
        <v>72.519600000000011</v>
      </c>
      <c r="J301" s="144">
        <f>P203</f>
        <v>138.67983333333333</v>
      </c>
      <c r="K301" s="91">
        <f>P44</f>
        <v>208.9042</v>
      </c>
      <c r="L301" s="146">
        <f>Q203</f>
        <v>3</v>
      </c>
      <c r="M301" s="98">
        <f>Q44</f>
        <v>2.2000000000000002</v>
      </c>
      <c r="N301" s="148">
        <f>R203</f>
        <v>275.05816666666669</v>
      </c>
      <c r="O301" s="78">
        <f>R44</f>
        <v>629.56500000000005</v>
      </c>
      <c r="P301" s="149">
        <f>S203</f>
        <v>28</v>
      </c>
      <c r="Q301" s="46">
        <f>S44</f>
        <v>41.5</v>
      </c>
      <c r="R301" s="150">
        <f>T203</f>
        <v>980</v>
      </c>
      <c r="S301" s="100">
        <f>T44</f>
        <v>1209</v>
      </c>
      <c r="T301" s="151">
        <f>U203</f>
        <v>58</v>
      </c>
      <c r="U301" s="47">
        <f>U44</f>
        <v>446</v>
      </c>
    </row>
    <row r="302" spans="2:21" x14ac:dyDescent="0.25">
      <c r="B302" s="112">
        <v>500</v>
      </c>
      <c r="C302" s="112"/>
      <c r="D302" s="112">
        <f t="shared" si="47"/>
        <v>30000</v>
      </c>
      <c r="E302" s="112"/>
      <c r="F302" s="140">
        <f>M204</f>
        <v>302</v>
      </c>
      <c r="G302" s="107">
        <f>M45</f>
        <v>235.20000000000002</v>
      </c>
      <c r="H302" s="142">
        <f>O204</f>
        <v>70.992666666666665</v>
      </c>
      <c r="I302" s="77">
        <f>O45</f>
        <v>91.455399999999997</v>
      </c>
      <c r="J302" s="144">
        <f>P204</f>
        <v>199.34766666666667</v>
      </c>
      <c r="K302" s="91">
        <f>P45</f>
        <v>252.69759999999999</v>
      </c>
      <c r="L302" s="146">
        <f>Q204</f>
        <v>3.1666666666666665</v>
      </c>
      <c r="M302" s="98">
        <f>Q45</f>
        <v>2.2000000000000002</v>
      </c>
      <c r="N302" s="148">
        <f>R204</f>
        <v>412.34683333333334</v>
      </c>
      <c r="O302" s="78">
        <f>R45</f>
        <v>739.89480000000003</v>
      </c>
      <c r="P302" s="149">
        <f>S204</f>
        <v>23</v>
      </c>
      <c r="Q302" s="46">
        <f>S45</f>
        <v>45.5</v>
      </c>
      <c r="R302" s="150">
        <f>T204</f>
        <v>1003</v>
      </c>
      <c r="S302" s="100">
        <f>T45</f>
        <v>1226</v>
      </c>
      <c r="T302" s="151">
        <f>U204</f>
        <v>58</v>
      </c>
      <c r="U302" s="47">
        <f>U45</f>
        <v>546</v>
      </c>
    </row>
    <row r="303" spans="2:21" x14ac:dyDescent="0.25">
      <c r="B303" s="112">
        <v>800</v>
      </c>
      <c r="C303" s="112"/>
      <c r="D303" s="112">
        <f t="shared" si="47"/>
        <v>48000</v>
      </c>
      <c r="E303" s="112"/>
      <c r="F303" s="140">
        <f>M205</f>
        <v>276</v>
      </c>
      <c r="G303" s="107">
        <f>M46</f>
        <v>298.79999999999995</v>
      </c>
      <c r="H303" s="142">
        <f>O205</f>
        <v>130.51374999999999</v>
      </c>
      <c r="I303" s="77">
        <f>O46</f>
        <v>113.98099999999999</v>
      </c>
      <c r="J303" s="144">
        <f>P205</f>
        <v>301.90499999999997</v>
      </c>
      <c r="K303" s="91">
        <f>P46</f>
        <v>357.14320000000004</v>
      </c>
      <c r="L303" s="146">
        <f>Q205</f>
        <v>3.5</v>
      </c>
      <c r="M303" s="98">
        <f>Q46</f>
        <v>2</v>
      </c>
      <c r="N303" s="148">
        <f>R205</f>
        <v>535.66025000000002</v>
      </c>
      <c r="O303" s="78">
        <f>R46</f>
        <v>1181.0036</v>
      </c>
      <c r="P303" s="149">
        <f>S205</f>
        <v>24</v>
      </c>
      <c r="Q303" s="46">
        <f>S46</f>
        <v>38</v>
      </c>
      <c r="R303" s="150">
        <f>T205</f>
        <v>1048</v>
      </c>
      <c r="S303" s="100">
        <f>T46</f>
        <v>1287</v>
      </c>
      <c r="T303" s="151">
        <f>U205</f>
        <v>59</v>
      </c>
      <c r="U303" s="47">
        <f>U46</f>
        <v>842</v>
      </c>
    </row>
  </sheetData>
  <mergeCells count="225">
    <mergeCell ref="AA31:AE31"/>
    <mergeCell ref="AF31:AJ31"/>
    <mergeCell ref="AK31:AO31"/>
    <mergeCell ref="AP31:AT31"/>
    <mergeCell ref="AU31:AY31"/>
    <mergeCell ref="B32:C32"/>
    <mergeCell ref="E32:F32"/>
    <mergeCell ref="G32:J32"/>
    <mergeCell ref="K32:L32"/>
    <mergeCell ref="M32:N32"/>
    <mergeCell ref="E205:F205"/>
    <mergeCell ref="G205:J205"/>
    <mergeCell ref="K205:L205"/>
    <mergeCell ref="M205:N205"/>
    <mergeCell ref="B11:W12"/>
    <mergeCell ref="B192:C205"/>
    <mergeCell ref="V31:Z31"/>
    <mergeCell ref="B33:C46"/>
    <mergeCell ref="E33:F33"/>
    <mergeCell ref="G33:J33"/>
    <mergeCell ref="K33:L33"/>
    <mergeCell ref="M33:N33"/>
    <mergeCell ref="E34:F34"/>
    <mergeCell ref="G34:J34"/>
    <mergeCell ref="K34:L34"/>
    <mergeCell ref="M34:N34"/>
    <mergeCell ref="E35:F35"/>
    <mergeCell ref="G35:J35"/>
    <mergeCell ref="K35:L35"/>
    <mergeCell ref="M35:N35"/>
    <mergeCell ref="E200:F200"/>
    <mergeCell ref="G200:J200"/>
    <mergeCell ref="K200:L200"/>
    <mergeCell ref="M200:N200"/>
    <mergeCell ref="E201:F201"/>
    <mergeCell ref="G201:J201"/>
    <mergeCell ref="K201:L201"/>
    <mergeCell ref="M201:N201"/>
    <mergeCell ref="E198:F198"/>
    <mergeCell ref="G198:J198"/>
    <mergeCell ref="K198:L198"/>
    <mergeCell ref="M198:N198"/>
    <mergeCell ref="E199:F199"/>
    <mergeCell ref="G199:J199"/>
    <mergeCell ref="K199:L199"/>
    <mergeCell ref="M199:N199"/>
    <mergeCell ref="M193:N193"/>
    <mergeCell ref="E196:F196"/>
    <mergeCell ref="G196:J196"/>
    <mergeCell ref="K196:L196"/>
    <mergeCell ref="M196:N196"/>
    <mergeCell ref="E197:F197"/>
    <mergeCell ref="G197:J197"/>
    <mergeCell ref="K197:L197"/>
    <mergeCell ref="M197:N197"/>
    <mergeCell ref="E194:F194"/>
    <mergeCell ref="G194:J194"/>
    <mergeCell ref="K194:L194"/>
    <mergeCell ref="M194:N194"/>
    <mergeCell ref="E195:F195"/>
    <mergeCell ref="G195:J195"/>
    <mergeCell ref="K195:L195"/>
    <mergeCell ref="M195:N195"/>
    <mergeCell ref="B95:W96"/>
    <mergeCell ref="B130:C130"/>
    <mergeCell ref="E130:F130"/>
    <mergeCell ref="G130:J130"/>
    <mergeCell ref="K130:L130"/>
    <mergeCell ref="M130:N130"/>
    <mergeCell ref="B128:C128"/>
    <mergeCell ref="E128:F128"/>
    <mergeCell ref="G128:J128"/>
    <mergeCell ref="K128:L128"/>
    <mergeCell ref="M128:N128"/>
    <mergeCell ref="B129:C129"/>
    <mergeCell ref="E129:F129"/>
    <mergeCell ref="G129:J129"/>
    <mergeCell ref="K129:L129"/>
    <mergeCell ref="M129:N129"/>
    <mergeCell ref="B126:C126"/>
    <mergeCell ref="E126:F126"/>
    <mergeCell ref="G126:J126"/>
    <mergeCell ref="K126:L126"/>
    <mergeCell ref="M126:N126"/>
    <mergeCell ref="B127:C127"/>
    <mergeCell ref="E127:F127"/>
    <mergeCell ref="G127:J127"/>
    <mergeCell ref="K127:L127"/>
    <mergeCell ref="M127:N127"/>
    <mergeCell ref="B124:C124"/>
    <mergeCell ref="E124:F124"/>
    <mergeCell ref="G124:J124"/>
    <mergeCell ref="K124:L124"/>
    <mergeCell ref="M124:N124"/>
    <mergeCell ref="B125:C125"/>
    <mergeCell ref="E125:F125"/>
    <mergeCell ref="G125:J125"/>
    <mergeCell ref="K125:L125"/>
    <mergeCell ref="M125:N125"/>
    <mergeCell ref="B122:C122"/>
    <mergeCell ref="E122:F122"/>
    <mergeCell ref="G122:J122"/>
    <mergeCell ref="K122:L122"/>
    <mergeCell ref="M122:N122"/>
    <mergeCell ref="B123:C123"/>
    <mergeCell ref="E123:F123"/>
    <mergeCell ref="G123:J123"/>
    <mergeCell ref="K123:L123"/>
    <mergeCell ref="M123:N123"/>
    <mergeCell ref="E46:F46"/>
    <mergeCell ref="G46:J46"/>
    <mergeCell ref="K46:L46"/>
    <mergeCell ref="M46:N46"/>
    <mergeCell ref="K45:L45"/>
    <mergeCell ref="M45:N45"/>
    <mergeCell ref="E45:F45"/>
    <mergeCell ref="G45:J45"/>
    <mergeCell ref="M37:N37"/>
    <mergeCell ref="E39:F39"/>
    <mergeCell ref="G39:J39"/>
    <mergeCell ref="M39:N39"/>
    <mergeCell ref="K39:L39"/>
    <mergeCell ref="E40:F40"/>
    <mergeCell ref="G40:J40"/>
    <mergeCell ref="M40:N40"/>
    <mergeCell ref="K40:L40"/>
    <mergeCell ref="E41:F41"/>
    <mergeCell ref="G41:J41"/>
    <mergeCell ref="M41:N41"/>
    <mergeCell ref="K41:L41"/>
    <mergeCell ref="M44:N44"/>
    <mergeCell ref="K44:L44"/>
    <mergeCell ref="E44:F44"/>
    <mergeCell ref="B7:E7"/>
    <mergeCell ref="A2:E2"/>
    <mergeCell ref="B3:E3"/>
    <mergeCell ref="B4:E4"/>
    <mergeCell ref="B5:E5"/>
    <mergeCell ref="B6:E6"/>
    <mergeCell ref="A11:A12"/>
    <mergeCell ref="G44:J44"/>
    <mergeCell ref="E42:F42"/>
    <mergeCell ref="G42:J42"/>
    <mergeCell ref="E43:F43"/>
    <mergeCell ref="G43:J43"/>
    <mergeCell ref="G2:H2"/>
    <mergeCell ref="M36:N36"/>
    <mergeCell ref="M38:N38"/>
    <mergeCell ref="K36:L36"/>
    <mergeCell ref="K38:L38"/>
    <mergeCell ref="E36:F36"/>
    <mergeCell ref="E38:F38"/>
    <mergeCell ref="G36:J36"/>
    <mergeCell ref="G38:J38"/>
    <mergeCell ref="AU190:AY190"/>
    <mergeCell ref="V190:Z190"/>
    <mergeCell ref="AA190:AE190"/>
    <mergeCell ref="AF190:AJ190"/>
    <mergeCell ref="AK190:AO190"/>
    <mergeCell ref="AP190:AT190"/>
    <mergeCell ref="A99:R99"/>
    <mergeCell ref="A110:R110"/>
    <mergeCell ref="A95:A96"/>
    <mergeCell ref="E37:F37"/>
    <mergeCell ref="G37:J37"/>
    <mergeCell ref="K37:L37"/>
    <mergeCell ref="M42:N42"/>
    <mergeCell ref="K42:L42"/>
    <mergeCell ref="M43:N43"/>
    <mergeCell ref="K43:L43"/>
    <mergeCell ref="B191:C191"/>
    <mergeCell ref="E191:F191"/>
    <mergeCell ref="G191:J191"/>
    <mergeCell ref="E204:F204"/>
    <mergeCell ref="G204:J204"/>
    <mergeCell ref="K204:L204"/>
    <mergeCell ref="M204:N204"/>
    <mergeCell ref="E203:F203"/>
    <mergeCell ref="G203:J203"/>
    <mergeCell ref="K203:L203"/>
    <mergeCell ref="M203:N203"/>
    <mergeCell ref="E202:F202"/>
    <mergeCell ref="G202:J202"/>
    <mergeCell ref="K202:L202"/>
    <mergeCell ref="M202:N202"/>
    <mergeCell ref="K191:L191"/>
    <mergeCell ref="M191:N191"/>
    <mergeCell ref="E192:F192"/>
    <mergeCell ref="G192:J192"/>
    <mergeCell ref="K192:L192"/>
    <mergeCell ref="M192:N192"/>
    <mergeCell ref="E193:F193"/>
    <mergeCell ref="G193:J193"/>
    <mergeCell ref="K193:L193"/>
    <mergeCell ref="B294:C294"/>
    <mergeCell ref="D294:E294"/>
    <mergeCell ref="B295:C295"/>
    <mergeCell ref="D295:E295"/>
    <mergeCell ref="B296:C296"/>
    <mergeCell ref="D296:E296"/>
    <mergeCell ref="B252:W253"/>
    <mergeCell ref="B289:C289"/>
    <mergeCell ref="D289:E289"/>
    <mergeCell ref="B290:C290"/>
    <mergeCell ref="D290:E290"/>
    <mergeCell ref="B291:C291"/>
    <mergeCell ref="D291:E291"/>
    <mergeCell ref="B292:C292"/>
    <mergeCell ref="D292:E292"/>
    <mergeCell ref="B293:C293"/>
    <mergeCell ref="D293:E293"/>
    <mergeCell ref="B303:C303"/>
    <mergeCell ref="D303:E303"/>
    <mergeCell ref="B300:C300"/>
    <mergeCell ref="D300:E300"/>
    <mergeCell ref="B301:C301"/>
    <mergeCell ref="D301:E301"/>
    <mergeCell ref="B302:C302"/>
    <mergeCell ref="D302:E302"/>
    <mergeCell ref="B297:C297"/>
    <mergeCell ref="D297:E297"/>
    <mergeCell ref="B298:C298"/>
    <mergeCell ref="D298:E298"/>
    <mergeCell ref="B299:C299"/>
    <mergeCell ref="D299:E299"/>
  </mergeCells>
  <hyperlinks>
    <hyperlink ref="A11:A12" location="Sheet3!B251" display="Sheet3!B251"/>
    <hyperlink ref="A95:A96" location="Sheet3!B251" display="Sheet3!B251"/>
    <hyperlink ref="A252" location="Sheet3!B10" display="Sheet3!B10"/>
    <hyperlink ref="A253" location="Sheet3!B94" display="Sheet3!B94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2016-09-16T10:51:26Z</dcterms:modified>
</cp:coreProperties>
</file>