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AS MANSOURI (RDI)\Desktop\Tadjikistan project\TO BE CHANGED\"/>
    </mc:Choice>
  </mc:AlternateContent>
  <xr:revisionPtr revIDLastSave="0" documentId="13_ncr:1_{DF78D19B-68FA-49EE-8932-B9C22C42670C}" xr6:coauthVersionLast="47" xr6:coauthVersionMax="47" xr10:uidLastSave="{00000000-0000-0000-0000-000000000000}"/>
  <bookViews>
    <workbookView xWindow="-98" yWindow="-98" windowWidth="21795" windowHeight="12975" activeTab="2" xr2:uid="{00000000-000D-0000-FFFF-FFFF00000000}"/>
  </bookViews>
  <sheets>
    <sheet name="ETo Penman Montheit FAO 56" sheetId="9" r:id="rId1"/>
    <sheet name="Soil Moisture Worksheet" sheetId="1" r:id="rId2"/>
    <sheet name="Application Rate" sheetId="5" r:id="rId3"/>
    <sheet name="Kc calculation" sheetId="7" r:id="rId4"/>
    <sheet name="Soil Moisture Graph" sheetId="2" r:id="rId5"/>
    <sheet name="ETc adj" sheetId="3" r:id="rId6"/>
    <sheet name="Crop Stress Factor" sheetId="4" r:id="rId7"/>
    <sheet name="Cumulative ET vs. Irrigation" sheetId="6" r:id="rId8"/>
    <sheet name="Sheet1"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5" l="1"/>
  <c r="D16" i="5"/>
  <c r="D6" i="5"/>
  <c r="D7" i="5"/>
  <c r="D8" i="5"/>
  <c r="D9" i="5"/>
  <c r="D10" i="5"/>
  <c r="D11" i="5"/>
  <c r="D12" i="5"/>
  <c r="D13" i="5"/>
  <c r="D14" i="5"/>
  <c r="D15"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5" i="5"/>
  <c r="M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7" i="1"/>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132" i="5"/>
  <c r="A133" i="5"/>
  <c r="A134" i="5"/>
  <c r="A135" i="5"/>
  <c r="B132" i="5"/>
  <c r="B133" i="5"/>
  <c r="B134" i="5"/>
  <c r="B135" i="5"/>
  <c r="B110" i="5"/>
  <c r="B111" i="5"/>
  <c r="B112" i="5"/>
  <c r="B113" i="5"/>
  <c r="B114" i="5"/>
  <c r="B115" i="5"/>
  <c r="B116" i="5"/>
  <c r="B117" i="5"/>
  <c r="B118" i="5"/>
  <c r="B119" i="5"/>
  <c r="B120" i="5"/>
  <c r="B121" i="5"/>
  <c r="B122" i="5"/>
  <c r="B123" i="5"/>
  <c r="B124" i="5"/>
  <c r="B125" i="5"/>
  <c r="B126" i="5"/>
  <c r="B127" i="5"/>
  <c r="B128" i="5"/>
  <c r="B129" i="5"/>
  <c r="B130" i="5"/>
  <c r="B131"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5"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S101" i="1" s="1"/>
  <c r="Q102" i="1"/>
  <c r="Q103" i="1"/>
  <c r="S103" i="1" s="1"/>
  <c r="Q104" i="1"/>
  <c r="S104" i="1" s="1"/>
  <c r="Q105" i="1"/>
  <c r="Q106" i="1"/>
  <c r="Q107" i="1"/>
  <c r="Q108" i="1"/>
  <c r="Q109" i="1"/>
  <c r="Q110" i="1"/>
  <c r="Q111" i="1"/>
  <c r="Q112" i="1"/>
  <c r="Q113" i="1"/>
  <c r="S113" i="1" s="1"/>
  <c r="Q114" i="1"/>
  <c r="Q115" i="1"/>
  <c r="S115" i="1" s="1"/>
  <c r="Q116" i="1"/>
  <c r="Q117" i="1"/>
  <c r="Q118" i="1"/>
  <c r="Q119" i="1"/>
  <c r="Q120" i="1"/>
  <c r="Q121" i="1"/>
  <c r="S121" i="1" s="1"/>
  <c r="Q122" i="1"/>
  <c r="S122" i="1" s="1"/>
  <c r="Q123" i="1"/>
  <c r="S123" i="1" s="1"/>
  <c r="Q124" i="1"/>
  <c r="Q125" i="1"/>
  <c r="Q126" i="1"/>
  <c r="Q127" i="1"/>
  <c r="Q128" i="1"/>
  <c r="S128" i="1" s="1"/>
  <c r="Q129" i="1"/>
  <c r="S129" i="1" s="1"/>
  <c r="Q130" i="1"/>
  <c r="S130" i="1" s="1"/>
  <c r="Q131" i="1"/>
  <c r="S131" i="1" s="1"/>
  <c r="Q132" i="1"/>
  <c r="Q133" i="1"/>
  <c r="S133" i="1" s="1"/>
  <c r="Q134" i="1"/>
  <c r="Q135" i="1"/>
  <c r="S135" i="1" s="1"/>
  <c r="Q136" i="1"/>
  <c r="Q6" i="1"/>
  <c r="D27" i="7"/>
  <c r="R125" i="1"/>
  <c r="R126" i="1"/>
  <c r="R127" i="1"/>
  <c r="S127" i="1"/>
  <c r="R128" i="1"/>
  <c r="R129" i="1"/>
  <c r="R130" i="1"/>
  <c r="R131" i="1"/>
  <c r="R132" i="1"/>
  <c r="S132" i="1"/>
  <c r="R133" i="1"/>
  <c r="R134" i="1"/>
  <c r="S134" i="1"/>
  <c r="R135" i="1"/>
  <c r="R136" i="1"/>
  <c r="R101" i="1"/>
  <c r="R102" i="1"/>
  <c r="R103" i="1"/>
  <c r="R104" i="1"/>
  <c r="R105" i="1"/>
  <c r="R106" i="1"/>
  <c r="R107" i="1"/>
  <c r="R108" i="1"/>
  <c r="R109" i="1"/>
  <c r="R110" i="1"/>
  <c r="R111" i="1"/>
  <c r="R112" i="1"/>
  <c r="S112" i="1"/>
  <c r="R113" i="1"/>
  <c r="R114" i="1"/>
  <c r="R115" i="1"/>
  <c r="R116" i="1"/>
  <c r="R117" i="1"/>
  <c r="R118" i="1"/>
  <c r="R119" i="1"/>
  <c r="R120" i="1"/>
  <c r="R121" i="1"/>
  <c r="R122" i="1"/>
  <c r="R123" i="1"/>
  <c r="R124" i="1"/>
  <c r="S124" i="1"/>
  <c r="S125" i="1"/>
  <c r="S126" i="1"/>
  <c r="S106" i="1"/>
  <c r="S107" i="1"/>
  <c r="S108" i="1"/>
  <c r="S109" i="1"/>
  <c r="S110" i="1"/>
  <c r="S111" i="1"/>
  <c r="S116" i="1"/>
  <c r="S117" i="1"/>
  <c r="S118" i="1"/>
  <c r="S119"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6" i="1"/>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02"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S105" i="1" l="1"/>
  <c r="S102" i="1"/>
  <c r="S114" i="1"/>
  <c r="S136" i="1"/>
  <c r="S120"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6" i="1"/>
  <c r="O8" i="9"/>
  <c r="S8" i="9" s="1"/>
  <c r="P8" i="9"/>
  <c r="Q8" i="9" s="1"/>
  <c r="T8" i="9"/>
  <c r="U8" i="9"/>
  <c r="V8" i="9"/>
  <c r="AB8" i="9"/>
  <c r="AC8" i="9"/>
  <c r="AE8" i="9"/>
  <c r="O9" i="9"/>
  <c r="S9" i="9" s="1"/>
  <c r="P9" i="9"/>
  <c r="Q9" i="9"/>
  <c r="AG9" i="9" s="1"/>
  <c r="T9" i="9"/>
  <c r="U9" i="9"/>
  <c r="V9" i="9"/>
  <c r="AB9" i="9"/>
  <c r="AC9" i="9"/>
  <c r="AE9" i="9"/>
  <c r="AH9" i="9"/>
  <c r="O10" i="9"/>
  <c r="S10" i="9" s="1"/>
  <c r="P10" i="9"/>
  <c r="T10" i="9"/>
  <c r="U10" i="9"/>
  <c r="V10" i="9"/>
  <c r="X10" i="9" s="1"/>
  <c r="AD10" i="9" s="1"/>
  <c r="W10" i="9"/>
  <c r="AB10" i="9"/>
  <c r="AC10" i="9" s="1"/>
  <c r="AE10" i="9"/>
  <c r="AH10" i="9"/>
  <c r="O11" i="9"/>
  <c r="P11" i="9"/>
  <c r="S11" i="9"/>
  <c r="T11" i="9"/>
  <c r="V11" i="9" s="1"/>
  <c r="U11" i="9"/>
  <c r="W11" i="9" s="1"/>
  <c r="AB11" i="9"/>
  <c r="AC11" i="9"/>
  <c r="AE11" i="9"/>
  <c r="AH11" i="9"/>
  <c r="O12" i="9"/>
  <c r="S12" i="9" s="1"/>
  <c r="P12" i="9"/>
  <c r="Q12" i="9"/>
  <c r="T12" i="9"/>
  <c r="V12" i="9" s="1"/>
  <c r="U12" i="9"/>
  <c r="AB12" i="9"/>
  <c r="AC12" i="9" s="1"/>
  <c r="AH12" i="9" s="1"/>
  <c r="AE12" i="9"/>
  <c r="O13" i="9"/>
  <c r="P13" i="9"/>
  <c r="Q13" i="9"/>
  <c r="S13" i="9"/>
  <c r="T13" i="9"/>
  <c r="U13" i="9"/>
  <c r="V13" i="9"/>
  <c r="W13" i="9"/>
  <c r="X13" i="9"/>
  <c r="AD13" i="9" s="1"/>
  <c r="AB13" i="9"/>
  <c r="AC13" i="9" s="1"/>
  <c r="AE13" i="9"/>
  <c r="O14" i="9"/>
  <c r="S14" i="9" s="1"/>
  <c r="P14" i="9"/>
  <c r="Q14" i="9" s="1"/>
  <c r="T14" i="9"/>
  <c r="U14" i="9"/>
  <c r="W14" i="9" s="1"/>
  <c r="V14" i="9"/>
  <c r="X14" i="9" s="1"/>
  <c r="AB14" i="9"/>
  <c r="AC14" i="9"/>
  <c r="AH14" i="9" s="1"/>
  <c r="AE14" i="9"/>
  <c r="O15" i="9"/>
  <c r="P15" i="9"/>
  <c r="T15" i="9"/>
  <c r="U15" i="9"/>
  <c r="W15" i="9" s="1"/>
  <c r="V15" i="9"/>
  <c r="X15" i="9" s="1"/>
  <c r="Y15" i="9" s="1"/>
  <c r="AB15" i="9"/>
  <c r="AC15" i="9"/>
  <c r="AE15" i="9"/>
  <c r="AH15" i="9"/>
  <c r="O16" i="9"/>
  <c r="S16" i="9" s="1"/>
  <c r="P16" i="9"/>
  <c r="T16" i="9"/>
  <c r="U16" i="9"/>
  <c r="V16" i="9"/>
  <c r="AB16" i="9"/>
  <c r="AC16" i="9"/>
  <c r="AE16" i="9"/>
  <c r="AH16" i="9"/>
  <c r="O17" i="9"/>
  <c r="P17" i="9"/>
  <c r="S17" i="9"/>
  <c r="T17" i="9"/>
  <c r="U17" i="9"/>
  <c r="W17" i="9" s="1"/>
  <c r="V17" i="9"/>
  <c r="X17" i="9" s="1"/>
  <c r="AB17" i="9"/>
  <c r="AC17" i="9" s="1"/>
  <c r="AE17" i="9"/>
  <c r="AH17" i="9"/>
  <c r="O18" i="9"/>
  <c r="S18" i="9" s="1"/>
  <c r="P18" i="9"/>
  <c r="T18" i="9"/>
  <c r="U18" i="9"/>
  <c r="V18" i="9"/>
  <c r="W18" i="9"/>
  <c r="X18" i="9"/>
  <c r="AD18" i="9" s="1"/>
  <c r="AB18" i="9"/>
  <c r="AC18" i="9" s="1"/>
  <c r="AE18" i="9"/>
  <c r="AH18" i="9"/>
  <c r="O19" i="9"/>
  <c r="P19" i="9"/>
  <c r="Q19" i="9" s="1"/>
  <c r="S19" i="9"/>
  <c r="T19" i="9"/>
  <c r="U19" i="9"/>
  <c r="V19" i="9"/>
  <c r="W19" i="9"/>
  <c r="X19" i="9" s="1"/>
  <c r="AD19" i="9" s="1"/>
  <c r="AB19" i="9"/>
  <c r="AC19" i="9" s="1"/>
  <c r="AE19" i="9"/>
  <c r="AH19" i="9"/>
  <c r="O20" i="9"/>
  <c r="S20" i="9" s="1"/>
  <c r="P20" i="9"/>
  <c r="T20" i="9"/>
  <c r="V20" i="9" s="1"/>
  <c r="U20" i="9"/>
  <c r="AB20" i="9"/>
  <c r="AC20" i="9"/>
  <c r="AH20" i="9" s="1"/>
  <c r="AE20" i="9"/>
  <c r="O21" i="9"/>
  <c r="S21" i="9" s="1"/>
  <c r="P21" i="9"/>
  <c r="T21" i="9"/>
  <c r="U21" i="9"/>
  <c r="W21" i="9" s="1"/>
  <c r="V21" i="9"/>
  <c r="X21" i="9" s="1"/>
  <c r="AB21" i="9"/>
  <c r="AC21" i="9"/>
  <c r="AE21" i="9"/>
  <c r="AH21" i="9"/>
  <c r="O22" i="9"/>
  <c r="S22" i="9" s="1"/>
  <c r="P22" i="9"/>
  <c r="T22" i="9"/>
  <c r="U22" i="9"/>
  <c r="V22" i="9"/>
  <c r="X22" i="9" s="1"/>
  <c r="AD22" i="9" s="1"/>
  <c r="W22" i="9"/>
  <c r="Y22" i="9"/>
  <c r="AB22" i="9"/>
  <c r="AC22" i="9"/>
  <c r="AE22" i="9"/>
  <c r="AH22" i="9"/>
  <c r="O23" i="9"/>
  <c r="S23" i="9" s="1"/>
  <c r="P23" i="9"/>
  <c r="T23" i="9"/>
  <c r="U23" i="9"/>
  <c r="W23" i="9" s="1"/>
  <c r="V23" i="9"/>
  <c r="X23" i="9" s="1"/>
  <c r="AD23" i="9" s="1"/>
  <c r="Y23" i="9"/>
  <c r="AB23" i="9"/>
  <c r="AC23" i="9" s="1"/>
  <c r="AE23" i="9"/>
  <c r="O24" i="9"/>
  <c r="S24" i="9" s="1"/>
  <c r="P24" i="9"/>
  <c r="Q24" i="9"/>
  <c r="AG24" i="9" s="1"/>
  <c r="R24" i="9"/>
  <c r="T24" i="9"/>
  <c r="V24" i="9" s="1"/>
  <c r="U24" i="9"/>
  <c r="W24" i="9" s="1"/>
  <c r="AB24" i="9"/>
  <c r="AC24" i="9" s="1"/>
  <c r="AE24" i="9"/>
  <c r="AH24" i="9"/>
  <c r="O25" i="9"/>
  <c r="P25" i="9"/>
  <c r="T25" i="9"/>
  <c r="U25" i="9"/>
  <c r="W25" i="9"/>
  <c r="AB25" i="9"/>
  <c r="AC25" i="9" s="1"/>
  <c r="AE25" i="9"/>
  <c r="AH25" i="9"/>
  <c r="O26" i="9"/>
  <c r="S26" i="9" s="1"/>
  <c r="P26" i="9"/>
  <c r="Q26" i="9" s="1"/>
  <c r="R26" i="9" s="1"/>
  <c r="T26" i="9"/>
  <c r="U26" i="9"/>
  <c r="W26" i="9" s="1"/>
  <c r="V26" i="9"/>
  <c r="X26" i="9"/>
  <c r="AB26" i="9"/>
  <c r="AC26" i="9"/>
  <c r="AE26" i="9"/>
  <c r="AH26" i="9"/>
  <c r="O27" i="9"/>
  <c r="S27" i="9" s="1"/>
  <c r="P27" i="9"/>
  <c r="Q27" i="9" s="1"/>
  <c r="T27" i="9"/>
  <c r="U27" i="9"/>
  <c r="W27" i="9" s="1"/>
  <c r="V27" i="9"/>
  <c r="X27" i="9" s="1"/>
  <c r="AD27" i="9" s="1"/>
  <c r="Y27" i="9"/>
  <c r="AB27" i="9"/>
  <c r="AC27" i="9"/>
  <c r="AE27" i="9"/>
  <c r="AH27" i="9"/>
  <c r="O28" i="9"/>
  <c r="S28" i="9" s="1"/>
  <c r="P28" i="9"/>
  <c r="T28" i="9"/>
  <c r="U28" i="9"/>
  <c r="V28" i="9"/>
  <c r="AB28" i="9"/>
  <c r="AC28" i="9" s="1"/>
  <c r="AE28" i="9"/>
  <c r="O29" i="9"/>
  <c r="S29" i="9" s="1"/>
  <c r="P29" i="9"/>
  <c r="T29" i="9"/>
  <c r="U29" i="9"/>
  <c r="W29" i="9" s="1"/>
  <c r="AB29" i="9"/>
  <c r="AC29" i="9"/>
  <c r="AE29" i="9"/>
  <c r="AH29" i="9"/>
  <c r="O30" i="9"/>
  <c r="P30" i="9"/>
  <c r="T30" i="9"/>
  <c r="U30" i="9"/>
  <c r="W30" i="9" s="1"/>
  <c r="AB30" i="9"/>
  <c r="AC30" i="9" s="1"/>
  <c r="AE30" i="9"/>
  <c r="O31" i="9"/>
  <c r="Q31" i="9" s="1"/>
  <c r="P31" i="9"/>
  <c r="T31" i="9"/>
  <c r="U31" i="9"/>
  <c r="W31" i="9"/>
  <c r="AB31" i="9"/>
  <c r="AC31" i="9" s="1"/>
  <c r="AE31" i="9"/>
  <c r="O32" i="9"/>
  <c r="P32" i="9"/>
  <c r="S32" i="9"/>
  <c r="T32" i="9"/>
  <c r="U32" i="9"/>
  <c r="V32" i="9"/>
  <c r="AB32" i="9"/>
  <c r="AC32" i="9" s="1"/>
  <c r="AE32" i="9"/>
  <c r="O33" i="9"/>
  <c r="S33" i="9" s="1"/>
  <c r="P33" i="9"/>
  <c r="Q33" i="9"/>
  <c r="T33" i="9"/>
  <c r="U33" i="9"/>
  <c r="W33" i="9" s="1"/>
  <c r="V33" i="9"/>
  <c r="X33" i="9" s="1"/>
  <c r="AB33" i="9"/>
  <c r="AC33" i="9"/>
  <c r="AE33" i="9"/>
  <c r="AH33" i="9"/>
  <c r="O34" i="9"/>
  <c r="S34" i="9" s="1"/>
  <c r="P34" i="9"/>
  <c r="Q34" i="9" s="1"/>
  <c r="T34" i="9"/>
  <c r="U34" i="9"/>
  <c r="V34" i="9"/>
  <c r="W34" i="9"/>
  <c r="AB34" i="9"/>
  <c r="AC34" i="9" s="1"/>
  <c r="AE34" i="9"/>
  <c r="O35" i="9"/>
  <c r="S35" i="9" s="1"/>
  <c r="P35" i="9"/>
  <c r="T35" i="9"/>
  <c r="V35" i="9" s="1"/>
  <c r="U35" i="9"/>
  <c r="W35" i="9" s="1"/>
  <c r="AB35" i="9"/>
  <c r="AC35" i="9" s="1"/>
  <c r="AE35" i="9"/>
  <c r="O36" i="9"/>
  <c r="Q36" i="9" s="1"/>
  <c r="P36" i="9"/>
  <c r="T36" i="9"/>
  <c r="V36" i="9" s="1"/>
  <c r="X36" i="9" s="1"/>
  <c r="AD36" i="9" s="1"/>
  <c r="U36" i="9"/>
  <c r="W36" i="9" s="1"/>
  <c r="AB36" i="9"/>
  <c r="AC36" i="9" s="1"/>
  <c r="AE36" i="9"/>
  <c r="AH36" i="9"/>
  <c r="O37" i="9"/>
  <c r="S37" i="9" s="1"/>
  <c r="P37" i="9"/>
  <c r="Q37" i="9"/>
  <c r="T37" i="9"/>
  <c r="U37" i="9"/>
  <c r="W37" i="9" s="1"/>
  <c r="AB37" i="9"/>
  <c r="AC37" i="9" s="1"/>
  <c r="AE37" i="9"/>
  <c r="AH37" i="9"/>
  <c r="O38" i="9"/>
  <c r="S38" i="9" s="1"/>
  <c r="P38" i="9"/>
  <c r="T38" i="9"/>
  <c r="U38" i="9"/>
  <c r="W38" i="9" s="1"/>
  <c r="V38" i="9"/>
  <c r="X38" i="9" s="1"/>
  <c r="AD38" i="9" s="1"/>
  <c r="Y38" i="9"/>
  <c r="AB38" i="9"/>
  <c r="AC38" i="9"/>
  <c r="AE38" i="9"/>
  <c r="O39" i="9"/>
  <c r="S39" i="9" s="1"/>
  <c r="P39" i="9"/>
  <c r="T39" i="9"/>
  <c r="U39" i="9"/>
  <c r="V39" i="9"/>
  <c r="AB39" i="9"/>
  <c r="AC39" i="9"/>
  <c r="AE39" i="9"/>
  <c r="O40" i="9"/>
  <c r="S40" i="9" s="1"/>
  <c r="P40" i="9"/>
  <c r="Q40" i="9" s="1"/>
  <c r="T40" i="9"/>
  <c r="U40" i="9"/>
  <c r="V40" i="9"/>
  <c r="W40" i="9"/>
  <c r="AB40" i="9"/>
  <c r="AC40" i="9" s="1"/>
  <c r="AE40" i="9"/>
  <c r="O41" i="9"/>
  <c r="P41" i="9"/>
  <c r="Q41" i="9" s="1"/>
  <c r="S41" i="9"/>
  <c r="T41" i="9"/>
  <c r="U41" i="9"/>
  <c r="W41" i="9"/>
  <c r="AB41" i="9"/>
  <c r="AC41" i="9"/>
  <c r="AE41" i="9"/>
  <c r="O42" i="9"/>
  <c r="Q42" i="9" s="1"/>
  <c r="P42" i="9"/>
  <c r="T42" i="9"/>
  <c r="U42" i="9"/>
  <c r="V42" i="9"/>
  <c r="AB42" i="9"/>
  <c r="AC42" i="9"/>
  <c r="AE42" i="9"/>
  <c r="O43" i="9"/>
  <c r="P43" i="9"/>
  <c r="Q43" i="9" s="1"/>
  <c r="S43" i="9"/>
  <c r="T43" i="9"/>
  <c r="V43" i="9" s="1"/>
  <c r="U43" i="9"/>
  <c r="W43" i="9" s="1"/>
  <c r="AB43" i="9"/>
  <c r="AC43" i="9" s="1"/>
  <c r="AE43" i="9"/>
  <c r="O44" i="9"/>
  <c r="P44" i="9"/>
  <c r="Q44" i="9"/>
  <c r="S44" i="9"/>
  <c r="T44" i="9"/>
  <c r="U44" i="9"/>
  <c r="W44" i="9" s="1"/>
  <c r="AB44" i="9"/>
  <c r="AC44" i="9" s="1"/>
  <c r="AE44" i="9"/>
  <c r="O45" i="9"/>
  <c r="P45" i="9"/>
  <c r="Q45" i="9" s="1"/>
  <c r="S45" i="9"/>
  <c r="T45" i="9"/>
  <c r="U45" i="9"/>
  <c r="V45" i="9"/>
  <c r="AB45" i="9"/>
  <c r="AC45" i="9" s="1"/>
  <c r="AE45" i="9"/>
  <c r="AH45" i="9"/>
  <c r="O46" i="9"/>
  <c r="S46" i="9" s="1"/>
  <c r="P46" i="9"/>
  <c r="T46" i="9"/>
  <c r="U46" i="9"/>
  <c r="V46" i="9"/>
  <c r="W46" i="9"/>
  <c r="X46" i="9" s="1"/>
  <c r="AD46" i="9" s="1"/>
  <c r="AB46" i="9"/>
  <c r="AC46" i="9" s="1"/>
  <c r="AE46" i="9"/>
  <c r="O47" i="9"/>
  <c r="P47" i="9"/>
  <c r="Q47" i="9" s="1"/>
  <c r="S47" i="9"/>
  <c r="T47" i="9"/>
  <c r="U47" i="9"/>
  <c r="V47" i="9"/>
  <c r="X47" i="9" s="1"/>
  <c r="AD47" i="9" s="1"/>
  <c r="W47" i="9"/>
  <c r="AB47" i="9"/>
  <c r="AC47" i="9"/>
  <c r="AE47" i="9"/>
  <c r="O48" i="9"/>
  <c r="Q48" i="9" s="1"/>
  <c r="P48" i="9"/>
  <c r="T48" i="9"/>
  <c r="U48" i="9"/>
  <c r="V48" i="9"/>
  <c r="X48" i="9" s="1"/>
  <c r="AD48" i="9" s="1"/>
  <c r="W48" i="9"/>
  <c r="Y48" i="9"/>
  <c r="AB48" i="9"/>
  <c r="AC48" i="9"/>
  <c r="AE48" i="9"/>
  <c r="AH48" i="9"/>
  <c r="O49" i="9"/>
  <c r="S49" i="9" s="1"/>
  <c r="P49" i="9"/>
  <c r="Q49" i="9"/>
  <c r="AG49" i="9" s="1"/>
  <c r="T49" i="9"/>
  <c r="U49" i="9"/>
  <c r="V49" i="9"/>
  <c r="W49" i="9"/>
  <c r="AB49" i="9"/>
  <c r="AC49" i="9" s="1"/>
  <c r="AE49" i="9"/>
  <c r="AH49" i="9"/>
  <c r="O50" i="9"/>
  <c r="S50" i="9" s="1"/>
  <c r="P50" i="9"/>
  <c r="T50" i="9"/>
  <c r="V50" i="9" s="1"/>
  <c r="U50" i="9"/>
  <c r="W50" i="9"/>
  <c r="X50" i="9"/>
  <c r="AD50" i="9" s="1"/>
  <c r="Y50" i="9"/>
  <c r="AB50" i="9"/>
  <c r="AC50" i="9" s="1"/>
  <c r="AE50" i="9"/>
  <c r="AH50" i="9"/>
  <c r="O51" i="9"/>
  <c r="S51" i="9" s="1"/>
  <c r="P51" i="9"/>
  <c r="T51" i="9"/>
  <c r="U51" i="9"/>
  <c r="W51" i="9" s="1"/>
  <c r="X51" i="9" s="1"/>
  <c r="AD51" i="9" s="1"/>
  <c r="V51" i="9"/>
  <c r="Y51" i="9"/>
  <c r="AB51" i="9"/>
  <c r="AC51" i="9"/>
  <c r="AE51" i="9"/>
  <c r="AH51" i="9"/>
  <c r="O52" i="9"/>
  <c r="S52" i="9" s="1"/>
  <c r="P52" i="9"/>
  <c r="T52" i="9"/>
  <c r="U52" i="9"/>
  <c r="W52" i="9" s="1"/>
  <c r="V52" i="9"/>
  <c r="X52" i="9" s="1"/>
  <c r="AD52" i="9" s="1"/>
  <c r="AB52" i="9"/>
  <c r="AC52" i="9"/>
  <c r="AE52" i="9"/>
  <c r="O53" i="9"/>
  <c r="S53" i="9" s="1"/>
  <c r="P53" i="9"/>
  <c r="Q53" i="9" s="1"/>
  <c r="R53" i="9" s="1"/>
  <c r="T53" i="9"/>
  <c r="V53" i="9" s="1"/>
  <c r="U53" i="9"/>
  <c r="W53" i="9" s="1"/>
  <c r="X53" i="9" s="1"/>
  <c r="AD53" i="9" s="1"/>
  <c r="AB53" i="9"/>
  <c r="AC53" i="9"/>
  <c r="AE53" i="9"/>
  <c r="O54" i="9"/>
  <c r="P54" i="9"/>
  <c r="Q54" i="9"/>
  <c r="S54" i="9"/>
  <c r="T54" i="9"/>
  <c r="U54" i="9"/>
  <c r="V54" i="9"/>
  <c r="AB54" i="9"/>
  <c r="AC54" i="9"/>
  <c r="AE54" i="9"/>
  <c r="AH54" i="9"/>
  <c r="O55" i="9"/>
  <c r="S55" i="9" s="1"/>
  <c r="P55" i="9"/>
  <c r="T55" i="9"/>
  <c r="U55" i="9"/>
  <c r="W55" i="9"/>
  <c r="AB55" i="9"/>
  <c r="AC55" i="9" s="1"/>
  <c r="AE55" i="9"/>
  <c r="O56" i="9"/>
  <c r="P56" i="9"/>
  <c r="T56" i="9"/>
  <c r="U56" i="9"/>
  <c r="W56" i="9" s="1"/>
  <c r="AB56" i="9"/>
  <c r="AC56" i="9" s="1"/>
  <c r="AE56" i="9"/>
  <c r="AH56" i="9"/>
  <c r="O57" i="9"/>
  <c r="P57" i="9"/>
  <c r="T57" i="9"/>
  <c r="U57" i="9"/>
  <c r="W57" i="9" s="1"/>
  <c r="V57" i="9"/>
  <c r="X57" i="9" s="1"/>
  <c r="AD57" i="9" s="1"/>
  <c r="AB57" i="9"/>
  <c r="AC57" i="9"/>
  <c r="AE57" i="9"/>
  <c r="AH57" i="9"/>
  <c r="O58" i="9"/>
  <c r="P58" i="9"/>
  <c r="Q58" i="9"/>
  <c r="AG58" i="9" s="1"/>
  <c r="R58" i="9"/>
  <c r="S58" i="9"/>
  <c r="T58" i="9"/>
  <c r="U58" i="9"/>
  <c r="V58" i="9"/>
  <c r="AB58" i="9"/>
  <c r="AC58" i="9" s="1"/>
  <c r="AE58" i="9"/>
  <c r="O59" i="9"/>
  <c r="S59" i="9" s="1"/>
  <c r="P59" i="9"/>
  <c r="Q59" i="9" s="1"/>
  <c r="AG59" i="9" s="1"/>
  <c r="R59" i="9"/>
  <c r="T59" i="9"/>
  <c r="U59" i="9"/>
  <c r="W59" i="9" s="1"/>
  <c r="AB59" i="9"/>
  <c r="AC59" i="9"/>
  <c r="AE59" i="9"/>
  <c r="O60" i="9"/>
  <c r="P60" i="9"/>
  <c r="Q60" i="9" s="1"/>
  <c r="R60" i="9" s="1"/>
  <c r="S60" i="9"/>
  <c r="T60" i="9"/>
  <c r="U60" i="9"/>
  <c r="V60" i="9"/>
  <c r="AB60" i="9"/>
  <c r="AC60" i="9"/>
  <c r="AE60" i="9"/>
  <c r="O61" i="9"/>
  <c r="S61" i="9" s="1"/>
  <c r="P61" i="9"/>
  <c r="T61" i="9"/>
  <c r="V61" i="9" s="1"/>
  <c r="U61" i="9"/>
  <c r="W61" i="9" s="1"/>
  <c r="AB61" i="9"/>
  <c r="AC61" i="9" s="1"/>
  <c r="AE61" i="9"/>
  <c r="O62" i="9"/>
  <c r="Q62" i="9" s="1"/>
  <c r="R62" i="9" s="1"/>
  <c r="P62" i="9"/>
  <c r="T62" i="9"/>
  <c r="V62" i="9" s="1"/>
  <c r="X62" i="9" s="1"/>
  <c r="U62" i="9"/>
  <c r="W62" i="9"/>
  <c r="AB62" i="9"/>
  <c r="AC62" i="9"/>
  <c r="AE62" i="9"/>
  <c r="O63" i="9"/>
  <c r="S63" i="9" s="1"/>
  <c r="P63" i="9"/>
  <c r="T63" i="9"/>
  <c r="U63" i="9"/>
  <c r="W63" i="9" s="1"/>
  <c r="V63" i="9"/>
  <c r="X63" i="9"/>
  <c r="AB63" i="9"/>
  <c r="AC63" i="9"/>
  <c r="AE63" i="9"/>
  <c r="O64" i="9"/>
  <c r="Q64" i="9" s="1"/>
  <c r="P64" i="9"/>
  <c r="T64" i="9"/>
  <c r="U64" i="9"/>
  <c r="V64" i="9"/>
  <c r="W64" i="9"/>
  <c r="X64" i="9" s="1"/>
  <c r="AB64" i="9"/>
  <c r="AC64" i="9"/>
  <c r="AE64" i="9"/>
  <c r="O65" i="9"/>
  <c r="P65" i="9"/>
  <c r="S65" i="9"/>
  <c r="T65" i="9"/>
  <c r="U65" i="9"/>
  <c r="V65" i="9"/>
  <c r="X65" i="9" s="1"/>
  <c r="W65" i="9"/>
  <c r="AB65" i="9"/>
  <c r="AC65" i="9"/>
  <c r="AE65" i="9"/>
  <c r="O66" i="9"/>
  <c r="P66" i="9"/>
  <c r="T66" i="9"/>
  <c r="U66" i="9"/>
  <c r="V66" i="9"/>
  <c r="AB66" i="9"/>
  <c r="AC66" i="9" s="1"/>
  <c r="AH66" i="9" s="1"/>
  <c r="AE66" i="9"/>
  <c r="O67" i="9"/>
  <c r="S67" i="9" s="1"/>
  <c r="P67" i="9"/>
  <c r="T67" i="9"/>
  <c r="U67" i="9"/>
  <c r="V67" i="9"/>
  <c r="W67" i="9"/>
  <c r="AB67" i="9"/>
  <c r="AC67" i="9" s="1"/>
  <c r="AE67" i="9"/>
  <c r="O68" i="9"/>
  <c r="S68" i="9" s="1"/>
  <c r="P68" i="9"/>
  <c r="T68" i="9"/>
  <c r="V68" i="9" s="1"/>
  <c r="X68" i="9" s="1"/>
  <c r="AD68" i="9" s="1"/>
  <c r="U68" i="9"/>
  <c r="Y68" i="9" s="1"/>
  <c r="W68" i="9"/>
  <c r="AB68" i="9"/>
  <c r="AC68" i="9" s="1"/>
  <c r="AE68" i="9"/>
  <c r="AH68" i="9"/>
  <c r="O69" i="9"/>
  <c r="S69" i="9" s="1"/>
  <c r="P69" i="9"/>
  <c r="Q69" i="9"/>
  <c r="T69" i="9"/>
  <c r="U69" i="9"/>
  <c r="W69" i="9" s="1"/>
  <c r="V69" i="9"/>
  <c r="X69" i="9"/>
  <c r="AD69" i="9" s="1"/>
  <c r="Y69" i="9"/>
  <c r="AB69" i="9"/>
  <c r="AC69" i="9"/>
  <c r="AE69" i="9"/>
  <c r="O70" i="9"/>
  <c r="S70" i="9" s="1"/>
  <c r="P70" i="9"/>
  <c r="T70" i="9"/>
  <c r="U70" i="9"/>
  <c r="V70" i="9"/>
  <c r="AB70" i="9"/>
  <c r="AC70" i="9" s="1"/>
  <c r="AH70" i="9" s="1"/>
  <c r="AE70" i="9"/>
  <c r="O71" i="9"/>
  <c r="P71" i="9"/>
  <c r="S71" i="9"/>
  <c r="T71" i="9"/>
  <c r="V71" i="9" s="1"/>
  <c r="U71" i="9"/>
  <c r="W71" i="9"/>
  <c r="X71" i="9" s="1"/>
  <c r="Y71" i="9" s="1"/>
  <c r="AB71" i="9"/>
  <c r="AC71" i="9" s="1"/>
  <c r="AE71" i="9"/>
  <c r="O72" i="9"/>
  <c r="P72" i="9"/>
  <c r="T72" i="9"/>
  <c r="U72" i="9"/>
  <c r="V72" i="9"/>
  <c r="X72" i="9" s="1"/>
  <c r="W72" i="9"/>
  <c r="AB72" i="9"/>
  <c r="AC72" i="9"/>
  <c r="AE72" i="9"/>
  <c r="O73" i="9"/>
  <c r="S73" i="9" s="1"/>
  <c r="P73" i="9"/>
  <c r="T73" i="9"/>
  <c r="U73" i="9"/>
  <c r="V73" i="9"/>
  <c r="W73" i="9"/>
  <c r="AB73" i="9"/>
  <c r="AC73" i="9" s="1"/>
  <c r="AE73" i="9"/>
  <c r="AH73" i="9"/>
  <c r="O74" i="9"/>
  <c r="P74" i="9"/>
  <c r="T74" i="9"/>
  <c r="U74" i="9"/>
  <c r="W74" i="9" s="1"/>
  <c r="AB74" i="9"/>
  <c r="AC74" i="9" s="1"/>
  <c r="AH74" i="9" s="1"/>
  <c r="AE74" i="9"/>
  <c r="O75" i="9"/>
  <c r="P75" i="9"/>
  <c r="T75" i="9"/>
  <c r="U75" i="9"/>
  <c r="W75" i="9" s="1"/>
  <c r="V75" i="9"/>
  <c r="X75" i="9" s="1"/>
  <c r="AD75" i="9" s="1"/>
  <c r="Y75" i="9"/>
  <c r="AB75" i="9"/>
  <c r="AC75" i="9"/>
  <c r="AE75" i="9"/>
  <c r="AH75" i="9"/>
  <c r="O76" i="9"/>
  <c r="Q76" i="9" s="1"/>
  <c r="P76" i="9"/>
  <c r="S76" i="9"/>
  <c r="T76" i="9"/>
  <c r="U76" i="9"/>
  <c r="W76" i="9" s="1"/>
  <c r="V76" i="9"/>
  <c r="X76" i="9" s="1"/>
  <c r="AB76" i="9"/>
  <c r="AC76" i="9"/>
  <c r="AE76" i="9"/>
  <c r="AH76" i="9"/>
  <c r="O77" i="9"/>
  <c r="S77" i="9" s="1"/>
  <c r="P77" i="9"/>
  <c r="T77" i="9"/>
  <c r="U77" i="9"/>
  <c r="W77" i="9"/>
  <c r="AB77" i="9"/>
  <c r="AC77" i="9"/>
  <c r="AE77" i="9"/>
  <c r="AH77" i="9"/>
  <c r="O78" i="9"/>
  <c r="S78" i="9" s="1"/>
  <c r="P78" i="9"/>
  <c r="T78" i="9"/>
  <c r="U78" i="9"/>
  <c r="V78" i="9"/>
  <c r="W78" i="9"/>
  <c r="AB78" i="9"/>
  <c r="AC78" i="9" s="1"/>
  <c r="AE78" i="9"/>
  <c r="AH78" i="9"/>
  <c r="O79" i="9"/>
  <c r="S79" i="9" s="1"/>
  <c r="P79" i="9"/>
  <c r="T79" i="9"/>
  <c r="V79" i="9" s="1"/>
  <c r="U79" i="9"/>
  <c r="W79" i="9"/>
  <c r="AB79" i="9"/>
  <c r="AC79" i="9" s="1"/>
  <c r="AE79" i="9"/>
  <c r="AH79" i="9"/>
  <c r="O80" i="9"/>
  <c r="P80" i="9"/>
  <c r="T80" i="9"/>
  <c r="U80" i="9"/>
  <c r="W80" i="9" s="1"/>
  <c r="AB80" i="9"/>
  <c r="AC80" i="9"/>
  <c r="AE80" i="9"/>
  <c r="AH80" i="9"/>
  <c r="O81" i="9"/>
  <c r="S81" i="9" s="1"/>
  <c r="P81" i="9"/>
  <c r="T81" i="9"/>
  <c r="U81" i="9"/>
  <c r="V81" i="9"/>
  <c r="AB81" i="9"/>
  <c r="AC81" i="9"/>
  <c r="AE81" i="9"/>
  <c r="AH81" i="9"/>
  <c r="O82" i="9"/>
  <c r="Q82" i="9" s="1"/>
  <c r="P82" i="9"/>
  <c r="T82" i="9"/>
  <c r="U82" i="9"/>
  <c r="V82" i="9"/>
  <c r="AB82" i="9"/>
  <c r="AC82" i="9"/>
  <c r="AE82" i="9"/>
  <c r="O83" i="9"/>
  <c r="P83" i="9"/>
  <c r="Q83" i="9" s="1"/>
  <c r="AG83" i="9" s="1"/>
  <c r="R83" i="9"/>
  <c r="S83" i="9"/>
  <c r="T83" i="9"/>
  <c r="U83" i="9"/>
  <c r="W83" i="9" s="1"/>
  <c r="AB83" i="9"/>
  <c r="AC83" i="9"/>
  <c r="AE83" i="9"/>
  <c r="O84" i="9"/>
  <c r="S84" i="9" s="1"/>
  <c r="P84" i="9"/>
  <c r="T84" i="9"/>
  <c r="U84" i="9"/>
  <c r="W84" i="9" s="1"/>
  <c r="AB84" i="9"/>
  <c r="AC84" i="9"/>
  <c r="AE84" i="9"/>
  <c r="O85" i="9"/>
  <c r="P85" i="9"/>
  <c r="Q85" i="9"/>
  <c r="AG85" i="9" s="1"/>
  <c r="R85" i="9"/>
  <c r="S85" i="9"/>
  <c r="T85" i="9"/>
  <c r="U85" i="9"/>
  <c r="W85" i="9" s="1"/>
  <c r="AB85" i="9"/>
  <c r="AC85" i="9" s="1"/>
  <c r="AH85" i="9" s="1"/>
  <c r="AE85" i="9"/>
  <c r="O86" i="9"/>
  <c r="S86" i="9" s="1"/>
  <c r="P86" i="9"/>
  <c r="Q86" i="9" s="1"/>
  <c r="T86" i="9"/>
  <c r="U86" i="9"/>
  <c r="W86" i="9"/>
  <c r="AB86" i="9"/>
  <c r="AC86" i="9" s="1"/>
  <c r="AE86" i="9"/>
  <c r="O87" i="9"/>
  <c r="Q87" i="9" s="1"/>
  <c r="P87" i="9"/>
  <c r="T87" i="9"/>
  <c r="U87" i="9"/>
  <c r="W87" i="9" s="1"/>
  <c r="V87" i="9"/>
  <c r="X87" i="9" s="1"/>
  <c r="AD87" i="9" s="1"/>
  <c r="Y87" i="9"/>
  <c r="AB87" i="9"/>
  <c r="AC87" i="9" s="1"/>
  <c r="AE87" i="9"/>
  <c r="AH87" i="9"/>
  <c r="O88" i="9"/>
  <c r="S88" i="9" s="1"/>
  <c r="P88" i="9"/>
  <c r="T88" i="9"/>
  <c r="U88" i="9"/>
  <c r="V88" i="9"/>
  <c r="X88" i="9" s="1"/>
  <c r="W88" i="9"/>
  <c r="AB88" i="9"/>
  <c r="AC88" i="9" s="1"/>
  <c r="AE88" i="9"/>
  <c r="AH88" i="9"/>
  <c r="O89" i="9"/>
  <c r="P89" i="9"/>
  <c r="Q89" i="9" s="1"/>
  <c r="AG89" i="9" s="1"/>
  <c r="R89" i="9"/>
  <c r="S89" i="9"/>
  <c r="T89" i="9"/>
  <c r="V89" i="9" s="1"/>
  <c r="U89" i="9"/>
  <c r="AB89" i="9"/>
  <c r="AC89" i="9"/>
  <c r="AE89" i="9"/>
  <c r="O90" i="9"/>
  <c r="S90" i="9" s="1"/>
  <c r="P90" i="9"/>
  <c r="Q90" i="9"/>
  <c r="T90" i="9"/>
  <c r="U90" i="9"/>
  <c r="V90" i="9"/>
  <c r="AB90" i="9"/>
  <c r="AC90" i="9"/>
  <c r="AE90" i="9"/>
  <c r="AH90" i="9"/>
  <c r="O91" i="9"/>
  <c r="P91" i="9"/>
  <c r="Q91" i="9" s="1"/>
  <c r="S91" i="9"/>
  <c r="T91" i="9"/>
  <c r="U91" i="9"/>
  <c r="V91" i="9"/>
  <c r="W91" i="9"/>
  <c r="AB91" i="9"/>
  <c r="AC91" i="9" s="1"/>
  <c r="AE91" i="9"/>
  <c r="O92" i="9"/>
  <c r="Q92" i="9" s="1"/>
  <c r="R92" i="9" s="1"/>
  <c r="P92" i="9"/>
  <c r="S92" i="9"/>
  <c r="T92" i="9"/>
  <c r="U92" i="9"/>
  <c r="W92" i="9" s="1"/>
  <c r="AB92" i="9"/>
  <c r="AC92" i="9" s="1"/>
  <c r="AE92" i="9"/>
  <c r="AH92" i="9"/>
  <c r="O93" i="9"/>
  <c r="P93" i="9"/>
  <c r="Q93" i="9"/>
  <c r="R93" i="9" s="1"/>
  <c r="S93" i="9"/>
  <c r="T93" i="9"/>
  <c r="V93" i="9" s="1"/>
  <c r="X93" i="9" s="1"/>
  <c r="AD93" i="9" s="1"/>
  <c r="U93" i="9"/>
  <c r="W93" i="9"/>
  <c r="Y93" i="9"/>
  <c r="AB93" i="9"/>
  <c r="AC93" i="9"/>
  <c r="AE93" i="9"/>
  <c r="O94" i="9"/>
  <c r="S94" i="9" s="1"/>
  <c r="P94" i="9"/>
  <c r="T94" i="9"/>
  <c r="U94" i="9"/>
  <c r="W94" i="9" s="1"/>
  <c r="AB94" i="9"/>
  <c r="AC94" i="9" s="1"/>
  <c r="AH94" i="9" s="1"/>
  <c r="AE94" i="9"/>
  <c r="O95" i="9"/>
  <c r="Q95" i="9" s="1"/>
  <c r="R95" i="9" s="1"/>
  <c r="P95" i="9"/>
  <c r="S95" i="9"/>
  <c r="T95" i="9"/>
  <c r="U95" i="9"/>
  <c r="W95" i="9" s="1"/>
  <c r="V95" i="9"/>
  <c r="X95" i="9" s="1"/>
  <c r="AB95" i="9"/>
  <c r="AC95" i="9" s="1"/>
  <c r="AE95" i="9"/>
  <c r="O96" i="9"/>
  <c r="S96" i="9" s="1"/>
  <c r="P96" i="9"/>
  <c r="Q96" i="9" s="1"/>
  <c r="R96" i="9" s="1"/>
  <c r="T96" i="9"/>
  <c r="U96" i="9"/>
  <c r="W96" i="9" s="1"/>
  <c r="AB96" i="9"/>
  <c r="AC96" i="9" s="1"/>
  <c r="AE96" i="9"/>
  <c r="O97" i="9"/>
  <c r="S97" i="9" s="1"/>
  <c r="P97" i="9"/>
  <c r="T97" i="9"/>
  <c r="U97" i="9"/>
  <c r="W97" i="9" s="1"/>
  <c r="V97" i="9"/>
  <c r="X97" i="9"/>
  <c r="Y97" i="9"/>
  <c r="AB97" i="9"/>
  <c r="AC97" i="9" s="1"/>
  <c r="AD97" i="9"/>
  <c r="AE97" i="9"/>
  <c r="O98" i="9"/>
  <c r="P98" i="9"/>
  <c r="Q98" i="9" s="1"/>
  <c r="R98" i="9" s="1"/>
  <c r="S98" i="9"/>
  <c r="T98" i="9"/>
  <c r="V98" i="9" s="1"/>
  <c r="U98" i="9"/>
  <c r="W98" i="9" s="1"/>
  <c r="AB98" i="9"/>
  <c r="AC98" i="9" s="1"/>
  <c r="AE98" i="9"/>
  <c r="AG98" i="9"/>
  <c r="O99" i="9"/>
  <c r="S99" i="9" s="1"/>
  <c r="P99" i="9"/>
  <c r="Q99" i="9"/>
  <c r="T99" i="9"/>
  <c r="U99" i="9"/>
  <c r="W99" i="9" s="1"/>
  <c r="AB99" i="9"/>
  <c r="AC99" i="9" s="1"/>
  <c r="AE99" i="9"/>
  <c r="AH99" i="9"/>
  <c r="O100" i="9"/>
  <c r="Q100" i="9" s="1"/>
  <c r="P100" i="9"/>
  <c r="T100" i="9"/>
  <c r="V100" i="9" s="1"/>
  <c r="U100" i="9"/>
  <c r="AB100" i="9"/>
  <c r="AC100" i="9" s="1"/>
  <c r="AE100" i="9"/>
  <c r="AH100" i="9"/>
  <c r="O101" i="9"/>
  <c r="S101" i="9" s="1"/>
  <c r="P101" i="9"/>
  <c r="Q101" i="9" s="1"/>
  <c r="T101" i="9"/>
  <c r="U101" i="9"/>
  <c r="V101" i="9"/>
  <c r="W101" i="9"/>
  <c r="X101" i="9"/>
  <c r="AB101" i="9"/>
  <c r="AC101" i="9" s="1"/>
  <c r="AE101" i="9"/>
  <c r="AH101" i="9"/>
  <c r="O102" i="9"/>
  <c r="S102" i="9" s="1"/>
  <c r="P102" i="9"/>
  <c r="T102" i="9"/>
  <c r="U102" i="9"/>
  <c r="W102" i="9" s="1"/>
  <c r="AB102" i="9"/>
  <c r="AC102" i="9"/>
  <c r="AE102" i="9"/>
  <c r="AH102" i="9"/>
  <c r="O103" i="9"/>
  <c r="P103" i="9"/>
  <c r="T103" i="9"/>
  <c r="U103" i="9"/>
  <c r="V103" i="9"/>
  <c r="AB103" i="9"/>
  <c r="AC103" i="9"/>
  <c r="AE103" i="9"/>
  <c r="O104" i="9"/>
  <c r="P104" i="9"/>
  <c r="Q104" i="9" s="1"/>
  <c r="S104" i="9"/>
  <c r="T104" i="9"/>
  <c r="U104" i="9"/>
  <c r="W104" i="9" s="1"/>
  <c r="V104" i="9"/>
  <c r="X104" i="9"/>
  <c r="AB104" i="9"/>
  <c r="AC104" i="9" s="1"/>
  <c r="AD104" i="9"/>
  <c r="AE104" i="9"/>
  <c r="O105" i="9"/>
  <c r="P105" i="9"/>
  <c r="Q105" i="9"/>
  <c r="S105" i="9"/>
  <c r="T105" i="9"/>
  <c r="U105" i="9"/>
  <c r="V105" i="9"/>
  <c r="W105" i="9"/>
  <c r="AB105" i="9"/>
  <c r="AC105" i="9"/>
  <c r="AE105" i="9"/>
  <c r="O106" i="9"/>
  <c r="Q106" i="9" s="1"/>
  <c r="P106" i="9"/>
  <c r="T106" i="9"/>
  <c r="U106" i="9"/>
  <c r="V106" i="9"/>
  <c r="AB106" i="9"/>
  <c r="AC106" i="9" s="1"/>
  <c r="AE106" i="9"/>
  <c r="AH106" i="9"/>
  <c r="O107" i="9"/>
  <c r="S107" i="9" s="1"/>
  <c r="P107" i="9"/>
  <c r="Q107" i="9"/>
  <c r="R107" i="9" s="1"/>
  <c r="T107" i="9"/>
  <c r="U107" i="9"/>
  <c r="V107" i="9"/>
  <c r="AB107" i="9"/>
  <c r="AC107" i="9"/>
  <c r="AE107" i="9"/>
  <c r="O108" i="9"/>
  <c r="S108" i="9" s="1"/>
  <c r="P108" i="9"/>
  <c r="T108" i="9"/>
  <c r="U108" i="9"/>
  <c r="W108" i="9" s="1"/>
  <c r="AB108" i="9"/>
  <c r="AC108" i="9"/>
  <c r="AE108" i="9"/>
  <c r="AH108" i="9"/>
  <c r="O109" i="9"/>
  <c r="Q109" i="9" s="1"/>
  <c r="P109" i="9"/>
  <c r="T109" i="9"/>
  <c r="U109" i="9"/>
  <c r="V109" i="9"/>
  <c r="X109" i="9" s="1"/>
  <c r="W109" i="9"/>
  <c r="AB109" i="9"/>
  <c r="AC109" i="9"/>
  <c r="AE109" i="9"/>
  <c r="AH109" i="9"/>
  <c r="O110" i="9"/>
  <c r="S110" i="9" s="1"/>
  <c r="P110" i="9"/>
  <c r="T110" i="9"/>
  <c r="U110" i="9"/>
  <c r="V110" i="9"/>
  <c r="X110" i="9" s="1"/>
  <c r="W110" i="9"/>
  <c r="Y110" i="9"/>
  <c r="AB110" i="9"/>
  <c r="AC110" i="9" s="1"/>
  <c r="AD110" i="9"/>
  <c r="AE110" i="9"/>
  <c r="O111" i="9"/>
  <c r="S111" i="9" s="1"/>
  <c r="P111" i="9"/>
  <c r="T111" i="9"/>
  <c r="U111" i="9"/>
  <c r="W111" i="9" s="1"/>
  <c r="AB111" i="9"/>
  <c r="AC111" i="9"/>
  <c r="AH111" i="9" s="1"/>
  <c r="AE111" i="9"/>
  <c r="O112" i="9"/>
  <c r="Q112" i="9" s="1"/>
  <c r="P112" i="9"/>
  <c r="T112" i="9"/>
  <c r="U112" i="9"/>
  <c r="W112" i="9" s="1"/>
  <c r="AB112" i="9"/>
  <c r="AC112" i="9"/>
  <c r="AE112" i="9"/>
  <c r="O113" i="9"/>
  <c r="S113" i="9" s="1"/>
  <c r="P113" i="9"/>
  <c r="T113" i="9"/>
  <c r="U113" i="9"/>
  <c r="V113" i="9"/>
  <c r="AB113" i="9"/>
  <c r="AC113" i="9" s="1"/>
  <c r="AE113" i="9"/>
  <c r="O114" i="9"/>
  <c r="S114" i="9" s="1"/>
  <c r="P114" i="9"/>
  <c r="T114" i="9"/>
  <c r="U114" i="9"/>
  <c r="W114" i="9" s="1"/>
  <c r="V114" i="9"/>
  <c r="X114" i="9" s="1"/>
  <c r="Y114" i="9"/>
  <c r="AB114" i="9"/>
  <c r="AC114" i="9" s="1"/>
  <c r="AD114" i="9"/>
  <c r="AE114" i="9"/>
  <c r="AH114" i="9"/>
  <c r="O115" i="9"/>
  <c r="P115" i="9"/>
  <c r="T115" i="9"/>
  <c r="V115" i="9" s="1"/>
  <c r="U115" i="9"/>
  <c r="W115" i="9"/>
  <c r="X115" i="9"/>
  <c r="AD115" i="9" s="1"/>
  <c r="Y115" i="9"/>
  <c r="AB115" i="9"/>
  <c r="AC115" i="9" s="1"/>
  <c r="AE115" i="9"/>
  <c r="O116" i="9"/>
  <c r="P116" i="9"/>
  <c r="S116" i="9"/>
  <c r="T116" i="9"/>
  <c r="U116" i="9"/>
  <c r="W116" i="9" s="1"/>
  <c r="AB116" i="9"/>
  <c r="AC116" i="9"/>
  <c r="AE116" i="9"/>
  <c r="AH116" i="9"/>
  <c r="O117" i="9"/>
  <c r="S117" i="9" s="1"/>
  <c r="P117" i="9"/>
  <c r="Q117" i="9" s="1"/>
  <c r="AG117" i="9" s="1"/>
  <c r="T117" i="9"/>
  <c r="U117" i="9"/>
  <c r="V117" i="9"/>
  <c r="AB117" i="9"/>
  <c r="AC117" i="9"/>
  <c r="AE117" i="9"/>
  <c r="AH117" i="9"/>
  <c r="O118" i="9"/>
  <c r="S118" i="9" s="1"/>
  <c r="P118" i="9"/>
  <c r="T118" i="9"/>
  <c r="V118" i="9" s="1"/>
  <c r="U118" i="9"/>
  <c r="W118" i="9" s="1"/>
  <c r="AB118" i="9"/>
  <c r="AC118" i="9"/>
  <c r="AH118" i="9" s="1"/>
  <c r="AE118" i="9"/>
  <c r="O119" i="9"/>
  <c r="S119" i="9" s="1"/>
  <c r="P119" i="9"/>
  <c r="T119" i="9"/>
  <c r="U119" i="9"/>
  <c r="W119" i="9" s="1"/>
  <c r="V119" i="9"/>
  <c r="X119" i="9" s="1"/>
  <c r="AB119" i="9"/>
  <c r="AC119" i="9"/>
  <c r="AE119" i="9"/>
  <c r="O120" i="9"/>
  <c r="S120" i="9" s="1"/>
  <c r="P120" i="9"/>
  <c r="Q120" i="9"/>
  <c r="T120" i="9"/>
  <c r="U120" i="9"/>
  <c r="W120" i="9" s="1"/>
  <c r="V120" i="9"/>
  <c r="X120" i="9" s="1"/>
  <c r="AD120" i="9" s="1"/>
  <c r="AB120" i="9"/>
  <c r="AC120" i="9" s="1"/>
  <c r="AH120" i="9" s="1"/>
  <c r="AE120" i="9"/>
  <c r="O121" i="9"/>
  <c r="S121" i="9" s="1"/>
  <c r="P121" i="9"/>
  <c r="Q121" i="9"/>
  <c r="AG121" i="9" s="1"/>
  <c r="T121" i="9"/>
  <c r="U121" i="9"/>
  <c r="W121" i="9" s="1"/>
  <c r="AB121" i="9"/>
  <c r="AC121" i="9" s="1"/>
  <c r="AE121" i="9"/>
  <c r="AH121" i="9"/>
  <c r="O122" i="9"/>
  <c r="S122" i="9" s="1"/>
  <c r="P122" i="9"/>
  <c r="T122" i="9"/>
  <c r="U122" i="9"/>
  <c r="V122" i="9"/>
  <c r="AB122" i="9"/>
  <c r="AC122" i="9" s="1"/>
  <c r="AE122" i="9"/>
  <c r="O123" i="9"/>
  <c r="Q123" i="9" s="1"/>
  <c r="P123" i="9"/>
  <c r="T123" i="9"/>
  <c r="U123" i="9"/>
  <c r="V123" i="9"/>
  <c r="W123" i="9"/>
  <c r="AB123" i="9"/>
  <c r="AC123" i="9"/>
  <c r="AH123" i="9" s="1"/>
  <c r="AE123" i="9"/>
  <c r="O124" i="9"/>
  <c r="S124" i="9" s="1"/>
  <c r="P124" i="9"/>
  <c r="T124" i="9"/>
  <c r="U124" i="9"/>
  <c r="W124" i="9" s="1"/>
  <c r="AB124" i="9"/>
  <c r="AC124" i="9"/>
  <c r="AE124" i="9"/>
  <c r="O125" i="9"/>
  <c r="S125" i="9" s="1"/>
  <c r="P125" i="9"/>
  <c r="T125" i="9"/>
  <c r="U125" i="9"/>
  <c r="W125" i="9" s="1"/>
  <c r="AB125" i="9"/>
  <c r="AC125" i="9"/>
  <c r="AE125" i="9"/>
  <c r="O126" i="9"/>
  <c r="Q126" i="9" s="1"/>
  <c r="R126" i="9" s="1"/>
  <c r="P126" i="9"/>
  <c r="T126" i="9"/>
  <c r="U126" i="9"/>
  <c r="W126" i="9" s="1"/>
  <c r="AB126" i="9"/>
  <c r="AC126" i="9" s="1"/>
  <c r="AE126" i="9"/>
  <c r="AH126" i="9"/>
  <c r="O127" i="9"/>
  <c r="Q127" i="9" s="1"/>
  <c r="P127" i="9"/>
  <c r="T127" i="9"/>
  <c r="V127" i="9" s="1"/>
  <c r="X127" i="9" s="1"/>
  <c r="AD127" i="9" s="1"/>
  <c r="U127" i="9"/>
  <c r="W127" i="9" s="1"/>
  <c r="Y127" i="9"/>
  <c r="AB127" i="9"/>
  <c r="AC127" i="9"/>
  <c r="AE127" i="9"/>
  <c r="AH127" i="9"/>
  <c r="O128" i="9"/>
  <c r="S128" i="9" s="1"/>
  <c r="P128" i="9"/>
  <c r="T128" i="9"/>
  <c r="U128" i="9"/>
  <c r="W128" i="9" s="1"/>
  <c r="X128" i="9" s="1"/>
  <c r="AD128" i="9" s="1"/>
  <c r="V128" i="9"/>
  <c r="Y128" i="9"/>
  <c r="AB128" i="9"/>
  <c r="AC128" i="9" s="1"/>
  <c r="AE128" i="9"/>
  <c r="O129" i="9"/>
  <c r="S129" i="9" s="1"/>
  <c r="P129" i="9"/>
  <c r="T129" i="9"/>
  <c r="U129" i="9"/>
  <c r="V129" i="9"/>
  <c r="W129" i="9"/>
  <c r="X129" i="9"/>
  <c r="AD129" i="9" s="1"/>
  <c r="Y129" i="9"/>
  <c r="AB129" i="9"/>
  <c r="AC129" i="9"/>
  <c r="AH129" i="9" s="1"/>
  <c r="AE129" i="9"/>
  <c r="O130" i="9"/>
  <c r="P130" i="9"/>
  <c r="Q130" i="9" s="1"/>
  <c r="AG130" i="9" s="1"/>
  <c r="R130" i="9"/>
  <c r="Z130" i="9" s="1"/>
  <c r="AA130" i="9" s="1"/>
  <c r="S130" i="9"/>
  <c r="T130" i="9"/>
  <c r="U130" i="9"/>
  <c r="V130" i="9"/>
  <c r="X130" i="9" s="1"/>
  <c r="Y130" i="9" s="1"/>
  <c r="W130" i="9"/>
  <c r="AB130" i="9"/>
  <c r="AC130" i="9"/>
  <c r="AD130" i="9"/>
  <c r="AE130" i="9"/>
  <c r="O131" i="9"/>
  <c r="S131" i="9" s="1"/>
  <c r="P131" i="9"/>
  <c r="T131" i="9"/>
  <c r="U131" i="9"/>
  <c r="V131" i="9"/>
  <c r="X131" i="9" s="1"/>
  <c r="W131" i="9"/>
  <c r="AB131" i="9"/>
  <c r="AC131" i="9"/>
  <c r="AE131" i="9"/>
  <c r="AH131" i="9"/>
  <c r="O132" i="9"/>
  <c r="S132" i="9" s="1"/>
  <c r="P132" i="9"/>
  <c r="T132" i="9"/>
  <c r="U132" i="9"/>
  <c r="W132" i="9" s="1"/>
  <c r="V132" i="9"/>
  <c r="X132" i="9" s="1"/>
  <c r="AD132" i="9" s="1"/>
  <c r="AB132" i="9"/>
  <c r="AC132" i="9" s="1"/>
  <c r="AE132" i="9"/>
  <c r="AH132" i="9"/>
  <c r="O133" i="9"/>
  <c r="S133" i="9" s="1"/>
  <c r="P133" i="9"/>
  <c r="T133" i="9"/>
  <c r="U133" i="9"/>
  <c r="V133" i="9"/>
  <c r="W133" i="9"/>
  <c r="AB133" i="9"/>
  <c r="AC133" i="9" s="1"/>
  <c r="AE133" i="9"/>
  <c r="O134" i="9"/>
  <c r="S134" i="9" s="1"/>
  <c r="P134" i="9"/>
  <c r="Q134" i="9" s="1"/>
  <c r="R134" i="9" s="1"/>
  <c r="T134" i="9"/>
  <c r="U134" i="9"/>
  <c r="W134" i="9" s="1"/>
  <c r="V134" i="9"/>
  <c r="X134" i="9" s="1"/>
  <c r="AD134" i="9" s="1"/>
  <c r="Y134" i="9"/>
  <c r="AB134" i="9"/>
  <c r="AC134" i="9"/>
  <c r="AE134" i="9"/>
  <c r="AH134" i="9"/>
  <c r="O135" i="9"/>
  <c r="P135" i="9"/>
  <c r="Q135" i="9"/>
  <c r="S135" i="9"/>
  <c r="T135" i="9"/>
  <c r="U135" i="9"/>
  <c r="V135" i="9"/>
  <c r="AB135" i="9"/>
  <c r="AC135" i="9"/>
  <c r="AE135" i="9"/>
  <c r="O136" i="9"/>
  <c r="S136" i="9" s="1"/>
  <c r="P136" i="9"/>
  <c r="Q136" i="9" s="1"/>
  <c r="T136" i="9"/>
  <c r="U136" i="9"/>
  <c r="V136" i="9"/>
  <c r="W136" i="9"/>
  <c r="AB136" i="9"/>
  <c r="AC136" i="9"/>
  <c r="AE136" i="9"/>
  <c r="AH136" i="9"/>
  <c r="O137" i="9"/>
  <c r="P137" i="9"/>
  <c r="Q137" i="9" s="1"/>
  <c r="AG137" i="9" s="1"/>
  <c r="R137" i="9"/>
  <c r="S137" i="9"/>
  <c r="T137" i="9"/>
  <c r="U137" i="9"/>
  <c r="V137" i="9"/>
  <c r="AB137" i="9"/>
  <c r="AC137" i="9"/>
  <c r="AE137" i="9"/>
  <c r="AH137" i="9"/>
  <c r="O138" i="9"/>
  <c r="P138" i="9"/>
  <c r="T138" i="9"/>
  <c r="U138" i="9"/>
  <c r="W138" i="9"/>
  <c r="AB138" i="9"/>
  <c r="AC138" i="9" s="1"/>
  <c r="AE138" i="9"/>
  <c r="AH138" i="9"/>
  <c r="O139" i="9"/>
  <c r="P139" i="9"/>
  <c r="S139" i="9"/>
  <c r="T139" i="9"/>
  <c r="V139" i="9" s="1"/>
  <c r="X139" i="9" s="1"/>
  <c r="AD139" i="9" s="1"/>
  <c r="U139" i="9"/>
  <c r="W139" i="9" s="1"/>
  <c r="AB139" i="9"/>
  <c r="AC139" i="9"/>
  <c r="AE139" i="9"/>
  <c r="AH139" i="9"/>
  <c r="O140" i="9"/>
  <c r="P140" i="9"/>
  <c r="Q140" i="9" s="1"/>
  <c r="S140" i="9"/>
  <c r="T140" i="9"/>
  <c r="U140" i="9"/>
  <c r="W140" i="9" s="1"/>
  <c r="AB140" i="9"/>
  <c r="AC140" i="9" s="1"/>
  <c r="AE140" i="9"/>
  <c r="AH140" i="9"/>
  <c r="O141" i="9"/>
  <c r="P141" i="9"/>
  <c r="Q141" i="9" s="1"/>
  <c r="R141" i="9" s="1"/>
  <c r="S141" i="9"/>
  <c r="T141" i="9"/>
  <c r="U141" i="9"/>
  <c r="W141" i="9" s="1"/>
  <c r="V141" i="9"/>
  <c r="X141" i="9"/>
  <c r="AD141" i="9" s="1"/>
  <c r="Y141" i="9"/>
  <c r="AB141" i="9"/>
  <c r="AC141" i="9"/>
  <c r="AH141" i="9" s="1"/>
  <c r="AE141" i="9"/>
  <c r="O142" i="9"/>
  <c r="S142" i="9" s="1"/>
  <c r="P142" i="9"/>
  <c r="Q142" i="9" s="1"/>
  <c r="R142" i="9" s="1"/>
  <c r="T142" i="9"/>
  <c r="U142" i="9"/>
  <c r="V142" i="9"/>
  <c r="W142" i="9"/>
  <c r="AB142" i="9"/>
  <c r="AC142" i="9"/>
  <c r="AE142" i="9"/>
  <c r="O143" i="9"/>
  <c r="S143" i="9" s="1"/>
  <c r="P143" i="9"/>
  <c r="Q143" i="9" s="1"/>
  <c r="R143" i="9" s="1"/>
  <c r="T143" i="9"/>
  <c r="U143" i="9"/>
  <c r="W143" i="9"/>
  <c r="AB143" i="9"/>
  <c r="AC143" i="9"/>
  <c r="AE143" i="9"/>
  <c r="O144" i="9"/>
  <c r="Q144" i="9" s="1"/>
  <c r="R144" i="9" s="1"/>
  <c r="P144" i="9"/>
  <c r="T144" i="9"/>
  <c r="U144" i="9"/>
  <c r="W144" i="9" s="1"/>
  <c r="V144" i="9"/>
  <c r="AB144" i="9"/>
  <c r="AC144" i="9" s="1"/>
  <c r="AE144" i="9"/>
  <c r="AH144" i="9"/>
  <c r="O145" i="9"/>
  <c r="Q145" i="9" s="1"/>
  <c r="P145" i="9"/>
  <c r="T145" i="9"/>
  <c r="V145" i="9" s="1"/>
  <c r="U145" i="9"/>
  <c r="W145" i="9" s="1"/>
  <c r="AB145" i="9"/>
  <c r="AC145" i="9" s="1"/>
  <c r="AE145" i="9"/>
  <c r="O146" i="9"/>
  <c r="S146" i="9" s="1"/>
  <c r="P146" i="9"/>
  <c r="T146" i="9"/>
  <c r="U146" i="9"/>
  <c r="W146" i="9" s="1"/>
  <c r="AB146" i="9"/>
  <c r="AC146" i="9"/>
  <c r="AE146" i="9"/>
  <c r="O147" i="9"/>
  <c r="P147" i="9"/>
  <c r="Q147" i="9"/>
  <c r="S147" i="9"/>
  <c r="T147" i="9"/>
  <c r="U147" i="9"/>
  <c r="V147" i="9"/>
  <c r="W147" i="9"/>
  <c r="X147" i="9"/>
  <c r="AB147" i="9"/>
  <c r="AC147" i="9"/>
  <c r="AE147" i="9"/>
  <c r="AH147" i="9"/>
  <c r="O148" i="9"/>
  <c r="S148" i="9" s="1"/>
  <c r="P148" i="9"/>
  <c r="T148" i="9"/>
  <c r="U148" i="9"/>
  <c r="V148" i="9"/>
  <c r="W148" i="9"/>
  <c r="X148" i="9"/>
  <c r="Y148" i="9" s="1"/>
  <c r="AB148" i="9"/>
  <c r="AC148" i="9"/>
  <c r="AD148" i="9"/>
  <c r="AE148" i="9"/>
  <c r="O149" i="9"/>
  <c r="P149" i="9"/>
  <c r="T149" i="9"/>
  <c r="U149" i="9"/>
  <c r="V149" i="9"/>
  <c r="W149" i="9"/>
  <c r="AB149" i="9"/>
  <c r="AC149" i="9" s="1"/>
  <c r="AE149" i="9"/>
  <c r="O150" i="9"/>
  <c r="S150" i="9" s="1"/>
  <c r="P150" i="9"/>
  <c r="Q150" i="9" s="1"/>
  <c r="T150" i="9"/>
  <c r="V150" i="9" s="1"/>
  <c r="U150" i="9"/>
  <c r="W150" i="9" s="1"/>
  <c r="X150" i="9"/>
  <c r="Y150" i="9" s="1"/>
  <c r="AB150" i="9"/>
  <c r="AC150" i="9" s="1"/>
  <c r="AE150" i="9"/>
  <c r="AH150" i="9"/>
  <c r="O151" i="9"/>
  <c r="S151" i="9" s="1"/>
  <c r="P151" i="9"/>
  <c r="T151" i="9"/>
  <c r="U151" i="9"/>
  <c r="V151" i="9"/>
  <c r="W151" i="9"/>
  <c r="X151" i="9"/>
  <c r="AD151" i="9" s="1"/>
  <c r="Y151" i="9"/>
  <c r="AB151" i="9"/>
  <c r="AC151" i="9" s="1"/>
  <c r="AE151" i="9"/>
  <c r="O152" i="9"/>
  <c r="S152" i="9" s="1"/>
  <c r="P152" i="9"/>
  <c r="Q152" i="9" s="1"/>
  <c r="R152" i="9" s="1"/>
  <c r="Z152" i="9" s="1"/>
  <c r="AA152" i="9" s="1"/>
  <c r="T152" i="9"/>
  <c r="U152" i="9"/>
  <c r="W152" i="9" s="1"/>
  <c r="V152" i="9"/>
  <c r="X152" i="9"/>
  <c r="AD152" i="9" s="1"/>
  <c r="Y152" i="9"/>
  <c r="AB152" i="9"/>
  <c r="AC152" i="9"/>
  <c r="AE152" i="9"/>
  <c r="AF152" i="9"/>
  <c r="O153" i="9"/>
  <c r="P153" i="9"/>
  <c r="T153" i="9"/>
  <c r="U153" i="9"/>
  <c r="V153" i="9"/>
  <c r="W153" i="9"/>
  <c r="X153" i="9"/>
  <c r="AB153" i="9"/>
  <c r="AC153" i="9"/>
  <c r="AE153" i="9"/>
  <c r="O154" i="9"/>
  <c r="S154" i="9" s="1"/>
  <c r="P154" i="9"/>
  <c r="T154" i="9"/>
  <c r="U154" i="9"/>
  <c r="V154" i="9"/>
  <c r="X154" i="9" s="1"/>
  <c r="W154" i="9"/>
  <c r="Y154" i="9"/>
  <c r="AB154" i="9"/>
  <c r="AC154" i="9" s="1"/>
  <c r="AD154" i="9"/>
  <c r="AE154" i="9"/>
  <c r="O155" i="9"/>
  <c r="S155" i="9" s="1"/>
  <c r="P155" i="9"/>
  <c r="T155" i="9"/>
  <c r="U155" i="9"/>
  <c r="W155" i="9" s="1"/>
  <c r="V155" i="9"/>
  <c r="X155" i="9" s="1"/>
  <c r="AD155" i="9" s="1"/>
  <c r="AB155" i="9"/>
  <c r="AC155" i="9" s="1"/>
  <c r="AH155" i="9" s="1"/>
  <c r="AE155" i="9"/>
  <c r="O156" i="9"/>
  <c r="S156" i="9" s="1"/>
  <c r="P156" i="9"/>
  <c r="T156" i="9"/>
  <c r="U156" i="9"/>
  <c r="W156" i="9" s="1"/>
  <c r="V156" i="9"/>
  <c r="AB156" i="9"/>
  <c r="AC156" i="9" s="1"/>
  <c r="AE156" i="9"/>
  <c r="AH156" i="9"/>
  <c r="O157" i="9"/>
  <c r="P157" i="9"/>
  <c r="S157" i="9"/>
  <c r="T157" i="9"/>
  <c r="V157" i="9" s="1"/>
  <c r="U157" i="9"/>
  <c r="W157" i="9"/>
  <c r="X157" i="9"/>
  <c r="AD157" i="9" s="1"/>
  <c r="Y157" i="9"/>
  <c r="AB157" i="9"/>
  <c r="AC157" i="9"/>
  <c r="AE157" i="9"/>
  <c r="AH157" i="9"/>
  <c r="O158" i="9"/>
  <c r="Q158" i="9" s="1"/>
  <c r="P158" i="9"/>
  <c r="T158" i="9"/>
  <c r="U158" i="9"/>
  <c r="W158" i="9" s="1"/>
  <c r="AB158" i="9"/>
  <c r="AC158" i="9"/>
  <c r="AE158" i="9"/>
  <c r="AH158" i="9"/>
  <c r="O159" i="9"/>
  <c r="Q159" i="9" s="1"/>
  <c r="P159" i="9"/>
  <c r="T159" i="9"/>
  <c r="U159" i="9"/>
  <c r="W159" i="9" s="1"/>
  <c r="V159" i="9"/>
  <c r="X159" i="9"/>
  <c r="Y159" i="9"/>
  <c r="AB159" i="9"/>
  <c r="AC159" i="9" s="1"/>
  <c r="AD159" i="9"/>
  <c r="AE159" i="9"/>
  <c r="O160" i="9"/>
  <c r="S160" i="9" s="1"/>
  <c r="P160" i="9"/>
  <c r="T160" i="9"/>
  <c r="U160" i="9"/>
  <c r="V160" i="9"/>
  <c r="W160" i="9"/>
  <c r="X160" i="9"/>
  <c r="AD160" i="9" s="1"/>
  <c r="Y160" i="9"/>
  <c r="AB160" i="9"/>
  <c r="AC160" i="9"/>
  <c r="AE160" i="9"/>
  <c r="O161" i="9"/>
  <c r="S161" i="9" s="1"/>
  <c r="P161" i="9"/>
  <c r="Q161" i="9"/>
  <c r="T161" i="9"/>
  <c r="U161" i="9"/>
  <c r="W161" i="9" s="1"/>
  <c r="V161" i="9"/>
  <c r="AB161" i="9"/>
  <c r="AC161" i="9" s="1"/>
  <c r="AE161" i="9"/>
  <c r="O162" i="9"/>
  <c r="Q162" i="9" s="1"/>
  <c r="AG162" i="9" s="1"/>
  <c r="P162" i="9"/>
  <c r="R162" i="9"/>
  <c r="S162" i="9"/>
  <c r="T162" i="9"/>
  <c r="U162" i="9"/>
  <c r="V162" i="9"/>
  <c r="X162" i="9" s="1"/>
  <c r="W162" i="9"/>
  <c r="AB162" i="9"/>
  <c r="AC162" i="9" s="1"/>
  <c r="AE162" i="9"/>
  <c r="O163" i="9"/>
  <c r="S163" i="9" s="1"/>
  <c r="P163" i="9"/>
  <c r="Q163" i="9"/>
  <c r="T163" i="9"/>
  <c r="V163" i="9" s="1"/>
  <c r="U163" i="9"/>
  <c r="W163" i="9" s="1"/>
  <c r="AB163" i="9"/>
  <c r="AC163" i="9"/>
  <c r="AE163" i="9"/>
  <c r="O164" i="9"/>
  <c r="P164" i="9"/>
  <c r="S164" i="9"/>
  <c r="T164" i="9"/>
  <c r="U164" i="9"/>
  <c r="W164" i="9" s="1"/>
  <c r="V164" i="9"/>
  <c r="X164" i="9" s="1"/>
  <c r="Y164" i="9" s="1"/>
  <c r="AB164" i="9"/>
  <c r="AC164" i="9" s="1"/>
  <c r="AD164" i="9"/>
  <c r="AE164" i="9"/>
  <c r="O165" i="9"/>
  <c r="S165" i="9" s="1"/>
  <c r="P165" i="9"/>
  <c r="Q165" i="9"/>
  <c r="R165" i="9" s="1"/>
  <c r="T165" i="9"/>
  <c r="U165" i="9"/>
  <c r="V165" i="9"/>
  <c r="AB165" i="9"/>
  <c r="AC165" i="9"/>
  <c r="AE165" i="9"/>
  <c r="AH165" i="9"/>
  <c r="O166" i="9"/>
  <c r="S166" i="9" s="1"/>
  <c r="P166" i="9"/>
  <c r="T166" i="9"/>
  <c r="V166" i="9" s="1"/>
  <c r="U166" i="9"/>
  <c r="W166" i="9"/>
  <c r="AB166" i="9"/>
  <c r="AC166" i="9" s="1"/>
  <c r="AE166" i="9"/>
  <c r="AH166" i="9"/>
  <c r="O167" i="9"/>
  <c r="S167" i="9" s="1"/>
  <c r="P167" i="9"/>
  <c r="Q167" i="9" s="1"/>
  <c r="T167" i="9"/>
  <c r="U167" i="9"/>
  <c r="V167" i="9"/>
  <c r="X167" i="9" s="1"/>
  <c r="AD167" i="9" s="1"/>
  <c r="W167" i="9"/>
  <c r="AB167" i="9"/>
  <c r="AC167" i="9" s="1"/>
  <c r="AH167" i="9" s="1"/>
  <c r="AE167" i="9"/>
  <c r="O168" i="9"/>
  <c r="P168" i="9"/>
  <c r="Q168" i="9"/>
  <c r="AG168" i="9" s="1"/>
  <c r="R168" i="9"/>
  <c r="S168" i="9"/>
  <c r="T168" i="9"/>
  <c r="V168" i="9" s="1"/>
  <c r="U168" i="9"/>
  <c r="W168" i="9" s="1"/>
  <c r="X168" i="9" s="1"/>
  <c r="AD168" i="9" s="1"/>
  <c r="AB168" i="9"/>
  <c r="AC168" i="9" s="1"/>
  <c r="AE168" i="9"/>
  <c r="AH168" i="9"/>
  <c r="O169" i="9"/>
  <c r="S169" i="9" s="1"/>
  <c r="P169" i="9"/>
  <c r="T169" i="9"/>
  <c r="U169" i="9"/>
  <c r="V169" i="9"/>
  <c r="X169" i="9" s="1"/>
  <c r="AD169" i="9" s="1"/>
  <c r="W169" i="9"/>
  <c r="AB169" i="9"/>
  <c r="AC169" i="9"/>
  <c r="AE169" i="9"/>
  <c r="O170" i="9"/>
  <c r="P170" i="9"/>
  <c r="S170" i="9"/>
  <c r="T170" i="9"/>
  <c r="U170" i="9"/>
  <c r="W170" i="9" s="1"/>
  <c r="AB170" i="9"/>
  <c r="AC170" i="9" s="1"/>
  <c r="AE170" i="9"/>
  <c r="O171" i="9"/>
  <c r="Q171" i="9" s="1"/>
  <c r="AG171" i="9" s="1"/>
  <c r="P171" i="9"/>
  <c r="T171" i="9"/>
  <c r="U171" i="9"/>
  <c r="V171" i="9"/>
  <c r="AB171" i="9"/>
  <c r="AC171" i="9" s="1"/>
  <c r="AH171" i="9" s="1"/>
  <c r="AE171" i="9"/>
  <c r="O172" i="9"/>
  <c r="S172" i="9" s="1"/>
  <c r="P172" i="9"/>
  <c r="T172" i="9"/>
  <c r="U172" i="9"/>
  <c r="W172" i="9"/>
  <c r="AB172" i="9"/>
  <c r="AC172" i="9" s="1"/>
  <c r="AE172" i="9"/>
  <c r="O173" i="9"/>
  <c r="S173" i="9" s="1"/>
  <c r="P173" i="9"/>
  <c r="Q173" i="9" s="1"/>
  <c r="AG173" i="9" s="1"/>
  <c r="R173" i="9"/>
  <c r="Z173" i="9" s="1"/>
  <c r="AA173" i="9" s="1"/>
  <c r="T173" i="9"/>
  <c r="U173" i="9"/>
  <c r="V173" i="9"/>
  <c r="W173" i="9"/>
  <c r="X173" i="9" s="1"/>
  <c r="AB173" i="9"/>
  <c r="AC173" i="9"/>
  <c r="AE173" i="9"/>
  <c r="AH173" i="9"/>
  <c r="O174" i="9"/>
  <c r="S174" i="9" s="1"/>
  <c r="P174" i="9"/>
  <c r="T174" i="9"/>
  <c r="U174" i="9"/>
  <c r="V174" i="9"/>
  <c r="W174" i="9"/>
  <c r="AB174" i="9"/>
  <c r="AC174" i="9" s="1"/>
  <c r="AE174" i="9"/>
  <c r="AH174" i="9"/>
  <c r="O175" i="9"/>
  <c r="S175" i="9" s="1"/>
  <c r="P175" i="9"/>
  <c r="T175" i="9"/>
  <c r="V175" i="9" s="1"/>
  <c r="U175" i="9"/>
  <c r="W175" i="9" s="1"/>
  <c r="X175" i="9"/>
  <c r="AB175" i="9"/>
  <c r="AC175" i="9"/>
  <c r="AD175" i="9"/>
  <c r="AE175" i="9"/>
  <c r="O176" i="9"/>
  <c r="S176" i="9" s="1"/>
  <c r="P176" i="9"/>
  <c r="Q176" i="9" s="1"/>
  <c r="R176" i="9" s="1"/>
  <c r="T176" i="9"/>
  <c r="U176" i="9"/>
  <c r="W176" i="9" s="1"/>
  <c r="V176" i="9"/>
  <c r="X176" i="9"/>
  <c r="AD176" i="9" s="1"/>
  <c r="AB176" i="9"/>
  <c r="AC176" i="9"/>
  <c r="AE176" i="9"/>
  <c r="O177" i="9"/>
  <c r="Q177" i="9" s="1"/>
  <c r="AG177" i="9" s="1"/>
  <c r="P177" i="9"/>
  <c r="T177" i="9"/>
  <c r="U177" i="9"/>
  <c r="V177" i="9"/>
  <c r="W177" i="9"/>
  <c r="X177" i="9" s="1"/>
  <c r="AB177" i="9"/>
  <c r="AC177" i="9"/>
  <c r="AD177" i="9"/>
  <c r="AE177" i="9"/>
  <c r="O178" i="9"/>
  <c r="S178" i="9" s="1"/>
  <c r="P178" i="9"/>
  <c r="Q178" i="9" s="1"/>
  <c r="T178" i="9"/>
  <c r="U178" i="9"/>
  <c r="V178" i="9"/>
  <c r="W178" i="9"/>
  <c r="X178" i="9" s="1"/>
  <c r="AD178" i="9" s="1"/>
  <c r="Y178" i="9"/>
  <c r="AB178" i="9"/>
  <c r="AC178" i="9"/>
  <c r="AE178" i="9"/>
  <c r="AH178" i="9"/>
  <c r="O179" i="9"/>
  <c r="S179" i="9" s="1"/>
  <c r="P179" i="9"/>
  <c r="Q179" i="9"/>
  <c r="T179" i="9"/>
  <c r="U179" i="9"/>
  <c r="V179" i="9"/>
  <c r="W179" i="9"/>
  <c r="AB179" i="9"/>
  <c r="AC179" i="9"/>
  <c r="AE179" i="9"/>
  <c r="AH179" i="9"/>
  <c r="O180" i="9"/>
  <c r="S180" i="9" s="1"/>
  <c r="P180" i="9"/>
  <c r="T180" i="9"/>
  <c r="U180" i="9"/>
  <c r="V180" i="9"/>
  <c r="X180" i="9" s="1"/>
  <c r="W180" i="9"/>
  <c r="AB180" i="9"/>
  <c r="AC180" i="9" s="1"/>
  <c r="AE180" i="9"/>
  <c r="AH180" i="9"/>
  <c r="O181" i="9"/>
  <c r="P181" i="9"/>
  <c r="T181" i="9"/>
  <c r="U181" i="9"/>
  <c r="W181" i="9" s="1"/>
  <c r="V181" i="9"/>
  <c r="X181" i="9" s="1"/>
  <c r="AD181" i="9" s="1"/>
  <c r="Y181" i="9"/>
  <c r="AB181" i="9"/>
  <c r="AC181" i="9" s="1"/>
  <c r="AE181" i="9"/>
  <c r="O182" i="9"/>
  <c r="Q182" i="9" s="1"/>
  <c r="P182" i="9"/>
  <c r="T182" i="9"/>
  <c r="U182" i="9"/>
  <c r="W182" i="9" s="1"/>
  <c r="V182" i="9"/>
  <c r="X182" i="9" s="1"/>
  <c r="AB182" i="9"/>
  <c r="AC182" i="9"/>
  <c r="AE182" i="9"/>
  <c r="AH182" i="9"/>
  <c r="O183" i="9"/>
  <c r="Q183" i="9" s="1"/>
  <c r="AG183" i="9" s="1"/>
  <c r="P183" i="9"/>
  <c r="T183" i="9"/>
  <c r="U183" i="9"/>
  <c r="V183" i="9"/>
  <c r="W183" i="9"/>
  <c r="AB183" i="9"/>
  <c r="AC183" i="9"/>
  <c r="AE183" i="9"/>
  <c r="AH183" i="9"/>
  <c r="O184" i="9"/>
  <c r="S184" i="9" s="1"/>
  <c r="P184" i="9"/>
  <c r="T184" i="9"/>
  <c r="V184" i="9" s="1"/>
  <c r="X184" i="9" s="1"/>
  <c r="U184" i="9"/>
  <c r="W184" i="9" s="1"/>
  <c r="AB184" i="9"/>
  <c r="AC184" i="9" s="1"/>
  <c r="AD184" i="9"/>
  <c r="AE184" i="9"/>
  <c r="O185" i="9"/>
  <c r="Q185" i="9" s="1"/>
  <c r="R185" i="9" s="1"/>
  <c r="P185" i="9"/>
  <c r="T185" i="9"/>
  <c r="V185" i="9" s="1"/>
  <c r="U185" i="9"/>
  <c r="W185" i="9" s="1"/>
  <c r="AB185" i="9"/>
  <c r="AC185" i="9" s="1"/>
  <c r="AE185" i="9"/>
  <c r="O186" i="9"/>
  <c r="Q186" i="9" s="1"/>
  <c r="AG186" i="9" s="1"/>
  <c r="P186" i="9"/>
  <c r="R186" i="9"/>
  <c r="Z186" i="9" s="1"/>
  <c r="AA186" i="9" s="1"/>
  <c r="S186" i="9"/>
  <c r="T186" i="9"/>
  <c r="V186" i="9" s="1"/>
  <c r="X186" i="9" s="1"/>
  <c r="U186" i="9"/>
  <c r="W186" i="9"/>
  <c r="AB186" i="9"/>
  <c r="AC186" i="9" s="1"/>
  <c r="AE186" i="9"/>
  <c r="O187" i="9"/>
  <c r="Q187" i="9" s="1"/>
  <c r="AG187" i="9" s="1"/>
  <c r="P187" i="9"/>
  <c r="T187" i="9"/>
  <c r="U187" i="9"/>
  <c r="V187" i="9"/>
  <c r="W187" i="9"/>
  <c r="X187" i="9"/>
  <c r="AD187" i="9" s="1"/>
  <c r="AB187" i="9"/>
  <c r="AC187" i="9" s="1"/>
  <c r="AE187" i="9"/>
  <c r="O188" i="9"/>
  <c r="S188" i="9" s="1"/>
  <c r="P188" i="9"/>
  <c r="T188" i="9"/>
  <c r="U188" i="9"/>
  <c r="W188" i="9" s="1"/>
  <c r="V188" i="9"/>
  <c r="X188" i="9" s="1"/>
  <c r="Y188" i="9"/>
  <c r="AB188" i="9"/>
  <c r="AC188" i="9"/>
  <c r="AD188" i="9"/>
  <c r="AE188" i="9"/>
  <c r="O189" i="9"/>
  <c r="P189" i="9"/>
  <c r="T189" i="9"/>
  <c r="U189" i="9"/>
  <c r="V189" i="9"/>
  <c r="W189" i="9"/>
  <c r="X189" i="9"/>
  <c r="AB189" i="9"/>
  <c r="AC189" i="9"/>
  <c r="AE189" i="9"/>
  <c r="O190" i="9"/>
  <c r="S190" i="9" s="1"/>
  <c r="P190" i="9"/>
  <c r="T190" i="9"/>
  <c r="U190" i="9"/>
  <c r="W190" i="9" s="1"/>
  <c r="X190" i="9" s="1"/>
  <c r="AD190" i="9" s="1"/>
  <c r="V190" i="9"/>
  <c r="AB190" i="9"/>
  <c r="AC190" i="9" s="1"/>
  <c r="AE190" i="9"/>
  <c r="O191" i="9"/>
  <c r="S191" i="9" s="1"/>
  <c r="P191" i="9"/>
  <c r="Q191" i="9"/>
  <c r="R191" i="9" s="1"/>
  <c r="T191" i="9"/>
  <c r="U191" i="9"/>
  <c r="W191" i="9"/>
  <c r="AB191" i="9"/>
  <c r="AC191" i="9" s="1"/>
  <c r="AE191" i="9"/>
  <c r="O192" i="9"/>
  <c r="Q192" i="9" s="1"/>
  <c r="P192" i="9"/>
  <c r="T192" i="9"/>
  <c r="V192" i="9" s="1"/>
  <c r="U192" i="9"/>
  <c r="W192" i="9"/>
  <c r="X192" i="9" s="1"/>
  <c r="AB192" i="9"/>
  <c r="AC192" i="9" s="1"/>
  <c r="AE192" i="9"/>
  <c r="AH192" i="9"/>
  <c r="O193" i="9"/>
  <c r="S193" i="9" s="1"/>
  <c r="P193" i="9"/>
  <c r="Q193" i="9"/>
  <c r="T193" i="9"/>
  <c r="U193" i="9"/>
  <c r="W193" i="9" s="1"/>
  <c r="X193" i="9" s="1"/>
  <c r="AD193" i="9" s="1"/>
  <c r="V193" i="9"/>
  <c r="AB193" i="9"/>
  <c r="AC193" i="9"/>
  <c r="AH193" i="9" s="1"/>
  <c r="AE193" i="9"/>
  <c r="O194" i="9"/>
  <c r="S194" i="9" s="1"/>
  <c r="P194" i="9"/>
  <c r="T194" i="9"/>
  <c r="U194" i="9"/>
  <c r="W194" i="9" s="1"/>
  <c r="V194" i="9"/>
  <c r="X194" i="9"/>
  <c r="AD194" i="9" s="1"/>
  <c r="AB194" i="9"/>
  <c r="AC194" i="9" s="1"/>
  <c r="AE194" i="9"/>
  <c r="O195" i="9"/>
  <c r="P195" i="9"/>
  <c r="T195" i="9"/>
  <c r="U195" i="9"/>
  <c r="V195" i="9"/>
  <c r="W195" i="9"/>
  <c r="X195" i="9"/>
  <c r="AD195" i="9" s="1"/>
  <c r="Y195" i="9"/>
  <c r="AB195" i="9"/>
  <c r="AC195" i="9"/>
  <c r="AE195" i="9"/>
  <c r="AH195" i="9"/>
  <c r="O196" i="9"/>
  <c r="S196" i="9" s="1"/>
  <c r="P196" i="9"/>
  <c r="Q196" i="9" s="1"/>
  <c r="R196" i="9" s="1"/>
  <c r="T196" i="9"/>
  <c r="U196" i="9"/>
  <c r="W196" i="9" s="1"/>
  <c r="V196" i="9"/>
  <c r="AB196" i="9"/>
  <c r="AC196" i="9" s="1"/>
  <c r="AE196" i="9"/>
  <c r="O197" i="9"/>
  <c r="P197" i="9"/>
  <c r="Q197" i="9" s="1"/>
  <c r="R197" i="9" s="1"/>
  <c r="S197" i="9"/>
  <c r="T197" i="9"/>
  <c r="U197" i="9"/>
  <c r="V197" i="9"/>
  <c r="W197" i="9"/>
  <c r="AB197" i="9"/>
  <c r="AC197" i="9" s="1"/>
  <c r="AE197" i="9"/>
  <c r="O198" i="9"/>
  <c r="P198" i="9"/>
  <c r="T198" i="9"/>
  <c r="V198" i="9" s="1"/>
  <c r="X198" i="9" s="1"/>
  <c r="U198" i="9"/>
  <c r="W198" i="9" s="1"/>
  <c r="Y198" i="9"/>
  <c r="AB198" i="9"/>
  <c r="AC198" i="9" s="1"/>
  <c r="AD198" i="9"/>
  <c r="AE198" i="9"/>
  <c r="O199" i="9"/>
  <c r="S199" i="9" s="1"/>
  <c r="P199" i="9"/>
  <c r="Q199" i="9"/>
  <c r="T199" i="9"/>
  <c r="V199" i="9" s="1"/>
  <c r="U199" i="9"/>
  <c r="W199" i="9" s="1"/>
  <c r="AB199" i="9"/>
  <c r="AC199" i="9" s="1"/>
  <c r="AE199" i="9"/>
  <c r="O200" i="9"/>
  <c r="S200" i="9" s="1"/>
  <c r="P200" i="9"/>
  <c r="Q200" i="9"/>
  <c r="R200" i="9" s="1"/>
  <c r="Z200" i="9" s="1"/>
  <c r="AA200" i="9" s="1"/>
  <c r="T200" i="9"/>
  <c r="V200" i="9" s="1"/>
  <c r="X200" i="9" s="1"/>
  <c r="U200" i="9"/>
  <c r="W200" i="9" s="1"/>
  <c r="Y200" i="9"/>
  <c r="AB200" i="9"/>
  <c r="AC200" i="9" s="1"/>
  <c r="AD200" i="9"/>
  <c r="AE200" i="9"/>
  <c r="O201" i="9"/>
  <c r="S201" i="9" s="1"/>
  <c r="P201" i="9"/>
  <c r="T201" i="9"/>
  <c r="U201" i="9"/>
  <c r="W201" i="9" s="1"/>
  <c r="V201" i="9"/>
  <c r="X201" i="9"/>
  <c r="AD201" i="9" s="1"/>
  <c r="AB201" i="9"/>
  <c r="AC201" i="9"/>
  <c r="AE201" i="9"/>
  <c r="AH201" i="9"/>
  <c r="O202" i="9"/>
  <c r="S202" i="9" s="1"/>
  <c r="P202" i="9"/>
  <c r="T202" i="9"/>
  <c r="V202" i="9" s="1"/>
  <c r="X202" i="9" s="1"/>
  <c r="AD202" i="9" s="1"/>
  <c r="U202" i="9"/>
  <c r="W202" i="9" s="1"/>
  <c r="AB202" i="9"/>
  <c r="AC202" i="9"/>
  <c r="AE202" i="9"/>
  <c r="O203" i="9"/>
  <c r="Q203" i="9" s="1"/>
  <c r="R203" i="9" s="1"/>
  <c r="P203" i="9"/>
  <c r="S203" i="9"/>
  <c r="T203" i="9"/>
  <c r="U203" i="9"/>
  <c r="W203" i="9" s="1"/>
  <c r="AB203" i="9"/>
  <c r="AC203" i="9"/>
  <c r="AE203" i="9"/>
  <c r="AG203" i="9"/>
  <c r="O204" i="9"/>
  <c r="Q204" i="9" s="1"/>
  <c r="P204" i="9"/>
  <c r="T204" i="9"/>
  <c r="U204" i="9"/>
  <c r="W204" i="9" s="1"/>
  <c r="AB204" i="9"/>
  <c r="AC204" i="9" s="1"/>
  <c r="AE204" i="9"/>
  <c r="AH204" i="9"/>
  <c r="O205" i="9"/>
  <c r="P205" i="9"/>
  <c r="Q205" i="9" s="1"/>
  <c r="S205" i="9"/>
  <c r="T205" i="9"/>
  <c r="U205" i="9"/>
  <c r="V205" i="9"/>
  <c r="AB205" i="9"/>
  <c r="AC205" i="9" s="1"/>
  <c r="AH205" i="9" s="1"/>
  <c r="AE205" i="9"/>
  <c r="O206" i="9"/>
  <c r="Q206" i="9" s="1"/>
  <c r="P206" i="9"/>
  <c r="T206" i="9"/>
  <c r="U206" i="9"/>
  <c r="W206" i="9" s="1"/>
  <c r="V206" i="9"/>
  <c r="X206" i="9" s="1"/>
  <c r="AD206" i="9" s="1"/>
  <c r="AB206" i="9"/>
  <c r="AC206" i="9"/>
  <c r="AE206" i="9"/>
  <c r="O207" i="9"/>
  <c r="P207" i="9"/>
  <c r="T207" i="9"/>
  <c r="U207" i="9"/>
  <c r="V207" i="9"/>
  <c r="W207" i="9"/>
  <c r="X207" i="9" s="1"/>
  <c r="AB207" i="9"/>
  <c r="AC207" i="9" s="1"/>
  <c r="AH207" i="9" s="1"/>
  <c r="AE207" i="9"/>
  <c r="O208" i="9"/>
  <c r="P208" i="9"/>
  <c r="S208" i="9"/>
  <c r="T208" i="9"/>
  <c r="U208" i="9"/>
  <c r="W208" i="9" s="1"/>
  <c r="AB208" i="9"/>
  <c r="AC208" i="9"/>
  <c r="AE208" i="9"/>
  <c r="AH208" i="9"/>
  <c r="O209" i="9"/>
  <c r="P209" i="9"/>
  <c r="T209" i="9"/>
  <c r="U209" i="9"/>
  <c r="W209" i="9" s="1"/>
  <c r="V209" i="9"/>
  <c r="X209" i="9" s="1"/>
  <c r="AB209" i="9"/>
  <c r="AC209" i="9"/>
  <c r="AE209" i="9"/>
  <c r="O210" i="9"/>
  <c r="S210" i="9" s="1"/>
  <c r="P210" i="9"/>
  <c r="Q210" i="9" s="1"/>
  <c r="T210" i="9"/>
  <c r="V210" i="9" s="1"/>
  <c r="X210" i="9" s="1"/>
  <c r="U210" i="9"/>
  <c r="W210" i="9" s="1"/>
  <c r="AB210" i="9"/>
  <c r="AC210" i="9" s="1"/>
  <c r="AE210" i="9"/>
  <c r="AH210" i="9"/>
  <c r="O211" i="9"/>
  <c r="P211" i="9"/>
  <c r="Q211" i="9" s="1"/>
  <c r="AG211" i="9" s="1"/>
  <c r="S211" i="9"/>
  <c r="T211" i="9"/>
  <c r="U211" i="9"/>
  <c r="V211" i="9"/>
  <c r="W211" i="9"/>
  <c r="AB211" i="9"/>
  <c r="AC211" i="9"/>
  <c r="AE211" i="9"/>
  <c r="O212" i="9"/>
  <c r="Q212" i="9" s="1"/>
  <c r="AG212" i="9" s="1"/>
  <c r="P212" i="9"/>
  <c r="R212" i="9"/>
  <c r="S212" i="9"/>
  <c r="T212" i="9"/>
  <c r="U212" i="9"/>
  <c r="W212" i="9" s="1"/>
  <c r="AB212" i="9"/>
  <c r="AC212" i="9" s="1"/>
  <c r="AE212" i="9"/>
  <c r="O213" i="9"/>
  <c r="P213" i="9"/>
  <c r="T213" i="9"/>
  <c r="U213" i="9"/>
  <c r="W213" i="9" s="1"/>
  <c r="V213" i="9"/>
  <c r="X213" i="9"/>
  <c r="Y213" i="9" s="1"/>
  <c r="AB213" i="9"/>
  <c r="AC213" i="9" s="1"/>
  <c r="AD213" i="9"/>
  <c r="AE213" i="9"/>
  <c r="O214" i="9"/>
  <c r="S214" i="9" s="1"/>
  <c r="P214" i="9"/>
  <c r="T214" i="9"/>
  <c r="U214" i="9"/>
  <c r="V214" i="9"/>
  <c r="AB214" i="9"/>
  <c r="AC214" i="9"/>
  <c r="AE214" i="9"/>
  <c r="AH214" i="9"/>
  <c r="O215" i="9"/>
  <c r="S215" i="9" s="1"/>
  <c r="P215" i="9"/>
  <c r="Q215" i="9" s="1"/>
  <c r="R215" i="9" s="1"/>
  <c r="T215" i="9"/>
  <c r="U215" i="9"/>
  <c r="V215" i="9"/>
  <c r="W215" i="9"/>
  <c r="AB215" i="9"/>
  <c r="AC215" i="9" s="1"/>
  <c r="AE215" i="9"/>
  <c r="O216" i="9"/>
  <c r="P216" i="9"/>
  <c r="T216" i="9"/>
  <c r="U216" i="9"/>
  <c r="V216" i="9"/>
  <c r="X216" i="9" s="1"/>
  <c r="W216" i="9"/>
  <c r="AB216" i="9"/>
  <c r="AC216" i="9" s="1"/>
  <c r="AE216" i="9"/>
  <c r="O217" i="9"/>
  <c r="P217" i="9"/>
  <c r="T217" i="9"/>
  <c r="U217" i="9"/>
  <c r="V217" i="9"/>
  <c r="AB217" i="9"/>
  <c r="AC217" i="9" s="1"/>
  <c r="AE217" i="9"/>
  <c r="AH217" i="9"/>
  <c r="O218" i="9"/>
  <c r="S218" i="9" s="1"/>
  <c r="P218" i="9"/>
  <c r="Q218" i="9" s="1"/>
  <c r="R218" i="9" s="1"/>
  <c r="T218" i="9"/>
  <c r="U218" i="9"/>
  <c r="W218" i="9" s="1"/>
  <c r="V218" i="9"/>
  <c r="X218" i="9" s="1"/>
  <c r="AB218" i="9"/>
  <c r="AC218" i="9"/>
  <c r="AH218" i="9" s="1"/>
  <c r="AE218" i="9"/>
  <c r="AG218" i="9"/>
  <c r="O219" i="9"/>
  <c r="S219" i="9" s="1"/>
  <c r="P219" i="9"/>
  <c r="T219" i="9"/>
  <c r="U219" i="9"/>
  <c r="V219" i="9"/>
  <c r="W219" i="9"/>
  <c r="X219" i="9" s="1"/>
  <c r="AB219" i="9"/>
  <c r="AC219" i="9"/>
  <c r="AE219" i="9"/>
  <c r="AH219" i="9"/>
  <c r="O220" i="9"/>
  <c r="P220" i="9"/>
  <c r="T220" i="9"/>
  <c r="U220" i="9"/>
  <c r="V220" i="9"/>
  <c r="W220" i="9"/>
  <c r="X220" i="9"/>
  <c r="AD220" i="9" s="1"/>
  <c r="AB220" i="9"/>
  <c r="AC220" i="9" s="1"/>
  <c r="AE220" i="9"/>
  <c r="AH220" i="9"/>
  <c r="O221" i="9"/>
  <c r="Q221" i="9" s="1"/>
  <c r="P221" i="9"/>
  <c r="S221" i="9"/>
  <c r="T221" i="9"/>
  <c r="V221" i="9" s="1"/>
  <c r="U221" i="9"/>
  <c r="W221" i="9" s="1"/>
  <c r="X221" i="9" s="1"/>
  <c r="AB221" i="9"/>
  <c r="AC221" i="9" s="1"/>
  <c r="AE221" i="9"/>
  <c r="AH221" i="9"/>
  <c r="O222" i="9"/>
  <c r="S222" i="9" s="1"/>
  <c r="P222" i="9"/>
  <c r="Q222" i="9"/>
  <c r="T222" i="9"/>
  <c r="V222" i="9" s="1"/>
  <c r="X222" i="9" s="1"/>
  <c r="AD222" i="9" s="1"/>
  <c r="U222" i="9"/>
  <c r="W222" i="9"/>
  <c r="AB222" i="9"/>
  <c r="AC222" i="9" s="1"/>
  <c r="AE222" i="9"/>
  <c r="O223" i="9"/>
  <c r="Q223" i="9" s="1"/>
  <c r="AG223" i="9" s="1"/>
  <c r="P223" i="9"/>
  <c r="T223" i="9"/>
  <c r="U223" i="9"/>
  <c r="W223" i="9"/>
  <c r="AB223" i="9"/>
  <c r="AC223" i="9" s="1"/>
  <c r="AE223" i="9"/>
  <c r="O224" i="9"/>
  <c r="S224" i="9" s="1"/>
  <c r="P224" i="9"/>
  <c r="Q224" i="9" s="1"/>
  <c r="R224" i="9" s="1"/>
  <c r="T224" i="9"/>
  <c r="U224" i="9"/>
  <c r="W224" i="9" s="1"/>
  <c r="V224" i="9"/>
  <c r="AB224" i="9"/>
  <c r="AC224" i="9" s="1"/>
  <c r="AE224" i="9"/>
  <c r="AH224" i="9"/>
  <c r="O225" i="9"/>
  <c r="S225" i="9" s="1"/>
  <c r="P225" i="9"/>
  <c r="T225" i="9"/>
  <c r="U225" i="9"/>
  <c r="V225" i="9"/>
  <c r="W225" i="9"/>
  <c r="AB225" i="9"/>
  <c r="AC225" i="9"/>
  <c r="AE225" i="9"/>
  <c r="AH225" i="9"/>
  <c r="O226" i="9"/>
  <c r="P226" i="9"/>
  <c r="Q226" i="9" s="1"/>
  <c r="AG226" i="9" s="1"/>
  <c r="S226" i="9"/>
  <c r="T226" i="9"/>
  <c r="U226" i="9"/>
  <c r="W226" i="9" s="1"/>
  <c r="AB226" i="9"/>
  <c r="AC226" i="9"/>
  <c r="AH226" i="9" s="1"/>
  <c r="AE226" i="9"/>
  <c r="O227" i="9"/>
  <c r="P227" i="9"/>
  <c r="S227" i="9"/>
  <c r="T227" i="9"/>
  <c r="U227" i="9"/>
  <c r="W227" i="9" s="1"/>
  <c r="AB227" i="9"/>
  <c r="AC227" i="9" s="1"/>
  <c r="AE227" i="9"/>
  <c r="AH227" i="9"/>
  <c r="O228" i="9"/>
  <c r="S228" i="9" s="1"/>
  <c r="P228" i="9"/>
  <c r="Q228" i="9" s="1"/>
  <c r="T228" i="9"/>
  <c r="V228" i="9" s="1"/>
  <c r="X228" i="9" s="1"/>
  <c r="AD228" i="9" s="1"/>
  <c r="U228" i="9"/>
  <c r="W228" i="9"/>
  <c r="AB228" i="9"/>
  <c r="AC228" i="9" s="1"/>
  <c r="AE228" i="9"/>
  <c r="AH228" i="9"/>
  <c r="O229" i="9"/>
  <c r="P229" i="9"/>
  <c r="T229" i="9"/>
  <c r="V229" i="9" s="1"/>
  <c r="U229" i="9"/>
  <c r="W229" i="9" s="1"/>
  <c r="X229" i="9"/>
  <c r="AD229" i="9" s="1"/>
  <c r="AB229" i="9"/>
  <c r="AC229" i="9"/>
  <c r="AH229" i="9" s="1"/>
  <c r="AE229" i="9"/>
  <c r="O230" i="9"/>
  <c r="S230" i="9" s="1"/>
  <c r="P230" i="9"/>
  <c r="T230" i="9"/>
  <c r="V230" i="9" s="1"/>
  <c r="U230" i="9"/>
  <c r="W230" i="9"/>
  <c r="AB230" i="9"/>
  <c r="AC230" i="9" s="1"/>
  <c r="AE230" i="9"/>
  <c r="O231" i="9"/>
  <c r="S231" i="9" s="1"/>
  <c r="P231" i="9"/>
  <c r="T231" i="9"/>
  <c r="U231" i="9"/>
  <c r="V231" i="9"/>
  <c r="X231" i="9" s="1"/>
  <c r="AD231" i="9" s="1"/>
  <c r="W231" i="9"/>
  <c r="AB231" i="9"/>
  <c r="AC231" i="9"/>
  <c r="AE231" i="9"/>
  <c r="AH231" i="9"/>
  <c r="O232" i="9"/>
  <c r="Q232" i="9" s="1"/>
  <c r="P232" i="9"/>
  <c r="T232" i="9"/>
  <c r="U232" i="9"/>
  <c r="V232" i="9"/>
  <c r="X232" i="9" s="1"/>
  <c r="AD232" i="9" s="1"/>
  <c r="W232" i="9"/>
  <c r="AB232" i="9"/>
  <c r="AC232" i="9"/>
  <c r="AE232" i="9"/>
  <c r="O233" i="9"/>
  <c r="P233" i="9"/>
  <c r="Q233" i="9"/>
  <c r="AG233" i="9" s="1"/>
  <c r="S233" i="9"/>
  <c r="T233" i="9"/>
  <c r="V233" i="9" s="1"/>
  <c r="X233" i="9" s="1"/>
  <c r="AD233" i="9" s="1"/>
  <c r="U233" i="9"/>
  <c r="W233" i="9" s="1"/>
  <c r="AB233" i="9"/>
  <c r="AC233" i="9"/>
  <c r="AE233" i="9"/>
  <c r="O234" i="9"/>
  <c r="S234" i="9" s="1"/>
  <c r="P234" i="9"/>
  <c r="Q234" i="9"/>
  <c r="AG234" i="9" s="1"/>
  <c r="R234" i="9"/>
  <c r="T234" i="9"/>
  <c r="U234" i="9"/>
  <c r="W234" i="9" s="1"/>
  <c r="AB234" i="9"/>
  <c r="AC234" i="9"/>
  <c r="AE234" i="9"/>
  <c r="O235" i="9"/>
  <c r="Q235" i="9" s="1"/>
  <c r="R235" i="9" s="1"/>
  <c r="P235" i="9"/>
  <c r="S235" i="9"/>
  <c r="T235" i="9"/>
  <c r="V235" i="9" s="1"/>
  <c r="X235" i="9" s="1"/>
  <c r="AD235" i="9" s="1"/>
  <c r="U235" i="9"/>
  <c r="W235" i="9" s="1"/>
  <c r="AB235" i="9"/>
  <c r="AC235" i="9"/>
  <c r="AE235" i="9"/>
  <c r="O236" i="9"/>
  <c r="P236" i="9"/>
  <c r="T236" i="9"/>
  <c r="U236" i="9"/>
  <c r="V236" i="9"/>
  <c r="X236" i="9" s="1"/>
  <c r="AD236" i="9" s="1"/>
  <c r="W236" i="9"/>
  <c r="AB236" i="9"/>
  <c r="AC236" i="9"/>
  <c r="AE236" i="9"/>
  <c r="AH236" i="9"/>
  <c r="O237" i="9"/>
  <c r="P237" i="9"/>
  <c r="T237" i="9"/>
  <c r="U237" i="9"/>
  <c r="W237" i="9" s="1"/>
  <c r="V237" i="9"/>
  <c r="X237" i="9" s="1"/>
  <c r="AD237" i="9" s="1"/>
  <c r="AB237" i="9"/>
  <c r="AC237" i="9"/>
  <c r="AE237" i="9"/>
  <c r="O238" i="9"/>
  <c r="P238" i="9"/>
  <c r="Q238" i="9"/>
  <c r="R238" i="9" s="1"/>
  <c r="S238" i="9"/>
  <c r="T238" i="9"/>
  <c r="V238" i="9" s="1"/>
  <c r="U238" i="9"/>
  <c r="W238" i="9"/>
  <c r="X238" i="9" s="1"/>
  <c r="AD238" i="9" s="1"/>
  <c r="AB238" i="9"/>
  <c r="AC238" i="9" s="1"/>
  <c r="AE238" i="9"/>
  <c r="AH238" i="9"/>
  <c r="O239" i="9"/>
  <c r="S239" i="9" s="1"/>
  <c r="P239" i="9"/>
  <c r="T239" i="9"/>
  <c r="U239" i="9"/>
  <c r="V239" i="9"/>
  <c r="X239" i="9" s="1"/>
  <c r="AD239" i="9" s="1"/>
  <c r="W239" i="9"/>
  <c r="AB239" i="9"/>
  <c r="AC239" i="9" s="1"/>
  <c r="AE239" i="9"/>
  <c r="AH239" i="9"/>
  <c r="O240" i="9"/>
  <c r="S240" i="9" s="1"/>
  <c r="P240" i="9"/>
  <c r="T240" i="9"/>
  <c r="U240" i="9"/>
  <c r="V240" i="9"/>
  <c r="X240" i="9" s="1"/>
  <c r="AD240" i="9" s="1"/>
  <c r="W240" i="9"/>
  <c r="AB240" i="9"/>
  <c r="AC240" i="9" s="1"/>
  <c r="AH240" i="9" s="1"/>
  <c r="AE240" i="9"/>
  <c r="O241" i="9"/>
  <c r="S241" i="9" s="1"/>
  <c r="P241" i="9"/>
  <c r="Q241" i="9"/>
  <c r="R241" i="9" s="1"/>
  <c r="T241" i="9"/>
  <c r="U241" i="9"/>
  <c r="V241" i="9"/>
  <c r="W241" i="9"/>
  <c r="X241" i="9"/>
  <c r="AD241" i="9" s="1"/>
  <c r="AB241" i="9"/>
  <c r="AC241" i="9" s="1"/>
  <c r="AE241" i="9"/>
  <c r="O242" i="9"/>
  <c r="Q242" i="9" s="1"/>
  <c r="P242" i="9"/>
  <c r="T242" i="9"/>
  <c r="U242" i="9"/>
  <c r="W242" i="9"/>
  <c r="AB242" i="9"/>
  <c r="AC242" i="9"/>
  <c r="AE242" i="9"/>
  <c r="O243" i="9"/>
  <c r="P243" i="9"/>
  <c r="Q243" i="9"/>
  <c r="AG243" i="9" s="1"/>
  <c r="S243" i="9"/>
  <c r="T243" i="9"/>
  <c r="U243" i="9"/>
  <c r="W243" i="9" s="1"/>
  <c r="X243" i="9" s="1"/>
  <c r="AD243" i="9" s="1"/>
  <c r="V243" i="9"/>
  <c r="AB243" i="9"/>
  <c r="AC243" i="9"/>
  <c r="AE243" i="9"/>
  <c r="O244" i="9"/>
  <c r="S244" i="9" s="1"/>
  <c r="P244" i="9"/>
  <c r="T244" i="9"/>
  <c r="V244" i="9" s="1"/>
  <c r="X244" i="9" s="1"/>
  <c r="AD244" i="9" s="1"/>
  <c r="U244" i="9"/>
  <c r="W244" i="9" s="1"/>
  <c r="Y244" i="9"/>
  <c r="AB244" i="9"/>
  <c r="AC244" i="9"/>
  <c r="AE244" i="9"/>
  <c r="O245" i="9"/>
  <c r="S245" i="9" s="1"/>
  <c r="P245" i="9"/>
  <c r="Q245" i="9" s="1"/>
  <c r="T245" i="9"/>
  <c r="V245" i="9" s="1"/>
  <c r="X245" i="9" s="1"/>
  <c r="AD245" i="9" s="1"/>
  <c r="U245" i="9"/>
  <c r="W245" i="9" s="1"/>
  <c r="AB245" i="9"/>
  <c r="AC245" i="9"/>
  <c r="AE245" i="9"/>
  <c r="O246" i="9"/>
  <c r="S246" i="9" s="1"/>
  <c r="P246" i="9"/>
  <c r="Q246" i="9"/>
  <c r="AG246" i="9" s="1"/>
  <c r="T246" i="9"/>
  <c r="U246" i="9"/>
  <c r="V246" i="9"/>
  <c r="X246" i="9" s="1"/>
  <c r="AD246" i="9" s="1"/>
  <c r="W246" i="9"/>
  <c r="AB246" i="9"/>
  <c r="AC246" i="9" s="1"/>
  <c r="AE246" i="9"/>
  <c r="O247" i="9"/>
  <c r="P247" i="9"/>
  <c r="Q247" i="9"/>
  <c r="AG247" i="9" s="1"/>
  <c r="S247" i="9"/>
  <c r="T247" i="9"/>
  <c r="U247" i="9"/>
  <c r="W247" i="9" s="1"/>
  <c r="V247" i="9"/>
  <c r="X247" i="9" s="1"/>
  <c r="AD247" i="9" s="1"/>
  <c r="Y247" i="9"/>
  <c r="AB247" i="9"/>
  <c r="AC247" i="9" s="1"/>
  <c r="AE247" i="9"/>
  <c r="O248" i="9"/>
  <c r="S248" i="9" s="1"/>
  <c r="P248" i="9"/>
  <c r="Q248" i="9" s="1"/>
  <c r="T248" i="9"/>
  <c r="U248" i="9"/>
  <c r="V248" i="9"/>
  <c r="W248" i="9"/>
  <c r="X248" i="9"/>
  <c r="AD248" i="9" s="1"/>
  <c r="AB248" i="9"/>
  <c r="AC248" i="9"/>
  <c r="AE248" i="9"/>
  <c r="AH248" i="9"/>
  <c r="O249" i="9"/>
  <c r="S249" i="9" s="1"/>
  <c r="P249" i="9"/>
  <c r="T249" i="9"/>
  <c r="U249" i="9"/>
  <c r="W249" i="9" s="1"/>
  <c r="V249" i="9"/>
  <c r="AB249" i="9"/>
  <c r="AC249" i="9" s="1"/>
  <c r="AE249" i="9"/>
  <c r="AH249" i="9"/>
  <c r="O250" i="9"/>
  <c r="P250" i="9"/>
  <c r="Q250" i="9"/>
  <c r="R250" i="9" s="1"/>
  <c r="S250" i="9"/>
  <c r="T250" i="9"/>
  <c r="U250" i="9"/>
  <c r="W250" i="9" s="1"/>
  <c r="AB250" i="9"/>
  <c r="AC250" i="9"/>
  <c r="AH250" i="9" s="1"/>
  <c r="AE250" i="9"/>
  <c r="O251" i="9"/>
  <c r="S251" i="9" s="1"/>
  <c r="P251" i="9"/>
  <c r="Q251" i="9" s="1"/>
  <c r="R251" i="9" s="1"/>
  <c r="T251" i="9"/>
  <c r="U251" i="9"/>
  <c r="W251" i="9" s="1"/>
  <c r="V251" i="9"/>
  <c r="AB251" i="9"/>
  <c r="AC251" i="9"/>
  <c r="AE251" i="9"/>
  <c r="AH251" i="9"/>
  <c r="O252" i="9"/>
  <c r="Q252" i="9" s="1"/>
  <c r="R252" i="9" s="1"/>
  <c r="P252" i="9"/>
  <c r="S252" i="9"/>
  <c r="T252" i="9"/>
  <c r="V252" i="9" s="1"/>
  <c r="X252" i="9" s="1"/>
  <c r="AD252" i="9" s="1"/>
  <c r="U252" i="9"/>
  <c r="W252" i="9" s="1"/>
  <c r="AB252" i="9"/>
  <c r="AC252" i="9" s="1"/>
  <c r="AH252" i="9" s="1"/>
  <c r="AE252" i="9"/>
  <c r="O253" i="9"/>
  <c r="P253" i="9"/>
  <c r="Q253" i="9" s="1"/>
  <c r="R253" i="9" s="1"/>
  <c r="S253" i="9"/>
  <c r="T253" i="9"/>
  <c r="U253" i="9"/>
  <c r="W253" i="9" s="1"/>
  <c r="V253" i="9"/>
  <c r="X253" i="9" s="1"/>
  <c r="AD253" i="9" s="1"/>
  <c r="AB253" i="9"/>
  <c r="AC253" i="9"/>
  <c r="AH253" i="9" s="1"/>
  <c r="AE253" i="9"/>
  <c r="O254" i="9"/>
  <c r="S254" i="9" s="1"/>
  <c r="P254" i="9"/>
  <c r="T254" i="9"/>
  <c r="U254" i="9"/>
  <c r="W254" i="9" s="1"/>
  <c r="AB254" i="9"/>
  <c r="AC254" i="9"/>
  <c r="AH254" i="9" s="1"/>
  <c r="AE254" i="9"/>
  <c r="O255" i="9"/>
  <c r="P255" i="9"/>
  <c r="Q255" i="9"/>
  <c r="R255" i="9" s="1"/>
  <c r="Z255" i="9" s="1"/>
  <c r="AA255" i="9" s="1"/>
  <c r="S255" i="9"/>
  <c r="T255" i="9"/>
  <c r="U255" i="9"/>
  <c r="V255" i="9"/>
  <c r="X255" i="9" s="1"/>
  <c r="W255" i="9"/>
  <c r="AB255" i="9"/>
  <c r="AC255" i="9"/>
  <c r="AD255" i="9"/>
  <c r="AE255" i="9"/>
  <c r="O256" i="9"/>
  <c r="S256" i="9" s="1"/>
  <c r="P256" i="9"/>
  <c r="Q256" i="9"/>
  <c r="R256" i="9" s="1"/>
  <c r="T256" i="9"/>
  <c r="U256" i="9"/>
  <c r="W256" i="9"/>
  <c r="AB256" i="9"/>
  <c r="AC256" i="9" s="1"/>
  <c r="AE256" i="9"/>
  <c r="O257" i="9"/>
  <c r="S257" i="9" s="1"/>
  <c r="P257" i="9"/>
  <c r="Q257" i="9" s="1"/>
  <c r="R257" i="9" s="1"/>
  <c r="T257" i="9"/>
  <c r="U257" i="9"/>
  <c r="W257" i="9" s="1"/>
  <c r="AB257" i="9"/>
  <c r="AC257" i="9" s="1"/>
  <c r="AE257" i="9"/>
  <c r="O258" i="9"/>
  <c r="Q258" i="9" s="1"/>
  <c r="AG258" i="9" s="1"/>
  <c r="P258" i="9"/>
  <c r="T258" i="9"/>
  <c r="V258" i="9" s="1"/>
  <c r="X258" i="9" s="1"/>
  <c r="Y258" i="9" s="1"/>
  <c r="U258" i="9"/>
  <c r="W258" i="9"/>
  <c r="AB258" i="9"/>
  <c r="AC258" i="9" s="1"/>
  <c r="AE258" i="9"/>
  <c r="O259" i="9"/>
  <c r="S259" i="9" s="1"/>
  <c r="P259" i="9"/>
  <c r="Q259" i="9" s="1"/>
  <c r="T259" i="9"/>
  <c r="U259" i="9"/>
  <c r="V259" i="9"/>
  <c r="W259" i="9"/>
  <c r="X259" i="9"/>
  <c r="AD259" i="9" s="1"/>
  <c r="AB259" i="9"/>
  <c r="AC259" i="9"/>
  <c r="AE259" i="9"/>
  <c r="AH259" i="9"/>
  <c r="O260" i="9"/>
  <c r="P260" i="9"/>
  <c r="T260" i="9"/>
  <c r="U260" i="9"/>
  <c r="V260" i="9"/>
  <c r="W260" i="9"/>
  <c r="X260" i="9"/>
  <c r="AB260" i="9"/>
  <c r="AC260" i="9"/>
  <c r="AE260" i="9"/>
  <c r="AH260" i="9"/>
  <c r="O261" i="9"/>
  <c r="P261" i="9"/>
  <c r="Q261" i="9" s="1"/>
  <c r="R261" i="9" s="1"/>
  <c r="S261" i="9"/>
  <c r="T261" i="9"/>
  <c r="U261" i="9"/>
  <c r="W261" i="9" s="1"/>
  <c r="V261" i="9"/>
  <c r="X261" i="9" s="1"/>
  <c r="AD261" i="9" s="1"/>
  <c r="AB261" i="9"/>
  <c r="AC261" i="9" s="1"/>
  <c r="AE261" i="9"/>
  <c r="AH261" i="9"/>
  <c r="O262" i="9"/>
  <c r="P262" i="9"/>
  <c r="S262" i="9"/>
  <c r="T262" i="9"/>
  <c r="U262" i="9"/>
  <c r="W262" i="9" s="1"/>
  <c r="AB262" i="9"/>
  <c r="AC262" i="9"/>
  <c r="AE262" i="9"/>
  <c r="AH262" i="9"/>
  <c r="O263" i="9"/>
  <c r="S263" i="9" s="1"/>
  <c r="P263" i="9"/>
  <c r="T263" i="9"/>
  <c r="U263" i="9"/>
  <c r="W263" i="9"/>
  <c r="AB263" i="9"/>
  <c r="AC263" i="9" s="1"/>
  <c r="AE263" i="9"/>
  <c r="O264" i="9"/>
  <c r="S264" i="9" s="1"/>
  <c r="P264" i="9"/>
  <c r="T264" i="9"/>
  <c r="V264" i="9" s="1"/>
  <c r="X264" i="9" s="1"/>
  <c r="AD264" i="9" s="1"/>
  <c r="U264" i="9"/>
  <c r="W264" i="9" s="1"/>
  <c r="AB264" i="9"/>
  <c r="AC264" i="9"/>
  <c r="AE264" i="9"/>
  <c r="O265" i="9"/>
  <c r="S265" i="9" s="1"/>
  <c r="P265" i="9"/>
  <c r="T265" i="9"/>
  <c r="V265" i="9" s="1"/>
  <c r="X265" i="9" s="1"/>
  <c r="AD265" i="9" s="1"/>
  <c r="U265" i="9"/>
  <c r="W265" i="9" s="1"/>
  <c r="AB265" i="9"/>
  <c r="AC265" i="9"/>
  <c r="AE265" i="9"/>
  <c r="O266" i="9"/>
  <c r="Q266" i="9" s="1"/>
  <c r="AG266" i="9" s="1"/>
  <c r="P266" i="9"/>
  <c r="T266" i="9"/>
  <c r="V266" i="9" s="1"/>
  <c r="U266" i="9"/>
  <c r="W266" i="9" s="1"/>
  <c r="AB266" i="9"/>
  <c r="AC266" i="9"/>
  <c r="AE266" i="9"/>
  <c r="O267" i="9"/>
  <c r="S267" i="9" s="1"/>
  <c r="P267" i="9"/>
  <c r="Q267" i="9" s="1"/>
  <c r="AG267" i="9" s="1"/>
  <c r="R267" i="9"/>
  <c r="T267" i="9"/>
  <c r="U267" i="9"/>
  <c r="V267" i="9"/>
  <c r="W267" i="9"/>
  <c r="AB267" i="9"/>
  <c r="AC267" i="9" s="1"/>
  <c r="AE267" i="9"/>
  <c r="O268" i="9"/>
  <c r="Q268" i="9" s="1"/>
  <c r="P268" i="9"/>
  <c r="T268" i="9"/>
  <c r="V268" i="9" s="1"/>
  <c r="X268" i="9" s="1"/>
  <c r="AD268" i="9" s="1"/>
  <c r="U268" i="9"/>
  <c r="W268" i="9"/>
  <c r="AB268" i="9"/>
  <c r="AC268" i="9"/>
  <c r="AE268" i="9"/>
  <c r="AH268" i="9"/>
  <c r="O269" i="9"/>
  <c r="S269" i="9" s="1"/>
  <c r="P269" i="9"/>
  <c r="Q269" i="9" s="1"/>
  <c r="T269" i="9"/>
  <c r="V269" i="9" s="1"/>
  <c r="X269" i="9" s="1"/>
  <c r="AD269" i="9" s="1"/>
  <c r="U269" i="9"/>
  <c r="W269" i="9" s="1"/>
  <c r="AB269" i="9"/>
  <c r="AC269" i="9" s="1"/>
  <c r="AE269" i="9"/>
  <c r="O270" i="9"/>
  <c r="Q270" i="9" s="1"/>
  <c r="R270" i="9" s="1"/>
  <c r="Z270" i="9" s="1"/>
  <c r="AA270" i="9" s="1"/>
  <c r="P270" i="9"/>
  <c r="S270" i="9"/>
  <c r="T270" i="9"/>
  <c r="U270" i="9"/>
  <c r="W270" i="9" s="1"/>
  <c r="V270" i="9"/>
  <c r="X270" i="9"/>
  <c r="AD270" i="9" s="1"/>
  <c r="Y270" i="9"/>
  <c r="AB270" i="9"/>
  <c r="AC270" i="9"/>
  <c r="AH270" i="9" s="1"/>
  <c r="AE270" i="9"/>
  <c r="O271" i="9"/>
  <c r="S271" i="9" s="1"/>
  <c r="P271" i="9"/>
  <c r="Q271" i="9" s="1"/>
  <c r="R271" i="9" s="1"/>
  <c r="Z271" i="9" s="1"/>
  <c r="AA271" i="9" s="1"/>
  <c r="T271" i="9"/>
  <c r="U271" i="9"/>
  <c r="V271" i="9"/>
  <c r="W271" i="9"/>
  <c r="X271" i="9" s="1"/>
  <c r="AB271" i="9"/>
  <c r="AC271" i="9"/>
  <c r="AE271" i="9"/>
  <c r="O272" i="9"/>
  <c r="S272" i="9" s="1"/>
  <c r="P272" i="9"/>
  <c r="T272" i="9"/>
  <c r="V272" i="9" s="1"/>
  <c r="X272" i="9" s="1"/>
  <c r="AD272" i="9" s="1"/>
  <c r="U272" i="9"/>
  <c r="W272" i="9" s="1"/>
  <c r="AB272" i="9"/>
  <c r="AC272" i="9"/>
  <c r="AE272" i="9"/>
  <c r="AH272" i="9"/>
  <c r="O273" i="9"/>
  <c r="S273" i="9" s="1"/>
  <c r="P273" i="9"/>
  <c r="Q273" i="9"/>
  <c r="AG273" i="9" s="1"/>
  <c r="T273" i="9"/>
  <c r="U273" i="9"/>
  <c r="W273" i="9" s="1"/>
  <c r="X273" i="9" s="1"/>
  <c r="AD273" i="9" s="1"/>
  <c r="V273" i="9"/>
  <c r="AB273" i="9"/>
  <c r="AC273" i="9" s="1"/>
  <c r="AE273" i="9"/>
  <c r="O274" i="9"/>
  <c r="S274" i="9" s="1"/>
  <c r="P274" i="9"/>
  <c r="T274" i="9"/>
  <c r="V274" i="9" s="1"/>
  <c r="U274" i="9"/>
  <c r="W274" i="9" s="1"/>
  <c r="X274" i="9"/>
  <c r="AB274" i="9"/>
  <c r="AC274" i="9" s="1"/>
  <c r="AE274" i="9"/>
  <c r="O275" i="9"/>
  <c r="S275" i="9" s="1"/>
  <c r="P275" i="9"/>
  <c r="T275" i="9"/>
  <c r="V275" i="9" s="1"/>
  <c r="X275" i="9" s="1"/>
  <c r="AD275" i="9" s="1"/>
  <c r="U275" i="9"/>
  <c r="W275" i="9"/>
  <c r="Y275" i="9"/>
  <c r="AB275" i="9"/>
  <c r="AC275" i="9" s="1"/>
  <c r="AH275" i="9" s="1"/>
  <c r="AE275" i="9"/>
  <c r="O276" i="9"/>
  <c r="P276" i="9"/>
  <c r="T276" i="9"/>
  <c r="U276" i="9"/>
  <c r="W276" i="9" s="1"/>
  <c r="X276" i="9" s="1"/>
  <c r="AD276" i="9" s="1"/>
  <c r="V276" i="9"/>
  <c r="AB276" i="9"/>
  <c r="AC276" i="9"/>
  <c r="AH276" i="9" s="1"/>
  <c r="AE276" i="9"/>
  <c r="O277" i="9"/>
  <c r="P277" i="9"/>
  <c r="T277" i="9"/>
  <c r="U277" i="9"/>
  <c r="V277" i="9"/>
  <c r="X277" i="9" s="1"/>
  <c r="W277" i="9"/>
  <c r="AB277" i="9"/>
  <c r="AC277" i="9" s="1"/>
  <c r="AE277" i="9"/>
  <c r="O278" i="9"/>
  <c r="Q278" i="9" s="1"/>
  <c r="P278" i="9"/>
  <c r="S278" i="9"/>
  <c r="T278" i="9"/>
  <c r="V278" i="9" s="1"/>
  <c r="X278" i="9" s="1"/>
  <c r="AD278" i="9" s="1"/>
  <c r="U278" i="9"/>
  <c r="W278" i="9" s="1"/>
  <c r="AB278" i="9"/>
  <c r="AC278" i="9"/>
  <c r="AE278"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5" i="9"/>
  <c r="N6" i="9"/>
  <c r="N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5" i="9"/>
  <c r="M6" i="9"/>
  <c r="M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G159" i="9" l="1"/>
  <c r="R159" i="9"/>
  <c r="Z159" i="9" s="1"/>
  <c r="AA159" i="9" s="1"/>
  <c r="AG142" i="9"/>
  <c r="AG144" i="9"/>
  <c r="S185" i="9"/>
  <c r="S183" i="9"/>
  <c r="S123" i="9"/>
  <c r="S106" i="9"/>
  <c r="Q73" i="9"/>
  <c r="R73" i="9" s="1"/>
  <c r="Z73" i="9" s="1"/>
  <c r="AA73" i="9" s="1"/>
  <c r="Q125" i="9"/>
  <c r="R125" i="9" s="1"/>
  <c r="Z125" i="9" s="1"/>
  <c r="AA125" i="9" s="1"/>
  <c r="Q79" i="9"/>
  <c r="R79" i="9" s="1"/>
  <c r="Q52" i="9"/>
  <c r="R52" i="9" s="1"/>
  <c r="Z52" i="9" s="1"/>
  <c r="AA52" i="9" s="1"/>
  <c r="AF52" i="9" s="1"/>
  <c r="AI200" i="9"/>
  <c r="AG241" i="9"/>
  <c r="S177" i="9"/>
  <c r="S159" i="9"/>
  <c r="AG126" i="9"/>
  <c r="S87" i="9"/>
  <c r="S62" i="9"/>
  <c r="Q264" i="9"/>
  <c r="AG264" i="9" s="1"/>
  <c r="AG235" i="9"/>
  <c r="S223" i="9"/>
  <c r="S204" i="9"/>
  <c r="Q194" i="9"/>
  <c r="R194" i="9" s="1"/>
  <c r="Z194" i="9" s="1"/>
  <c r="AA194" i="9" s="1"/>
  <c r="AF194" i="9" s="1"/>
  <c r="S192" i="9"/>
  <c r="R177" i="9"/>
  <c r="Z177" i="9" s="1"/>
  <c r="AA177" i="9" s="1"/>
  <c r="AF177" i="9" s="1"/>
  <c r="Q18" i="9"/>
  <c r="AG18" i="9" s="1"/>
  <c r="Q190" i="9"/>
  <c r="Z162" i="9"/>
  <c r="AA162" i="9" s="1"/>
  <c r="AG92" i="9"/>
  <c r="Q68" i="9"/>
  <c r="Q46" i="9"/>
  <c r="R182" i="9"/>
  <c r="Z182" i="9" s="1"/>
  <c r="AA182" i="9" s="1"/>
  <c r="AG182" i="9"/>
  <c r="R158" i="9"/>
  <c r="AG158" i="9"/>
  <c r="R31" i="9"/>
  <c r="AG31" i="9"/>
  <c r="R112" i="9"/>
  <c r="AG112" i="9"/>
  <c r="AG221" i="9"/>
  <c r="R221" i="9"/>
  <c r="Z221" i="9" s="1"/>
  <c r="AA221" i="9" s="1"/>
  <c r="AF221" i="9" s="1"/>
  <c r="AG191" i="9"/>
  <c r="Q174" i="9"/>
  <c r="Q170" i="9"/>
  <c r="R170" i="9" s="1"/>
  <c r="Z170" i="9" s="1"/>
  <c r="AA170" i="9" s="1"/>
  <c r="Q148" i="9"/>
  <c r="AG148" i="9" s="1"/>
  <c r="Q118" i="9"/>
  <c r="AG96" i="9"/>
  <c r="Q71" i="9"/>
  <c r="Q65" i="9"/>
  <c r="Q32" i="9"/>
  <c r="S266" i="9"/>
  <c r="S144" i="9"/>
  <c r="S126" i="9"/>
  <c r="S112" i="9"/>
  <c r="S36" i="9"/>
  <c r="AG53" i="9"/>
  <c r="Q274" i="9"/>
  <c r="AG274" i="9" s="1"/>
  <c r="Q272" i="9"/>
  <c r="R272" i="9" s="1"/>
  <c r="Z272" i="9" s="1"/>
  <c r="AA272" i="9" s="1"/>
  <c r="Q262" i="9"/>
  <c r="Q214" i="9"/>
  <c r="R214" i="9" s="1"/>
  <c r="Q184" i="9"/>
  <c r="AG184" i="9" s="1"/>
  <c r="Q172" i="9"/>
  <c r="Q155" i="9"/>
  <c r="AG155" i="9" s="1"/>
  <c r="Q146" i="9"/>
  <c r="R146" i="9" s="1"/>
  <c r="Z146" i="9" s="1"/>
  <c r="AA146" i="9" s="1"/>
  <c r="Q133" i="9"/>
  <c r="R133" i="9" s="1"/>
  <c r="Z133" i="9" s="1"/>
  <c r="AA133" i="9" s="1"/>
  <c r="Q131" i="9"/>
  <c r="AG131" i="9" s="1"/>
  <c r="Q124" i="9"/>
  <c r="AG124" i="9" s="1"/>
  <c r="Q116" i="9"/>
  <c r="AG116" i="9" s="1"/>
  <c r="Q63" i="9"/>
  <c r="AG63" i="9" s="1"/>
  <c r="Q55" i="9"/>
  <c r="AG55" i="9" s="1"/>
  <c r="S42" i="9"/>
  <c r="Q239" i="9"/>
  <c r="Q188" i="9"/>
  <c r="R188" i="9" s="1"/>
  <c r="Z188" i="9" s="1"/>
  <c r="AA188" i="9" s="1"/>
  <c r="Q160" i="9"/>
  <c r="AG160" i="9" s="1"/>
  <c r="AG134" i="9"/>
  <c r="Q61" i="9"/>
  <c r="R61" i="9" s="1"/>
  <c r="Q22" i="9"/>
  <c r="Q20" i="9"/>
  <c r="S258" i="9"/>
  <c r="R223" i="9"/>
  <c r="Z223" i="9" s="1"/>
  <c r="AA223" i="9" s="1"/>
  <c r="Q201" i="9"/>
  <c r="AG201" i="9" s="1"/>
  <c r="S182" i="9"/>
  <c r="S100" i="9"/>
  <c r="S82" i="9"/>
  <c r="AG52" i="9"/>
  <c r="AG261" i="9"/>
  <c r="AG143" i="9"/>
  <c r="AG125" i="9"/>
  <c r="AG107" i="9"/>
  <c r="AG62" i="9"/>
  <c r="AG60" i="9"/>
  <c r="AG255" i="9"/>
  <c r="R246" i="9"/>
  <c r="Z246" i="9" s="1"/>
  <c r="AA246" i="9" s="1"/>
  <c r="Q244" i="9"/>
  <c r="S242" i="9"/>
  <c r="AG238" i="9"/>
  <c r="Q227" i="9"/>
  <c r="Q180" i="9"/>
  <c r="R180" i="9" s="1"/>
  <c r="Z180" i="9" s="1"/>
  <c r="AA180" i="9" s="1"/>
  <c r="Q175" i="9"/>
  <c r="AG152" i="9"/>
  <c r="Q102" i="9"/>
  <c r="AG95" i="9"/>
  <c r="Q88" i="9"/>
  <c r="R88" i="9" s="1"/>
  <c r="Z88" i="9" s="1"/>
  <c r="AA88" i="9" s="1"/>
  <c r="AF88" i="9" s="1"/>
  <c r="Q84" i="9"/>
  <c r="AG84" i="9" s="1"/>
  <c r="Q78" i="9"/>
  <c r="R78" i="9" s="1"/>
  <c r="Z78" i="9" s="1"/>
  <c r="AA78" i="9" s="1"/>
  <c r="AI78" i="9" s="1"/>
  <c r="Q51" i="9"/>
  <c r="R51" i="9" s="1"/>
  <c r="Z51" i="9" s="1"/>
  <c r="AA51" i="9" s="1"/>
  <c r="R18" i="9"/>
  <c r="Z18" i="9" s="1"/>
  <c r="AA18" i="9" s="1"/>
  <c r="AF18" i="9" s="1"/>
  <c r="AG271" i="9"/>
  <c r="AG215" i="9"/>
  <c r="AG93" i="9"/>
  <c r="S158" i="9"/>
  <c r="S145" i="9"/>
  <c r="S31" i="9"/>
  <c r="Q263" i="9"/>
  <c r="S171" i="9"/>
  <c r="Q129" i="9"/>
  <c r="R129" i="9" s="1"/>
  <c r="Z129" i="9" s="1"/>
  <c r="AA129" i="9" s="1"/>
  <c r="S127" i="9"/>
  <c r="S64" i="9"/>
  <c r="AG26" i="9"/>
  <c r="R273" i="9"/>
  <c r="Z273" i="9" s="1"/>
  <c r="AA273" i="9" s="1"/>
  <c r="AI273" i="9" s="1"/>
  <c r="AG257" i="9"/>
  <c r="Q240" i="9"/>
  <c r="Q231" i="9"/>
  <c r="AG224" i="9"/>
  <c r="Q219" i="9"/>
  <c r="R171" i="9"/>
  <c r="Q132" i="9"/>
  <c r="R132" i="9" s="1"/>
  <c r="Z132" i="9" s="1"/>
  <c r="AA132" i="9" s="1"/>
  <c r="R121" i="9"/>
  <c r="Q119" i="9"/>
  <c r="R119" i="9" s="1"/>
  <c r="Z119" i="9" s="1"/>
  <c r="AA119" i="9" s="1"/>
  <c r="R117" i="9"/>
  <c r="Q113" i="9"/>
  <c r="R113" i="9" s="1"/>
  <c r="R49" i="9"/>
  <c r="Z49" i="9" s="1"/>
  <c r="AA49" i="9" s="1"/>
  <c r="Y277" i="9"/>
  <c r="AD277" i="9"/>
  <c r="AH257" i="9"/>
  <c r="AH230" i="9"/>
  <c r="AG259" i="9"/>
  <c r="R259" i="9"/>
  <c r="Z259" i="9" s="1"/>
  <c r="AA259" i="9" s="1"/>
  <c r="AI259" i="9" s="1"/>
  <c r="Z218" i="9"/>
  <c r="AA218" i="9" s="1"/>
  <c r="AD218" i="9"/>
  <c r="Y218" i="9"/>
  <c r="AD131" i="9"/>
  <c r="Y131" i="9"/>
  <c r="AH256" i="9"/>
  <c r="AH246" i="9"/>
  <c r="AF246" i="9"/>
  <c r="AG210" i="9"/>
  <c r="R210" i="9"/>
  <c r="Z210" i="9" s="1"/>
  <c r="AA210" i="9" s="1"/>
  <c r="R274" i="9"/>
  <c r="Z274" i="9" s="1"/>
  <c r="AA274" i="9" s="1"/>
  <c r="AF274" i="9" s="1"/>
  <c r="AD221" i="9"/>
  <c r="Y221" i="9"/>
  <c r="AG146" i="9"/>
  <c r="AG268" i="9"/>
  <c r="R268" i="9"/>
  <c r="Z268" i="9" s="1"/>
  <c r="AA268" i="9" s="1"/>
  <c r="AF268" i="9" s="1"/>
  <c r="AD207" i="9"/>
  <c r="Y207" i="9"/>
  <c r="AH273" i="9"/>
  <c r="AH267" i="9"/>
  <c r="AF270" i="9"/>
  <c r="AI270" i="9"/>
  <c r="R248" i="9"/>
  <c r="Z248" i="9" s="1"/>
  <c r="AA248" i="9" s="1"/>
  <c r="AG248" i="9"/>
  <c r="AD219" i="9"/>
  <c r="Y219" i="9"/>
  <c r="AD209" i="9"/>
  <c r="Y209" i="9"/>
  <c r="Z235" i="9"/>
  <c r="AA235" i="9" s="1"/>
  <c r="AF235" i="9" s="1"/>
  <c r="Y271" i="9"/>
  <c r="AF271" i="9" s="1"/>
  <c r="AD271" i="9"/>
  <c r="AI271" i="9" s="1"/>
  <c r="R269" i="9"/>
  <c r="Z269" i="9" s="1"/>
  <c r="AA269" i="9" s="1"/>
  <c r="AG269" i="9"/>
  <c r="AD192" i="9"/>
  <c r="Y192" i="9"/>
  <c r="X249" i="9"/>
  <c r="AD249" i="9" s="1"/>
  <c r="V256" i="9"/>
  <c r="X256" i="9" s="1"/>
  <c r="AD256" i="9" s="1"/>
  <c r="AG205" i="9"/>
  <c r="R205" i="9"/>
  <c r="X267" i="9"/>
  <c r="AD267" i="9" s="1"/>
  <c r="Y231" i="9"/>
  <c r="Q230" i="9"/>
  <c r="Y225" i="9"/>
  <c r="Q216" i="9"/>
  <c r="S216" i="9"/>
  <c r="Y212" i="9"/>
  <c r="V212" i="9"/>
  <c r="X212" i="9" s="1"/>
  <c r="AD212" i="9" s="1"/>
  <c r="AD182" i="9"/>
  <c r="Y182" i="9"/>
  <c r="Y163" i="9"/>
  <c r="AD63" i="9"/>
  <c r="Y63" i="9"/>
  <c r="AG19" i="9"/>
  <c r="R19" i="9"/>
  <c r="Z19" i="9" s="1"/>
  <c r="AA19" i="9" s="1"/>
  <c r="Y17" i="9"/>
  <c r="AD17" i="9"/>
  <c r="R179" i="9"/>
  <c r="Z179" i="9" s="1"/>
  <c r="AA179" i="9" s="1"/>
  <c r="AG179" i="9"/>
  <c r="AH148" i="9"/>
  <c r="S103" i="9"/>
  <c r="Q103" i="9"/>
  <c r="X225" i="9"/>
  <c r="AD225" i="9" s="1"/>
  <c r="Z253" i="9"/>
  <c r="AA253" i="9" s="1"/>
  <c r="AF253" i="9" s="1"/>
  <c r="X251" i="9"/>
  <c r="AD251" i="9" s="1"/>
  <c r="Q236" i="9"/>
  <c r="S236" i="9"/>
  <c r="V234" i="9"/>
  <c r="X234" i="9" s="1"/>
  <c r="AD234" i="9" s="1"/>
  <c r="Y234" i="9"/>
  <c r="AH232" i="9"/>
  <c r="V223" i="9"/>
  <c r="X223" i="9" s="1"/>
  <c r="AD223" i="9" s="1"/>
  <c r="AD210" i="9"/>
  <c r="Y210" i="9"/>
  <c r="AH199" i="9"/>
  <c r="Y187" i="9"/>
  <c r="AD180" i="9"/>
  <c r="Y180" i="9"/>
  <c r="W137" i="9"/>
  <c r="X137" i="9" s="1"/>
  <c r="AD137" i="9" s="1"/>
  <c r="Y137" i="9"/>
  <c r="Y278" i="9"/>
  <c r="Q277" i="9"/>
  <c r="S277" i="9"/>
  <c r="Y264" i="9"/>
  <c r="AH242" i="9"/>
  <c r="Y228" i="9"/>
  <c r="AH185" i="9"/>
  <c r="X163" i="9"/>
  <c r="AD163" i="9" s="1"/>
  <c r="AH115" i="9"/>
  <c r="R106" i="9"/>
  <c r="AG106" i="9"/>
  <c r="Y88" i="9"/>
  <c r="AD88" i="9"/>
  <c r="AH265" i="9"/>
  <c r="Q260" i="9"/>
  <c r="S260" i="9"/>
  <c r="AG252" i="9"/>
  <c r="Y248" i="9"/>
  <c r="R247" i="9"/>
  <c r="Z247" i="9" s="1"/>
  <c r="AA247" i="9" s="1"/>
  <c r="AF247" i="9" s="1"/>
  <c r="Z241" i="9"/>
  <c r="AA241" i="9" s="1"/>
  <c r="AF241" i="9" s="1"/>
  <c r="R228" i="9"/>
  <c r="Z228" i="9" s="1"/>
  <c r="AA228" i="9" s="1"/>
  <c r="AG228" i="9"/>
  <c r="V208" i="9"/>
  <c r="X208" i="9" s="1"/>
  <c r="AD208" i="9" s="1"/>
  <c r="AH202" i="9"/>
  <c r="X197" i="9"/>
  <c r="AD197" i="9" s="1"/>
  <c r="V170" i="9"/>
  <c r="X170" i="9" s="1"/>
  <c r="AD170" i="9" s="1"/>
  <c r="X161" i="9"/>
  <c r="AD161" i="9" s="1"/>
  <c r="R155" i="9"/>
  <c r="Z155" i="9" s="1"/>
  <c r="AA155" i="9" s="1"/>
  <c r="R150" i="9"/>
  <c r="Z150" i="9" s="1"/>
  <c r="AA150" i="9" s="1"/>
  <c r="AF150" i="9" s="1"/>
  <c r="AG150" i="9"/>
  <c r="R127" i="9"/>
  <c r="Z127" i="9" s="1"/>
  <c r="AA127" i="9" s="1"/>
  <c r="AI127" i="9" s="1"/>
  <c r="AG127" i="9"/>
  <c r="AG90" i="9"/>
  <c r="R90" i="9"/>
  <c r="AG278" i="9"/>
  <c r="R278" i="9"/>
  <c r="Z278" i="9" s="1"/>
  <c r="AA278" i="9" s="1"/>
  <c r="Z267" i="9"/>
  <c r="AA267" i="9" s="1"/>
  <c r="Y261" i="9"/>
  <c r="Z251" i="9"/>
  <c r="AA251" i="9" s="1"/>
  <c r="AH235" i="9"/>
  <c r="Y226" i="9"/>
  <c r="V226" i="9"/>
  <c r="X226" i="9" s="1"/>
  <c r="AD226" i="9" s="1"/>
  <c r="Q220" i="9"/>
  <c r="S220" i="9"/>
  <c r="X217" i="9"/>
  <c r="AD217" i="9" s="1"/>
  <c r="V204" i="9"/>
  <c r="X204" i="9" s="1"/>
  <c r="AD204" i="9" s="1"/>
  <c r="AH190" i="9"/>
  <c r="AF182" i="9"/>
  <c r="AI182" i="9"/>
  <c r="Z168" i="9"/>
  <c r="AA168" i="9" s="1"/>
  <c r="Y153" i="9"/>
  <c r="AD153" i="9"/>
  <c r="X135" i="9"/>
  <c r="AD135" i="9" s="1"/>
  <c r="AD258" i="9"/>
  <c r="AF255" i="9"/>
  <c r="AH255" i="9"/>
  <c r="AI255" i="9"/>
  <c r="V254" i="9"/>
  <c r="X254" i="9" s="1"/>
  <c r="AD254" i="9" s="1"/>
  <c r="AH245" i="9"/>
  <c r="W217" i="9"/>
  <c r="AH213" i="9"/>
  <c r="Y161" i="9"/>
  <c r="Z261" i="9"/>
  <c r="AA261" i="9" s="1"/>
  <c r="AH258" i="9"/>
  <c r="V257" i="9"/>
  <c r="X257" i="9" s="1"/>
  <c r="AD257" i="9" s="1"/>
  <c r="Y257" i="9"/>
  <c r="AG250" i="9"/>
  <c r="Q237" i="9"/>
  <c r="S237" i="9"/>
  <c r="Y229" i="9"/>
  <c r="R226" i="9"/>
  <c r="Z226" i="9" s="1"/>
  <c r="AA226" i="9" s="1"/>
  <c r="AF226" i="9" s="1"/>
  <c r="X215" i="9"/>
  <c r="AH211" i="9"/>
  <c r="Y206" i="9"/>
  <c r="R204" i="9"/>
  <c r="AG204" i="9"/>
  <c r="AG200" i="9"/>
  <c r="Y190" i="9"/>
  <c r="X183" i="9"/>
  <c r="AD183" i="9" s="1"/>
  <c r="V158" i="9"/>
  <c r="X158" i="9" s="1"/>
  <c r="AD158" i="9" s="1"/>
  <c r="AH151" i="9"/>
  <c r="AH133" i="9"/>
  <c r="AH128" i="9"/>
  <c r="AD72" i="9"/>
  <c r="Y72" i="9"/>
  <c r="AH264" i="9"/>
  <c r="AD260" i="9"/>
  <c r="Y260" i="9"/>
  <c r="Y240" i="9"/>
  <c r="AH234" i="9"/>
  <c r="Q209" i="9"/>
  <c r="S209" i="9"/>
  <c r="AH194" i="9"/>
  <c r="AH13" i="9"/>
  <c r="AH271" i="9"/>
  <c r="Y253" i="9"/>
  <c r="W214" i="9"/>
  <c r="X214" i="9" s="1"/>
  <c r="AD214" i="9" s="1"/>
  <c r="Q198" i="9"/>
  <c r="S198" i="9"/>
  <c r="AH172" i="9"/>
  <c r="Y245" i="9"/>
  <c r="AH243" i="9"/>
  <c r="V242" i="9"/>
  <c r="X242" i="9" s="1"/>
  <c r="AD242" i="9" s="1"/>
  <c r="Y239" i="9"/>
  <c r="AH233" i="9"/>
  <c r="AH222" i="9"/>
  <c r="AH164" i="9"/>
  <c r="AD109" i="9"/>
  <c r="Y109" i="9"/>
  <c r="AH95" i="9"/>
  <c r="AH31" i="9"/>
  <c r="AH244" i="9"/>
  <c r="AG167" i="9"/>
  <c r="R167" i="9"/>
  <c r="Z167" i="9" s="1"/>
  <c r="AA167" i="9" s="1"/>
  <c r="AD274" i="9"/>
  <c r="Y274" i="9"/>
  <c r="Z256" i="9"/>
  <c r="AA256" i="9" s="1"/>
  <c r="AF269" i="9"/>
  <c r="AH269" i="9"/>
  <c r="S268" i="9"/>
  <c r="Y265" i="9"/>
  <c r="Q254" i="9"/>
  <c r="Z238" i="9"/>
  <c r="AA238" i="9" s="1"/>
  <c r="AF238" i="9" s="1"/>
  <c r="R206" i="9"/>
  <c r="Z206" i="9" s="1"/>
  <c r="AA206" i="9" s="1"/>
  <c r="AI206" i="9" s="1"/>
  <c r="AG206" i="9"/>
  <c r="AH188" i="9"/>
  <c r="AH181" i="9"/>
  <c r="AD173" i="9"/>
  <c r="Y173" i="9"/>
  <c r="AH154" i="9"/>
  <c r="Y276" i="9"/>
  <c r="Q275" i="9"/>
  <c r="AH266" i="9"/>
  <c r="AG256" i="9"/>
  <c r="Y252" i="9"/>
  <c r="Y235" i="9"/>
  <c r="S232" i="9"/>
  <c r="X224" i="9"/>
  <c r="AD224" i="9" s="1"/>
  <c r="AF200" i="9"/>
  <c r="AH200" i="9"/>
  <c r="Y272" i="9"/>
  <c r="AG270" i="9"/>
  <c r="Y269" i="9"/>
  <c r="AH263" i="9"/>
  <c r="V262" i="9"/>
  <c r="X262" i="9" s="1"/>
  <c r="AD262" i="9" s="1"/>
  <c r="AG253" i="9"/>
  <c r="AG242" i="9"/>
  <c r="R242" i="9"/>
  <c r="Z242" i="9" s="1"/>
  <c r="AA242" i="9" s="1"/>
  <c r="Y233" i="9"/>
  <c r="AH216" i="9"/>
  <c r="Y167" i="9"/>
  <c r="Y147" i="9"/>
  <c r="AD147" i="9"/>
  <c r="AH277" i="9"/>
  <c r="Y259" i="9"/>
  <c r="R245" i="9"/>
  <c r="Z245" i="9" s="1"/>
  <c r="AA245" i="9" s="1"/>
  <c r="AG245" i="9"/>
  <c r="AH241" i="9"/>
  <c r="R232" i="9"/>
  <c r="Z232" i="9" s="1"/>
  <c r="AA232" i="9" s="1"/>
  <c r="AF232" i="9" s="1"/>
  <c r="AG232" i="9"/>
  <c r="V227" i="9"/>
  <c r="X227" i="9" s="1"/>
  <c r="AD227" i="9" s="1"/>
  <c r="AH203" i="9"/>
  <c r="AH196" i="9"/>
  <c r="AH191" i="9"/>
  <c r="Z252" i="9"/>
  <c r="AA252" i="9" s="1"/>
  <c r="AH237" i="9"/>
  <c r="Q229" i="9"/>
  <c r="S229" i="9"/>
  <c r="Z224" i="9"/>
  <c r="AA224" i="9" s="1"/>
  <c r="S213" i="9"/>
  <c r="Q213" i="9"/>
  <c r="Q195" i="9"/>
  <c r="S195" i="9"/>
  <c r="AG193" i="9"/>
  <c r="R193" i="9"/>
  <c r="Z193" i="9" s="1"/>
  <c r="AA193" i="9" s="1"/>
  <c r="AF193" i="9" s="1"/>
  <c r="AI173" i="9"/>
  <c r="Y162" i="9"/>
  <c r="AD162" i="9"/>
  <c r="R140" i="9"/>
  <c r="AG140" i="9"/>
  <c r="AH122" i="9"/>
  <c r="AH110" i="9"/>
  <c r="R99" i="9"/>
  <c r="AG99" i="9"/>
  <c r="AH223" i="9"/>
  <c r="AH212" i="9"/>
  <c r="AF212" i="9"/>
  <c r="X266" i="9"/>
  <c r="AD266" i="9" s="1"/>
  <c r="AH247" i="9"/>
  <c r="AG222" i="9"/>
  <c r="R222" i="9"/>
  <c r="Z222" i="9" s="1"/>
  <c r="AA222" i="9" s="1"/>
  <c r="AI222" i="9" s="1"/>
  <c r="AD216" i="9"/>
  <c r="Y216" i="9"/>
  <c r="Y179" i="9"/>
  <c r="AH177" i="9"/>
  <c r="V112" i="9"/>
  <c r="X112" i="9" s="1"/>
  <c r="Y112" i="9" s="1"/>
  <c r="Q276" i="9"/>
  <c r="S276" i="9"/>
  <c r="Q207" i="9"/>
  <c r="S207" i="9"/>
  <c r="Y189" i="9"/>
  <c r="AD189" i="9"/>
  <c r="AH278" i="9"/>
  <c r="AH274" i="9"/>
  <c r="V263" i="9"/>
  <c r="X263" i="9" s="1"/>
  <c r="AD263" i="9" s="1"/>
  <c r="Y263" i="9"/>
  <c r="R258" i="9"/>
  <c r="Z258" i="9" s="1"/>
  <c r="AA258" i="9" s="1"/>
  <c r="AI258" i="9" s="1"/>
  <c r="AG251" i="9"/>
  <c r="V250" i="9"/>
  <c r="X250" i="9" s="1"/>
  <c r="AD250" i="9" s="1"/>
  <c r="Y250" i="9"/>
  <c r="R233" i="9"/>
  <c r="Z233" i="9" s="1"/>
  <c r="AA233" i="9" s="1"/>
  <c r="AI233" i="9" s="1"/>
  <c r="V191" i="9"/>
  <c r="X191" i="9" s="1"/>
  <c r="Y191" i="9" s="1"/>
  <c r="Y186" i="9"/>
  <c r="AF186" i="9" s="1"/>
  <c r="AD186" i="9"/>
  <c r="AI186" i="9" s="1"/>
  <c r="Q181" i="9"/>
  <c r="S181" i="9"/>
  <c r="Z171" i="9"/>
  <c r="AA171" i="9" s="1"/>
  <c r="Q169" i="9"/>
  <c r="R101" i="9"/>
  <c r="Z101" i="9" s="1"/>
  <c r="AA101" i="9" s="1"/>
  <c r="AG101" i="9"/>
  <c r="R266" i="9"/>
  <c r="Z266" i="9" s="1"/>
  <c r="AA266" i="9" s="1"/>
  <c r="R264" i="9"/>
  <c r="Z264" i="9" s="1"/>
  <c r="AA264" i="9" s="1"/>
  <c r="AF264" i="9" s="1"/>
  <c r="R243" i="9"/>
  <c r="Z243" i="9" s="1"/>
  <c r="AA243" i="9" s="1"/>
  <c r="AI243" i="9" s="1"/>
  <c r="Z212" i="9"/>
  <c r="AA212" i="9" s="1"/>
  <c r="AI212" i="9" s="1"/>
  <c r="AH198" i="9"/>
  <c r="X174" i="9"/>
  <c r="AI152" i="9"/>
  <c r="Z137" i="9"/>
  <c r="AA137" i="9" s="1"/>
  <c r="AI137" i="9" s="1"/>
  <c r="AH125" i="9"/>
  <c r="R76" i="9"/>
  <c r="Z76" i="9" s="1"/>
  <c r="AA76" i="9" s="1"/>
  <c r="AG76" i="9"/>
  <c r="Q74" i="9"/>
  <c r="S74" i="9"/>
  <c r="W70" i="9"/>
  <c r="AH41" i="9"/>
  <c r="AD33" i="9"/>
  <c r="Y33" i="9"/>
  <c r="Y241" i="9"/>
  <c r="AI241" i="9" s="1"/>
  <c r="Y237" i="9"/>
  <c r="Y236" i="9"/>
  <c r="AH206" i="9"/>
  <c r="W205" i="9"/>
  <c r="X205" i="9" s="1"/>
  <c r="AG163" i="9"/>
  <c r="R163" i="9"/>
  <c r="AH142" i="9"/>
  <c r="V138" i="9"/>
  <c r="X138" i="9" s="1"/>
  <c r="AD138" i="9" s="1"/>
  <c r="Y138" i="9"/>
  <c r="Y107" i="9"/>
  <c r="W107" i="9"/>
  <c r="X107" i="9" s="1"/>
  <c r="AD107" i="9" s="1"/>
  <c r="Q265" i="9"/>
  <c r="Y220" i="9"/>
  <c r="Z197" i="9"/>
  <c r="AA197" i="9" s="1"/>
  <c r="AF197" i="9" s="1"/>
  <c r="AG185" i="9"/>
  <c r="Y184" i="9"/>
  <c r="R183" i="9"/>
  <c r="AH176" i="9"/>
  <c r="Y168" i="9"/>
  <c r="AG165" i="9"/>
  <c r="AH153" i="9"/>
  <c r="AH145" i="9"/>
  <c r="Z134" i="9"/>
  <c r="AA134" i="9" s="1"/>
  <c r="AF134" i="9" s="1"/>
  <c r="AH113" i="9"/>
  <c r="X91" i="9"/>
  <c r="AD91" i="9" s="1"/>
  <c r="W82" i="9"/>
  <c r="X82" i="9" s="1"/>
  <c r="Y66" i="9"/>
  <c r="W66" i="9"/>
  <c r="V59" i="9"/>
  <c r="X59" i="9" s="1"/>
  <c r="AD59" i="9" s="1"/>
  <c r="Y59" i="9"/>
  <c r="V31" i="9"/>
  <c r="X31" i="9" s="1"/>
  <c r="AD31" i="9" s="1"/>
  <c r="W20" i="9"/>
  <c r="AH215" i="9"/>
  <c r="AG192" i="9"/>
  <c r="R192" i="9"/>
  <c r="Z192" i="9" s="1"/>
  <c r="AA192" i="9" s="1"/>
  <c r="AH189" i="9"/>
  <c r="S187" i="9"/>
  <c r="AG178" i="9"/>
  <c r="R178" i="9"/>
  <c r="Z178" i="9" s="1"/>
  <c r="AA178" i="9" s="1"/>
  <c r="AI178" i="9" s="1"/>
  <c r="AG176" i="9"/>
  <c r="AH161" i="9"/>
  <c r="X156" i="9"/>
  <c r="AD156" i="9" s="1"/>
  <c r="AG147" i="9"/>
  <c r="R147" i="9"/>
  <c r="Z147" i="9" s="1"/>
  <c r="AA147" i="9" s="1"/>
  <c r="Z141" i="9"/>
  <c r="AA141" i="9" s="1"/>
  <c r="V125" i="9"/>
  <c r="X125" i="9" s="1"/>
  <c r="AD125" i="9" s="1"/>
  <c r="Y91" i="9"/>
  <c r="AG33" i="9"/>
  <c r="R33" i="9"/>
  <c r="Z33" i="9" s="1"/>
  <c r="AA33" i="9" s="1"/>
  <c r="AF33" i="9" s="1"/>
  <c r="AG27" i="9"/>
  <c r="R27" i="9"/>
  <c r="Z27" i="9" s="1"/>
  <c r="AA27" i="9" s="1"/>
  <c r="AI27" i="9" s="1"/>
  <c r="Y222" i="9"/>
  <c r="Y202" i="9"/>
  <c r="AG196" i="9"/>
  <c r="R187" i="9"/>
  <c r="Z187" i="9" s="1"/>
  <c r="AA187" i="9" s="1"/>
  <c r="AI187" i="9" s="1"/>
  <c r="X179" i="9"/>
  <c r="AD179" i="9" s="1"/>
  <c r="W171" i="9"/>
  <c r="X171" i="9" s="1"/>
  <c r="AD171" i="9" s="1"/>
  <c r="Y171" i="9"/>
  <c r="Q151" i="9"/>
  <c r="X142" i="9"/>
  <c r="Y139" i="9"/>
  <c r="S138" i="9"/>
  <c r="Q138" i="9"/>
  <c r="Z107" i="9"/>
  <c r="AA107" i="9" s="1"/>
  <c r="AH105" i="9"/>
  <c r="R68" i="9"/>
  <c r="Z68" i="9" s="1"/>
  <c r="AA68" i="9" s="1"/>
  <c r="AI68" i="9" s="1"/>
  <c r="AG68" i="9"/>
  <c r="V41" i="9"/>
  <c r="X41" i="9" s="1"/>
  <c r="AD41" i="9" s="1"/>
  <c r="Y41" i="9"/>
  <c r="AI41" i="9" s="1"/>
  <c r="Y273" i="9"/>
  <c r="Y193" i="9"/>
  <c r="AH169" i="9"/>
  <c r="AH149" i="9"/>
  <c r="X145" i="9"/>
  <c r="Y132" i="9"/>
  <c r="Q128" i="9"/>
  <c r="W113" i="9"/>
  <c r="X113" i="9" s="1"/>
  <c r="AD113" i="9" s="1"/>
  <c r="V102" i="9"/>
  <c r="X102" i="9" s="1"/>
  <c r="AD102" i="9" s="1"/>
  <c r="R82" i="9"/>
  <c r="AG82" i="9"/>
  <c r="S66" i="9"/>
  <c r="Q66" i="9"/>
  <c r="AI162" i="9"/>
  <c r="AF162" i="9"/>
  <c r="AH162" i="9"/>
  <c r="Q156" i="9"/>
  <c r="R91" i="9"/>
  <c r="Z91" i="9" s="1"/>
  <c r="AA91" i="9" s="1"/>
  <c r="AI91" i="9" s="1"/>
  <c r="AG91" i="9"/>
  <c r="AH62" i="9"/>
  <c r="Y53" i="9"/>
  <c r="AH34" i="9"/>
  <c r="AG145" i="9"/>
  <c r="R145" i="9"/>
  <c r="R135" i="9"/>
  <c r="Z135" i="9" s="1"/>
  <c r="AA135" i="9" s="1"/>
  <c r="AF135" i="9" s="1"/>
  <c r="AG135" i="9"/>
  <c r="Y118" i="9"/>
  <c r="Q115" i="9"/>
  <c r="S115" i="9"/>
  <c r="AD71" i="9"/>
  <c r="X149" i="9"/>
  <c r="AD149" i="9" s="1"/>
  <c r="AH143" i="9"/>
  <c r="AH124" i="9"/>
  <c r="R120" i="9"/>
  <c r="Z120" i="9" s="1"/>
  <c r="AA120" i="9" s="1"/>
  <c r="AG120" i="9"/>
  <c r="X118" i="9"/>
  <c r="AD118" i="9" s="1"/>
  <c r="AH103" i="9"/>
  <c r="R100" i="9"/>
  <c r="AG100" i="9"/>
  <c r="AH58" i="9"/>
  <c r="AH8" i="9"/>
  <c r="X211" i="9"/>
  <c r="AD211" i="9" s="1"/>
  <c r="S206" i="9"/>
  <c r="X199" i="9"/>
  <c r="AD199" i="9" s="1"/>
  <c r="AH146" i="9"/>
  <c r="X136" i="9"/>
  <c r="R123" i="9"/>
  <c r="Z123" i="9" s="1"/>
  <c r="AA123" i="9" s="1"/>
  <c r="AG123" i="9"/>
  <c r="R118" i="9"/>
  <c r="Z118" i="9" s="1"/>
  <c r="AA118" i="9" s="1"/>
  <c r="AI118" i="9" s="1"/>
  <c r="AG118" i="9"/>
  <c r="Y268" i="9"/>
  <c r="Y249" i="9"/>
  <c r="Y230" i="9"/>
  <c r="V203" i="9"/>
  <c r="X203" i="9" s="1"/>
  <c r="Y203" i="9" s="1"/>
  <c r="AG197" i="9"/>
  <c r="AH186" i="9"/>
  <c r="X185" i="9"/>
  <c r="AF173" i="9"/>
  <c r="AH170" i="9"/>
  <c r="W165" i="9"/>
  <c r="X165" i="9" s="1"/>
  <c r="Y165" i="9"/>
  <c r="R161" i="9"/>
  <c r="Z161" i="9" s="1"/>
  <c r="AA161" i="9" s="1"/>
  <c r="AF161" i="9" s="1"/>
  <c r="AG161" i="9"/>
  <c r="AD150" i="9"/>
  <c r="AG141" i="9"/>
  <c r="V108" i="9"/>
  <c r="X108" i="9" s="1"/>
  <c r="AD108" i="9" s="1"/>
  <c r="Y108" i="9"/>
  <c r="V96" i="9"/>
  <c r="X96" i="9" s="1"/>
  <c r="Q94" i="9"/>
  <c r="AG87" i="9"/>
  <c r="R87" i="9"/>
  <c r="Z87" i="9" s="1"/>
  <c r="AA87" i="9" s="1"/>
  <c r="S80" i="9"/>
  <c r="Q80" i="9"/>
  <c r="S75" i="9"/>
  <c r="Q75" i="9"/>
  <c r="AD62" i="9"/>
  <c r="Y62" i="9"/>
  <c r="Y36" i="9"/>
  <c r="X16" i="9"/>
  <c r="AD16" i="9" s="1"/>
  <c r="Y211" i="9"/>
  <c r="AG199" i="9"/>
  <c r="R199" i="9"/>
  <c r="Z199" i="9" s="1"/>
  <c r="AA199" i="9" s="1"/>
  <c r="AF199" i="9" s="1"/>
  <c r="X196" i="9"/>
  <c r="AD196" i="9" s="1"/>
  <c r="AG194" i="9"/>
  <c r="Y116" i="9"/>
  <c r="V116" i="9"/>
  <c r="X116" i="9" s="1"/>
  <c r="AD116" i="9" s="1"/>
  <c r="R105" i="9"/>
  <c r="Z105" i="9" s="1"/>
  <c r="AA105" i="9" s="1"/>
  <c r="AG105" i="9"/>
  <c r="AD21" i="9"/>
  <c r="Y21" i="9"/>
  <c r="AH197" i="9"/>
  <c r="Z176" i="9"/>
  <c r="AA176" i="9" s="1"/>
  <c r="AF176" i="9" s="1"/>
  <c r="V172" i="9"/>
  <c r="X172" i="9" s="1"/>
  <c r="Y172" i="9"/>
  <c r="AH163" i="9"/>
  <c r="AH159" i="9"/>
  <c r="AI159" i="9"/>
  <c r="AF159" i="9"/>
  <c r="V146" i="9"/>
  <c r="X146" i="9" s="1"/>
  <c r="AD146" i="9" s="1"/>
  <c r="V143" i="9"/>
  <c r="X143" i="9" s="1"/>
  <c r="AD143" i="9" s="1"/>
  <c r="V140" i="9"/>
  <c r="X140" i="9" s="1"/>
  <c r="AD140" i="9" s="1"/>
  <c r="AH119" i="9"/>
  <c r="Y101" i="9"/>
  <c r="AD101" i="9"/>
  <c r="X90" i="9"/>
  <c r="AD90" i="9" s="1"/>
  <c r="AD65" i="9"/>
  <c r="Y65" i="9"/>
  <c r="Q249" i="9"/>
  <c r="X230" i="9"/>
  <c r="AD230" i="9" s="1"/>
  <c r="R211" i="9"/>
  <c r="Z211" i="9" s="1"/>
  <c r="AA211" i="9" s="1"/>
  <c r="AI211" i="9" s="1"/>
  <c r="Q189" i="9"/>
  <c r="S189" i="9"/>
  <c r="Y155" i="9"/>
  <c r="Q153" i="9"/>
  <c r="S153" i="9"/>
  <c r="S149" i="9"/>
  <c r="Q149" i="9"/>
  <c r="Z143" i="9"/>
  <c r="AA143" i="9" s="1"/>
  <c r="AG136" i="9"/>
  <c r="R136" i="9"/>
  <c r="V121" i="9"/>
  <c r="X121" i="9" s="1"/>
  <c r="AD121" i="9" s="1"/>
  <c r="W90" i="9"/>
  <c r="Z83" i="9"/>
  <c r="AA83" i="9" s="1"/>
  <c r="AF83" i="9" s="1"/>
  <c r="AD76" i="9"/>
  <c r="Y76" i="9"/>
  <c r="AG44" i="9"/>
  <c r="R44" i="9"/>
  <c r="Z44" i="9" s="1"/>
  <c r="AA44" i="9" s="1"/>
  <c r="AI44" i="9" s="1"/>
  <c r="AG8" i="9"/>
  <c r="R8" i="9"/>
  <c r="Z8" i="9" s="1"/>
  <c r="AA8" i="9" s="1"/>
  <c r="AI252" i="9"/>
  <c r="Y246" i="9"/>
  <c r="AI246" i="9" s="1"/>
  <c r="Y238" i="9"/>
  <c r="Y232" i="9"/>
  <c r="AG214" i="9"/>
  <c r="AH187" i="9"/>
  <c r="AH175" i="9"/>
  <c r="X166" i="9"/>
  <c r="AD166" i="9" s="1"/>
  <c r="AH152" i="9"/>
  <c r="W106" i="9"/>
  <c r="X106" i="9" s="1"/>
  <c r="W54" i="9"/>
  <c r="X54" i="9" s="1"/>
  <c r="AD54" i="9" s="1"/>
  <c r="AH52" i="9"/>
  <c r="Q38" i="9"/>
  <c r="AG36" i="9"/>
  <c r="R36" i="9"/>
  <c r="Z36" i="9" s="1"/>
  <c r="AA36" i="9" s="1"/>
  <c r="AI36" i="9" s="1"/>
  <c r="Q208" i="9"/>
  <c r="AH184" i="9"/>
  <c r="Y183" i="9"/>
  <c r="Y177" i="9"/>
  <c r="AI177" i="9" s="1"/>
  <c r="V92" i="9"/>
  <c r="X92" i="9" s="1"/>
  <c r="AD92" i="9" s="1"/>
  <c r="Y92" i="9"/>
  <c r="AG45" i="9"/>
  <c r="R45" i="9"/>
  <c r="V85" i="9"/>
  <c r="X85" i="9" s="1"/>
  <c r="Y85" i="9"/>
  <c r="X66" i="9"/>
  <c r="AD66" i="9" s="1"/>
  <c r="AH40" i="9"/>
  <c r="AH28" i="9"/>
  <c r="W117" i="9"/>
  <c r="X117" i="9" s="1"/>
  <c r="V111" i="9"/>
  <c r="X111" i="9" s="1"/>
  <c r="AD111" i="9" s="1"/>
  <c r="Y111" i="9"/>
  <c r="AG102" i="9"/>
  <c r="R102" i="9"/>
  <c r="V56" i="9"/>
  <c r="X56" i="9" s="1"/>
  <c r="AD56" i="9" s="1"/>
  <c r="Y56" i="9"/>
  <c r="S48" i="9"/>
  <c r="W28" i="9"/>
  <c r="X28" i="9" s="1"/>
  <c r="AG54" i="9"/>
  <c r="R54" i="9"/>
  <c r="Z54" i="9" s="1"/>
  <c r="AA54" i="9" s="1"/>
  <c r="AG48" i="9"/>
  <c r="R48" i="9"/>
  <c r="Z48" i="9" s="1"/>
  <c r="AA48" i="9" s="1"/>
  <c r="AI48" i="9" s="1"/>
  <c r="AG42" i="9"/>
  <c r="R42" i="9"/>
  <c r="Q30" i="9"/>
  <c r="S30" i="9"/>
  <c r="Y14" i="9"/>
  <c r="AD14" i="9"/>
  <c r="W12" i="9"/>
  <c r="X12" i="9" s="1"/>
  <c r="AD12" i="9" s="1"/>
  <c r="Y12" i="9"/>
  <c r="Y255" i="9"/>
  <c r="Y243" i="9"/>
  <c r="Q225" i="9"/>
  <c r="Q217" i="9"/>
  <c r="S217" i="9"/>
  <c r="AH209" i="9"/>
  <c r="AH160" i="9"/>
  <c r="Q157" i="9"/>
  <c r="Q139" i="9"/>
  <c r="W135" i="9"/>
  <c r="Y135" i="9"/>
  <c r="Z98" i="9"/>
  <c r="AA98" i="9" s="1"/>
  <c r="AH89" i="9"/>
  <c r="AH82" i="9"/>
  <c r="R12" i="9"/>
  <c r="Z12" i="9" s="1"/>
  <c r="AA12" i="9" s="1"/>
  <c r="AF12" i="9" s="1"/>
  <c r="AG12" i="9"/>
  <c r="AH43" i="9"/>
  <c r="Y199" i="9"/>
  <c r="X133" i="9"/>
  <c r="Y119" i="9"/>
  <c r="AD119" i="9"/>
  <c r="W103" i="9"/>
  <c r="X103" i="9" s="1"/>
  <c r="W100" i="9"/>
  <c r="AH98" i="9"/>
  <c r="AD95" i="9"/>
  <c r="Y95" i="9"/>
  <c r="AH86" i="9"/>
  <c r="Q25" i="9"/>
  <c r="S25" i="9"/>
  <c r="X11" i="9"/>
  <c r="AD11" i="9" s="1"/>
  <c r="Y201" i="9"/>
  <c r="Y197" i="9"/>
  <c r="Y194" i="9"/>
  <c r="V126" i="9"/>
  <c r="X126" i="9" s="1"/>
  <c r="Y126" i="9"/>
  <c r="W122" i="9"/>
  <c r="X122" i="9" s="1"/>
  <c r="Q114" i="9"/>
  <c r="AH107" i="9"/>
  <c r="AF107" i="9"/>
  <c r="X100" i="9"/>
  <c r="AD100" i="9" s="1"/>
  <c r="Q97" i="9"/>
  <c r="AH64" i="9"/>
  <c r="Q50" i="9"/>
  <c r="AG47" i="9"/>
  <c r="R47" i="9"/>
  <c r="Z47" i="9" s="1"/>
  <c r="AA47" i="9" s="1"/>
  <c r="R43" i="9"/>
  <c r="Z43" i="9" s="1"/>
  <c r="AA43" i="9" s="1"/>
  <c r="AG43" i="9"/>
  <c r="R13" i="9"/>
  <c r="Z13" i="9" s="1"/>
  <c r="AA13" i="9" s="1"/>
  <c r="AI13" i="9" s="1"/>
  <c r="AG13" i="9"/>
  <c r="W39" i="9"/>
  <c r="X39" i="9" s="1"/>
  <c r="V37" i="9"/>
  <c r="X37" i="9" s="1"/>
  <c r="AD37" i="9" s="1"/>
  <c r="Y37" i="9"/>
  <c r="Y175" i="9"/>
  <c r="X144" i="9"/>
  <c r="Q122" i="9"/>
  <c r="V86" i="9"/>
  <c r="X86" i="9" s="1"/>
  <c r="AD86" i="9" s="1"/>
  <c r="Y86" i="9"/>
  <c r="AD26" i="9"/>
  <c r="Y26" i="9"/>
  <c r="Y176" i="9"/>
  <c r="Q154" i="9"/>
  <c r="Y144" i="9"/>
  <c r="Z95" i="9"/>
  <c r="AA95" i="9" s="1"/>
  <c r="AI95" i="9" s="1"/>
  <c r="R86" i="9"/>
  <c r="Z86" i="9" s="1"/>
  <c r="AA86" i="9" s="1"/>
  <c r="AF86" i="9" s="1"/>
  <c r="AG86" i="9"/>
  <c r="V77" i="9"/>
  <c r="X77" i="9" s="1"/>
  <c r="AD77" i="9" s="1"/>
  <c r="R69" i="9"/>
  <c r="Z69" i="9" s="1"/>
  <c r="AA69" i="9" s="1"/>
  <c r="AI69" i="9" s="1"/>
  <c r="AG69" i="9"/>
  <c r="X67" i="9"/>
  <c r="AH46" i="9"/>
  <c r="AH42" i="9"/>
  <c r="V124" i="9"/>
  <c r="X124" i="9" s="1"/>
  <c r="AD124" i="9" s="1"/>
  <c r="AF109" i="9"/>
  <c r="AH91" i="9"/>
  <c r="R64" i="9"/>
  <c r="Z64" i="9" s="1"/>
  <c r="AA64" i="9" s="1"/>
  <c r="AF64" i="9" s="1"/>
  <c r="AG64" i="9"/>
  <c r="AH60" i="9"/>
  <c r="W42" i="9"/>
  <c r="V29" i="9"/>
  <c r="X29" i="9" s="1"/>
  <c r="AD29" i="9" s="1"/>
  <c r="Q164" i="9"/>
  <c r="Y156" i="9"/>
  <c r="Y120" i="9"/>
  <c r="Z93" i="9"/>
  <c r="AA93" i="9" s="1"/>
  <c r="AI93" i="9" s="1"/>
  <c r="Q81" i="9"/>
  <c r="AH55" i="9"/>
  <c r="AH112" i="9"/>
  <c r="R109" i="9"/>
  <c r="Z109" i="9" s="1"/>
  <c r="AA109" i="9" s="1"/>
  <c r="AG109" i="9"/>
  <c r="AH96" i="9"/>
  <c r="AF93" i="9"/>
  <c r="AH93" i="9"/>
  <c r="X78" i="9"/>
  <c r="AD78" i="9" s="1"/>
  <c r="AH69" i="9"/>
  <c r="AH63" i="9"/>
  <c r="X49" i="9"/>
  <c r="AD49" i="9" s="1"/>
  <c r="AH32" i="9"/>
  <c r="Q16" i="9"/>
  <c r="R9" i="9"/>
  <c r="X20" i="9"/>
  <c r="AD20" i="9" s="1"/>
  <c r="AH67" i="9"/>
  <c r="AH61" i="9"/>
  <c r="AH53" i="9"/>
  <c r="V44" i="9"/>
  <c r="X44" i="9" s="1"/>
  <c r="AD44" i="9" s="1"/>
  <c r="Y44" i="9"/>
  <c r="R34" i="9"/>
  <c r="AG34" i="9"/>
  <c r="W32" i="9"/>
  <c r="X32" i="9" s="1"/>
  <c r="AD32" i="9" s="1"/>
  <c r="Y32" i="9"/>
  <c r="R14" i="9"/>
  <c r="Z14" i="9" s="1"/>
  <c r="AA14" i="9" s="1"/>
  <c r="AG14" i="9"/>
  <c r="AH97" i="9"/>
  <c r="S57" i="9"/>
  <c r="Q57" i="9"/>
  <c r="AH30" i="9"/>
  <c r="X24" i="9"/>
  <c r="Z24" i="9" s="1"/>
  <c r="AA24" i="9" s="1"/>
  <c r="AD15" i="9"/>
  <c r="AG37" i="9"/>
  <c r="R37" i="9"/>
  <c r="Z37" i="9" s="1"/>
  <c r="AA37" i="9" s="1"/>
  <c r="Y169" i="9"/>
  <c r="Q166" i="9"/>
  <c r="AH84" i="9"/>
  <c r="AD64" i="9"/>
  <c r="Y64" i="9"/>
  <c r="X35" i="9"/>
  <c r="W45" i="9"/>
  <c r="X45" i="9" s="1"/>
  <c r="AD45" i="9" s="1"/>
  <c r="Y45" i="9"/>
  <c r="AH104" i="9"/>
  <c r="X73" i="9"/>
  <c r="S72" i="9"/>
  <c r="Q72" i="9"/>
  <c r="V55" i="9"/>
  <c r="X55" i="9" s="1"/>
  <c r="AD55" i="9" s="1"/>
  <c r="Q39" i="9"/>
  <c r="Z31" i="9"/>
  <c r="AA31" i="9" s="1"/>
  <c r="Q28" i="9"/>
  <c r="X98" i="9"/>
  <c r="V83" i="9"/>
  <c r="X83" i="9" s="1"/>
  <c r="AD83" i="9" s="1"/>
  <c r="Y83" i="9"/>
  <c r="Q77" i="9"/>
  <c r="AH71" i="9"/>
  <c r="X40" i="9"/>
  <c r="AD40" i="9" s="1"/>
  <c r="AH23" i="9"/>
  <c r="Y18" i="9"/>
  <c r="AI130" i="9"/>
  <c r="AF130" i="9"/>
  <c r="AH130" i="9"/>
  <c r="X123" i="9"/>
  <c r="AD123" i="9" s="1"/>
  <c r="X105" i="9"/>
  <c r="R104" i="9"/>
  <c r="Z104" i="9" s="1"/>
  <c r="AA104" i="9" s="1"/>
  <c r="AI104" i="9" s="1"/>
  <c r="AG104" i="9"/>
  <c r="V99" i="9"/>
  <c r="X99" i="9" s="1"/>
  <c r="AD99" i="9" s="1"/>
  <c r="Y99" i="9"/>
  <c r="V84" i="9"/>
  <c r="X84" i="9" s="1"/>
  <c r="AD84" i="9" s="1"/>
  <c r="Y84" i="9"/>
  <c r="AH72" i="9"/>
  <c r="Z59" i="9"/>
  <c r="AA59" i="9" s="1"/>
  <c r="AF59" i="9" s="1"/>
  <c r="Z53" i="9"/>
  <c r="AA53" i="9" s="1"/>
  <c r="AI53" i="9" s="1"/>
  <c r="AG40" i="9"/>
  <c r="R40" i="9"/>
  <c r="Z40" i="9" s="1"/>
  <c r="AA40" i="9" s="1"/>
  <c r="AI40" i="9" s="1"/>
  <c r="Y10" i="9"/>
  <c r="Q202" i="9"/>
  <c r="AH135" i="9"/>
  <c r="Y123" i="9"/>
  <c r="V94" i="9"/>
  <c r="X94" i="9" s="1"/>
  <c r="AD94" i="9" s="1"/>
  <c r="Y94" i="9"/>
  <c r="W89" i="9"/>
  <c r="X89" i="9" s="1"/>
  <c r="AD89" i="9" s="1"/>
  <c r="AG61" i="9"/>
  <c r="Q56" i="9"/>
  <c r="S56" i="9"/>
  <c r="AH44" i="9"/>
  <c r="Z26" i="9"/>
  <c r="AA26" i="9" s="1"/>
  <c r="Y19" i="9"/>
  <c r="S15" i="9"/>
  <c r="Q15" i="9"/>
  <c r="X8" i="9"/>
  <c r="AD8" i="9" s="1"/>
  <c r="X79" i="9"/>
  <c r="AH65" i="9"/>
  <c r="W60" i="9"/>
  <c r="X60" i="9" s="1"/>
  <c r="AD60" i="9" s="1"/>
  <c r="Y60" i="9"/>
  <c r="S109" i="9"/>
  <c r="Y52" i="9"/>
  <c r="AH39" i="9"/>
  <c r="AH35" i="9"/>
  <c r="V30" i="9"/>
  <c r="X30" i="9" s="1"/>
  <c r="AD30" i="9" s="1"/>
  <c r="Y30" i="9"/>
  <c r="AI83" i="9"/>
  <c r="AH83" i="9"/>
  <c r="X81" i="9"/>
  <c r="AD81" i="9" s="1"/>
  <c r="X61" i="9"/>
  <c r="Y46" i="9"/>
  <c r="X42" i="9"/>
  <c r="AD42" i="9" s="1"/>
  <c r="AG41" i="9"/>
  <c r="R41" i="9"/>
  <c r="Z41" i="9" s="1"/>
  <c r="AA41" i="9" s="1"/>
  <c r="AF41" i="9" s="1"/>
  <c r="V25" i="9"/>
  <c r="X25" i="9" s="1"/>
  <c r="AD25" i="9" s="1"/>
  <c r="Y25" i="9"/>
  <c r="Y11" i="9"/>
  <c r="V74" i="9"/>
  <c r="X74" i="9" s="1"/>
  <c r="AD74" i="9" s="1"/>
  <c r="Y74" i="9"/>
  <c r="Q67" i="9"/>
  <c r="X58" i="9"/>
  <c r="AD58" i="9" s="1"/>
  <c r="Y57" i="9"/>
  <c r="Y47" i="9"/>
  <c r="AI47" i="9" s="1"/>
  <c r="X43" i="9"/>
  <c r="W16" i="9"/>
  <c r="Y16" i="9"/>
  <c r="X70" i="9"/>
  <c r="AD70" i="9" s="1"/>
  <c r="Z62" i="9"/>
  <c r="AA62" i="9" s="1"/>
  <c r="AI62" i="9" s="1"/>
  <c r="AH59" i="9"/>
  <c r="Q21" i="9"/>
  <c r="Y40" i="9"/>
  <c r="X34" i="9"/>
  <c r="Q23" i="9"/>
  <c r="Y13" i="9"/>
  <c r="Q111" i="9"/>
  <c r="Q110" i="9"/>
  <c r="Y104" i="9"/>
  <c r="Y78" i="9"/>
  <c r="AH38" i="9"/>
  <c r="W8" i="9"/>
  <c r="Q108" i="9"/>
  <c r="W81" i="9"/>
  <c r="V80" i="9"/>
  <c r="X80" i="9" s="1"/>
  <c r="AD80" i="9" s="1"/>
  <c r="Y80" i="9"/>
  <c r="Q70" i="9"/>
  <c r="W58" i="9"/>
  <c r="Y58" i="9"/>
  <c r="W9" i="9"/>
  <c r="X9" i="9" s="1"/>
  <c r="AH47" i="9"/>
  <c r="Q10" i="9"/>
  <c r="Q35" i="9"/>
  <c r="Q17" i="9"/>
  <c r="AF36" i="9"/>
  <c r="Q29" i="9"/>
  <c r="Q11" i="9"/>
  <c r="R55" i="9" l="1"/>
  <c r="R84" i="9"/>
  <c r="Z84" i="9" s="1"/>
  <c r="AA84" i="9" s="1"/>
  <c r="R46" i="9"/>
  <c r="Z46" i="9" s="1"/>
  <c r="AA46" i="9" s="1"/>
  <c r="AG46" i="9"/>
  <c r="R124" i="9"/>
  <c r="AF46" i="9"/>
  <c r="AI33" i="9"/>
  <c r="AG88" i="9"/>
  <c r="AG79" i="9"/>
  <c r="AG78" i="9"/>
  <c r="R131" i="9"/>
  <c r="Z131" i="9" s="1"/>
  <c r="AA131" i="9" s="1"/>
  <c r="AI131" i="9" s="1"/>
  <c r="AG133" i="9"/>
  <c r="AF27" i="9"/>
  <c r="R116" i="9"/>
  <c r="Z116" i="9" s="1"/>
  <c r="AA116" i="9" s="1"/>
  <c r="AF116" i="9" s="1"/>
  <c r="AG51" i="9"/>
  <c r="AI193" i="9"/>
  <c r="AF278" i="9"/>
  <c r="R190" i="9"/>
  <c r="Z190" i="9" s="1"/>
  <c r="AA190" i="9" s="1"/>
  <c r="AI190" i="9" s="1"/>
  <c r="AG190" i="9"/>
  <c r="AI12" i="9"/>
  <c r="AI52" i="9"/>
  <c r="R63" i="9"/>
  <c r="Z63" i="9" s="1"/>
  <c r="AA63" i="9" s="1"/>
  <c r="AF63" i="9" s="1"/>
  <c r="AG73" i="9"/>
  <c r="AI64" i="9"/>
  <c r="AF243" i="9"/>
  <c r="AF119" i="9"/>
  <c r="AI119" i="9"/>
  <c r="AF188" i="9"/>
  <c r="AI188" i="9"/>
  <c r="AG180" i="9"/>
  <c r="AG272" i="9"/>
  <c r="AG65" i="9"/>
  <c r="R65" i="9"/>
  <c r="Z65" i="9" s="1"/>
  <c r="AA65" i="9" s="1"/>
  <c r="AG132" i="9"/>
  <c r="R201" i="9"/>
  <c r="Z201" i="9" s="1"/>
  <c r="AA201" i="9" s="1"/>
  <c r="AI201" i="9" s="1"/>
  <c r="AI245" i="9"/>
  <c r="AG71" i="9"/>
  <c r="R71" i="9"/>
  <c r="Z71" i="9" s="1"/>
  <c r="AA71" i="9" s="1"/>
  <c r="AF71" i="9" s="1"/>
  <c r="AG170" i="9"/>
  <c r="R160" i="9"/>
  <c r="Z160" i="9" s="1"/>
  <c r="AA160" i="9" s="1"/>
  <c r="AI160" i="9" s="1"/>
  <c r="AI26" i="9"/>
  <c r="AI194" i="9"/>
  <c r="R184" i="9"/>
  <c r="Z184" i="9" s="1"/>
  <c r="AA184" i="9" s="1"/>
  <c r="AI184" i="9" s="1"/>
  <c r="AF91" i="9"/>
  <c r="R175" i="9"/>
  <c r="Z175" i="9" s="1"/>
  <c r="AA175" i="9" s="1"/>
  <c r="AI175" i="9" s="1"/>
  <c r="AG175" i="9"/>
  <c r="AI180" i="9"/>
  <c r="AG227" i="9"/>
  <c r="R227" i="9"/>
  <c r="Z227" i="9" s="1"/>
  <c r="AA227" i="9" s="1"/>
  <c r="AG174" i="9"/>
  <c r="R174" i="9"/>
  <c r="Z174" i="9" s="1"/>
  <c r="AA174" i="9" s="1"/>
  <c r="AF272" i="9"/>
  <c r="AF187" i="9"/>
  <c r="AF219" i="9"/>
  <c r="R263" i="9"/>
  <c r="Z263" i="9" s="1"/>
  <c r="AA263" i="9" s="1"/>
  <c r="AG263" i="9"/>
  <c r="R20" i="9"/>
  <c r="Z20" i="9" s="1"/>
  <c r="AA20" i="9" s="1"/>
  <c r="AG20" i="9"/>
  <c r="AG129" i="9"/>
  <c r="AG22" i="9"/>
  <c r="R22" i="9"/>
  <c r="Z22" i="9" s="1"/>
  <c r="AA22" i="9" s="1"/>
  <c r="R262" i="9"/>
  <c r="Z262" i="9" s="1"/>
  <c r="AA262" i="9" s="1"/>
  <c r="AG262" i="9"/>
  <c r="AI109" i="9"/>
  <c r="AG244" i="9"/>
  <c r="R244" i="9"/>
  <c r="Z244" i="9" s="1"/>
  <c r="AA244" i="9" s="1"/>
  <c r="AI120" i="9"/>
  <c r="AG113" i="9"/>
  <c r="AI232" i="9"/>
  <c r="R239" i="9"/>
  <c r="Z239" i="9" s="1"/>
  <c r="AA239" i="9" s="1"/>
  <c r="AF239" i="9" s="1"/>
  <c r="AG239" i="9"/>
  <c r="AI135" i="9"/>
  <c r="AI226" i="9"/>
  <c r="R219" i="9"/>
  <c r="Z219" i="9" s="1"/>
  <c r="AA219" i="9" s="1"/>
  <c r="AG219" i="9"/>
  <c r="R148" i="9"/>
  <c r="Z148" i="9" s="1"/>
  <c r="AA148" i="9" s="1"/>
  <c r="R172" i="9"/>
  <c r="Z172" i="9" s="1"/>
  <c r="AA172" i="9" s="1"/>
  <c r="AG172" i="9"/>
  <c r="AG119" i="9"/>
  <c r="AF76" i="9"/>
  <c r="AF206" i="9"/>
  <c r="AG188" i="9"/>
  <c r="AI63" i="9"/>
  <c r="AG231" i="9"/>
  <c r="R231" i="9"/>
  <c r="Z231" i="9" s="1"/>
  <c r="AA231" i="9" s="1"/>
  <c r="AI231" i="9" s="1"/>
  <c r="AF62" i="9"/>
  <c r="AF233" i="9"/>
  <c r="R240" i="9"/>
  <c r="Z240" i="9" s="1"/>
  <c r="AA240" i="9" s="1"/>
  <c r="AF240" i="9" s="1"/>
  <c r="AG240" i="9"/>
  <c r="AG32" i="9"/>
  <c r="R32" i="9"/>
  <c r="Z32" i="9" s="1"/>
  <c r="AA32" i="9" s="1"/>
  <c r="AD39" i="9"/>
  <c r="Y39" i="9"/>
  <c r="AD122" i="9"/>
  <c r="Y122" i="9"/>
  <c r="AD117" i="9"/>
  <c r="Y117" i="9"/>
  <c r="Z117" i="9"/>
  <c r="AA117" i="9" s="1"/>
  <c r="AD205" i="9"/>
  <c r="Y205" i="9"/>
  <c r="AD103" i="9"/>
  <c r="Y103" i="9"/>
  <c r="AD9" i="9"/>
  <c r="Y9" i="9"/>
  <c r="AD106" i="9"/>
  <c r="Y106" i="9"/>
  <c r="AF267" i="9"/>
  <c r="AD28" i="9"/>
  <c r="Y28" i="9"/>
  <c r="AF43" i="9"/>
  <c r="AD82" i="9"/>
  <c r="Y82" i="9"/>
  <c r="AD61" i="9"/>
  <c r="Y61" i="9"/>
  <c r="Z61" i="9"/>
  <c r="AA61" i="9" s="1"/>
  <c r="R166" i="9"/>
  <c r="Z166" i="9" s="1"/>
  <c r="AA166" i="9" s="1"/>
  <c r="AG166" i="9"/>
  <c r="AF160" i="9"/>
  <c r="Z42" i="9"/>
  <c r="AA42" i="9" s="1"/>
  <c r="R149" i="9"/>
  <c r="Z149" i="9" s="1"/>
  <c r="AA149" i="9" s="1"/>
  <c r="AG149" i="9"/>
  <c r="R128" i="9"/>
  <c r="Z128" i="9" s="1"/>
  <c r="AA128" i="9" s="1"/>
  <c r="AG128" i="9"/>
  <c r="AI176" i="9"/>
  <c r="Z158" i="9"/>
  <c r="AA158" i="9" s="1"/>
  <c r="Z257" i="9"/>
  <c r="AA257" i="9" s="1"/>
  <c r="R237" i="9"/>
  <c r="Z237" i="9" s="1"/>
  <c r="AA237" i="9" s="1"/>
  <c r="AG237" i="9"/>
  <c r="AF180" i="9"/>
  <c r="R157" i="9"/>
  <c r="Z157" i="9" s="1"/>
  <c r="AA157" i="9" s="1"/>
  <c r="AG157" i="9"/>
  <c r="AD96" i="9"/>
  <c r="Z96" i="9"/>
  <c r="AA96" i="9" s="1"/>
  <c r="AF133" i="9"/>
  <c r="R277" i="9"/>
  <c r="Z277" i="9" s="1"/>
  <c r="AA277" i="9" s="1"/>
  <c r="AG277" i="9"/>
  <c r="AF68" i="9"/>
  <c r="AG39" i="9"/>
  <c r="R39" i="9"/>
  <c r="Z39" i="9" s="1"/>
  <c r="AA39" i="9" s="1"/>
  <c r="AG30" i="9"/>
  <c r="R30" i="9"/>
  <c r="Z30" i="9" s="1"/>
  <c r="AA30" i="9" s="1"/>
  <c r="R74" i="9"/>
  <c r="Z74" i="9" s="1"/>
  <c r="AA74" i="9" s="1"/>
  <c r="AG74" i="9"/>
  <c r="Z113" i="9"/>
  <c r="AA113" i="9" s="1"/>
  <c r="AG209" i="9"/>
  <c r="R209" i="9"/>
  <c r="Z209" i="9" s="1"/>
  <c r="AA209" i="9" s="1"/>
  <c r="AF245" i="9"/>
  <c r="AF168" i="9"/>
  <c r="AI168" i="9"/>
  <c r="Z106" i="9"/>
  <c r="AA106" i="9" s="1"/>
  <c r="AI179" i="9"/>
  <c r="AG230" i="9"/>
  <c r="R230" i="9"/>
  <c r="Z230" i="9" s="1"/>
  <c r="AA230" i="9" s="1"/>
  <c r="AF256" i="9"/>
  <c r="AF48" i="9"/>
  <c r="AG110" i="9"/>
  <c r="R110" i="9"/>
  <c r="Z110" i="9" s="1"/>
  <c r="AA110" i="9" s="1"/>
  <c r="AD43" i="9"/>
  <c r="AI43" i="9" s="1"/>
  <c r="Y43" i="9"/>
  <c r="Y89" i="9"/>
  <c r="Y55" i="9"/>
  <c r="Y124" i="9"/>
  <c r="R114" i="9"/>
  <c r="Z114" i="9" s="1"/>
  <c r="AA114" i="9" s="1"/>
  <c r="AG114" i="9"/>
  <c r="AF178" i="9"/>
  <c r="Z55" i="9"/>
  <c r="AA55" i="9" s="1"/>
  <c r="AI76" i="9"/>
  <c r="AF101" i="9"/>
  <c r="AI101" i="9"/>
  <c r="AI51" i="9"/>
  <c r="AF51" i="9"/>
  <c r="Y254" i="9"/>
  <c r="AI278" i="9"/>
  <c r="Y208" i="9"/>
  <c r="Y158" i="9"/>
  <c r="Z90" i="9"/>
  <c r="AA90" i="9" s="1"/>
  <c r="R11" i="9"/>
  <c r="Z11" i="9" s="1"/>
  <c r="AA11" i="9" s="1"/>
  <c r="AG11" i="9"/>
  <c r="AD79" i="9"/>
  <c r="Y79" i="9"/>
  <c r="Y73" i="9"/>
  <c r="AD73" i="9"/>
  <c r="AI37" i="9"/>
  <c r="AF37" i="9"/>
  <c r="R16" i="9"/>
  <c r="Z16" i="9" s="1"/>
  <c r="AA16" i="9" s="1"/>
  <c r="AG16" i="9"/>
  <c r="AG164" i="9"/>
  <c r="R164" i="9"/>
  <c r="Z164" i="9" s="1"/>
  <c r="AA164" i="9" s="1"/>
  <c r="Y100" i="9"/>
  <c r="AI107" i="9"/>
  <c r="AI192" i="9"/>
  <c r="AF192" i="9"/>
  <c r="AG265" i="9"/>
  <c r="R265" i="9"/>
  <c r="Z265" i="9" s="1"/>
  <c r="AA265" i="9" s="1"/>
  <c r="R169" i="9"/>
  <c r="Z169" i="9" s="1"/>
  <c r="AA169" i="9" s="1"/>
  <c r="AG169" i="9"/>
  <c r="AF222" i="9"/>
  <c r="AF228" i="9"/>
  <c r="AI228" i="9"/>
  <c r="AF218" i="9"/>
  <c r="AI218" i="9"/>
  <c r="R23" i="9"/>
  <c r="Z23" i="9" s="1"/>
  <c r="AA23" i="9" s="1"/>
  <c r="AG23" i="9"/>
  <c r="AF78" i="9"/>
  <c r="AF47" i="9"/>
  <c r="AD126" i="9"/>
  <c r="Z126" i="9"/>
  <c r="AA126" i="9" s="1"/>
  <c r="Z100" i="9"/>
  <c r="AA100" i="9" s="1"/>
  <c r="R115" i="9"/>
  <c r="Z115" i="9" s="1"/>
  <c r="AA115" i="9" s="1"/>
  <c r="AG115" i="9"/>
  <c r="R156" i="9"/>
  <c r="Z156" i="9" s="1"/>
  <c r="AA156" i="9" s="1"/>
  <c r="AG156" i="9"/>
  <c r="AF118" i="9"/>
  <c r="Z79" i="9"/>
  <c r="AA79" i="9" s="1"/>
  <c r="AF171" i="9"/>
  <c r="AI171" i="9"/>
  <c r="Z99" i="9"/>
  <c r="AA99" i="9" s="1"/>
  <c r="AI167" i="9"/>
  <c r="AG198" i="9"/>
  <c r="R198" i="9"/>
  <c r="Z198" i="9" s="1"/>
  <c r="AA198" i="9" s="1"/>
  <c r="AF258" i="9"/>
  <c r="AI197" i="9"/>
  <c r="AI268" i="9"/>
  <c r="Y256" i="9"/>
  <c r="AI256" i="9" s="1"/>
  <c r="R111" i="9"/>
  <c r="Z111" i="9" s="1"/>
  <c r="AA111" i="9" s="1"/>
  <c r="AG111" i="9"/>
  <c r="AI73" i="9"/>
  <c r="AF73" i="9"/>
  <c r="Z124" i="9"/>
  <c r="AA124" i="9" s="1"/>
  <c r="AG236" i="9"/>
  <c r="R236" i="9"/>
  <c r="Z236" i="9" s="1"/>
  <c r="AA236" i="9" s="1"/>
  <c r="AG29" i="9"/>
  <c r="R29" i="9"/>
  <c r="Z29" i="9" s="1"/>
  <c r="AA29" i="9" s="1"/>
  <c r="R70" i="9"/>
  <c r="Z70" i="9" s="1"/>
  <c r="AA70" i="9" s="1"/>
  <c r="AG70" i="9"/>
  <c r="AD34" i="9"/>
  <c r="Y34" i="9"/>
  <c r="Z34" i="9"/>
  <c r="AA34" i="9" s="1"/>
  <c r="Y29" i="9"/>
  <c r="AG208" i="9"/>
  <c r="R208" i="9"/>
  <c r="Z208" i="9" s="1"/>
  <c r="AA208" i="9" s="1"/>
  <c r="AI129" i="9"/>
  <c r="AF129" i="9"/>
  <c r="AD165" i="9"/>
  <c r="Z165" i="9"/>
  <c r="AA165" i="9" s="1"/>
  <c r="AF123" i="9"/>
  <c r="AI123" i="9"/>
  <c r="Y125" i="9"/>
  <c r="AI125" i="9" s="1"/>
  <c r="AF125" i="9"/>
  <c r="Y227" i="9"/>
  <c r="Y224" i="9"/>
  <c r="AI224" i="9" s="1"/>
  <c r="Y214" i="9"/>
  <c r="Y204" i="9"/>
  <c r="AI199" i="9"/>
  <c r="AF248" i="9"/>
  <c r="AI248" i="9"/>
  <c r="R213" i="9"/>
  <c r="Z213" i="9" s="1"/>
  <c r="AA213" i="9" s="1"/>
  <c r="AG213" i="9"/>
  <c r="AD24" i="9"/>
  <c r="AI24" i="9" s="1"/>
  <c r="Y24" i="9"/>
  <c r="AF24" i="9" s="1"/>
  <c r="R50" i="9"/>
  <c r="Z50" i="9" s="1"/>
  <c r="AA50" i="9" s="1"/>
  <c r="AG50" i="9"/>
  <c r="AG217" i="9"/>
  <c r="R217" i="9"/>
  <c r="Z217" i="9" s="1"/>
  <c r="AA217" i="9" s="1"/>
  <c r="AI88" i="9"/>
  <c r="R189" i="9"/>
  <c r="Z189" i="9" s="1"/>
  <c r="AA189" i="9" s="1"/>
  <c r="AG189" i="9"/>
  <c r="AG75" i="9"/>
  <c r="R75" i="9"/>
  <c r="Z75" i="9" s="1"/>
  <c r="AA75" i="9" s="1"/>
  <c r="AD136" i="9"/>
  <c r="Y136" i="9"/>
  <c r="AG181" i="9"/>
  <c r="R181" i="9"/>
  <c r="Z181" i="9" s="1"/>
  <c r="AA181" i="9" s="1"/>
  <c r="AI264" i="9"/>
  <c r="AI261" i="9"/>
  <c r="AF261" i="9"/>
  <c r="AI272" i="9"/>
  <c r="AF184" i="9"/>
  <c r="AI274" i="9"/>
  <c r="Y145" i="9"/>
  <c r="AD145" i="9"/>
  <c r="AG229" i="9"/>
  <c r="R229" i="9"/>
  <c r="Z229" i="9" s="1"/>
  <c r="AA229" i="9" s="1"/>
  <c r="AG17" i="9"/>
  <c r="R17" i="9"/>
  <c r="Z17" i="9" s="1"/>
  <c r="AA17" i="9" s="1"/>
  <c r="Y42" i="9"/>
  <c r="AI46" i="9"/>
  <c r="AG225" i="9"/>
  <c r="R225" i="9"/>
  <c r="Z225" i="9" s="1"/>
  <c r="AA225" i="9" s="1"/>
  <c r="Y140" i="9"/>
  <c r="AF132" i="9"/>
  <c r="AI132" i="9"/>
  <c r="AF141" i="9"/>
  <c r="AI141" i="9"/>
  <c r="AI219" i="9"/>
  <c r="Y251" i="9"/>
  <c r="AI251" i="9" s="1"/>
  <c r="Z205" i="9"/>
  <c r="AA205" i="9" s="1"/>
  <c r="AG138" i="9"/>
  <c r="R138" i="9"/>
  <c r="Z138" i="9" s="1"/>
  <c r="AA138" i="9" s="1"/>
  <c r="Y81" i="9"/>
  <c r="R77" i="9"/>
  <c r="Z77" i="9" s="1"/>
  <c r="AA77" i="9" s="1"/>
  <c r="AG77" i="9"/>
  <c r="Y49" i="9"/>
  <c r="AF49" i="9" s="1"/>
  <c r="AG122" i="9"/>
  <c r="R122" i="9"/>
  <c r="Z122" i="9" s="1"/>
  <c r="AA122" i="9" s="1"/>
  <c r="AG38" i="9"/>
  <c r="R38" i="9"/>
  <c r="Z38" i="9" s="1"/>
  <c r="AA38" i="9" s="1"/>
  <c r="Z196" i="9"/>
  <c r="AA196" i="9" s="1"/>
  <c r="R80" i="9"/>
  <c r="Z80" i="9" s="1"/>
  <c r="AA80" i="9" s="1"/>
  <c r="AG80" i="9"/>
  <c r="AD185" i="9"/>
  <c r="Y185" i="9"/>
  <c r="Z185" i="9"/>
  <c r="AA185" i="9" s="1"/>
  <c r="AG66" i="9"/>
  <c r="R66" i="9"/>
  <c r="Z66" i="9" s="1"/>
  <c r="AA66" i="9" s="1"/>
  <c r="AI147" i="9"/>
  <c r="AF147" i="9"/>
  <c r="Y20" i="9"/>
  <c r="AD174" i="9"/>
  <c r="Y174" i="9"/>
  <c r="AF252" i="9"/>
  <c r="Z204" i="9"/>
  <c r="AA204" i="9" s="1"/>
  <c r="AF210" i="9"/>
  <c r="AI210" i="9"/>
  <c r="AI18" i="9"/>
  <c r="AG35" i="9"/>
  <c r="R35" i="9"/>
  <c r="Z35" i="9" s="1"/>
  <c r="AA35" i="9" s="1"/>
  <c r="AG21" i="9"/>
  <c r="R21" i="9"/>
  <c r="Z21" i="9" s="1"/>
  <c r="AA21" i="9" s="1"/>
  <c r="AF26" i="9"/>
  <c r="AF53" i="9"/>
  <c r="Y67" i="9"/>
  <c r="AD67" i="9"/>
  <c r="AD144" i="9"/>
  <c r="Z144" i="9"/>
  <c r="AA144" i="9" s="1"/>
  <c r="AD85" i="9"/>
  <c r="Z85" i="9"/>
  <c r="AA85" i="9" s="1"/>
  <c r="Y90" i="9"/>
  <c r="Y143" i="9"/>
  <c r="Y142" i="9"/>
  <c r="AD142" i="9"/>
  <c r="AI266" i="9"/>
  <c r="AF31" i="9"/>
  <c r="AG220" i="9"/>
  <c r="R220" i="9"/>
  <c r="Z220" i="9" s="1"/>
  <c r="AA220" i="9" s="1"/>
  <c r="AI155" i="9"/>
  <c r="Z234" i="9"/>
  <c r="AA234" i="9" s="1"/>
  <c r="Z250" i="9"/>
  <c r="AA250" i="9" s="1"/>
  <c r="AF259" i="9"/>
  <c r="R10" i="9"/>
  <c r="Z10" i="9" s="1"/>
  <c r="AA10" i="9" s="1"/>
  <c r="AG10" i="9"/>
  <c r="AF137" i="9"/>
  <c r="AF104" i="9"/>
  <c r="AG57" i="9"/>
  <c r="R57" i="9"/>
  <c r="Z57" i="9" s="1"/>
  <c r="AA57" i="9" s="1"/>
  <c r="AF167" i="9"/>
  <c r="AF127" i="9"/>
  <c r="Y267" i="9"/>
  <c r="AI267" i="9" s="1"/>
  <c r="Z102" i="9"/>
  <c r="AA102" i="9" s="1"/>
  <c r="AI221" i="9"/>
  <c r="Y121" i="9"/>
  <c r="R249" i="9"/>
  <c r="Z249" i="9" s="1"/>
  <c r="AA249" i="9" s="1"/>
  <c r="AG249" i="9"/>
  <c r="Y146" i="9"/>
  <c r="AI146" i="9" s="1"/>
  <c r="AF87" i="9"/>
  <c r="AI87" i="9"/>
  <c r="Y196" i="9"/>
  <c r="AF120" i="9"/>
  <c r="Z142" i="9"/>
  <c r="AA142" i="9" s="1"/>
  <c r="R151" i="9"/>
  <c r="Z151" i="9" s="1"/>
  <c r="AA151" i="9" s="1"/>
  <c r="AG151" i="9"/>
  <c r="Y31" i="9"/>
  <c r="AI31" i="9" s="1"/>
  <c r="AG207" i="9"/>
  <c r="R207" i="9"/>
  <c r="Z207" i="9" s="1"/>
  <c r="AA207" i="9" s="1"/>
  <c r="Y262" i="9"/>
  <c r="AI262" i="9" s="1"/>
  <c r="AI238" i="9"/>
  <c r="Z121" i="9"/>
  <c r="AA121" i="9" s="1"/>
  <c r="R260" i="9"/>
  <c r="Z260" i="9" s="1"/>
  <c r="AA260" i="9" s="1"/>
  <c r="AG260" i="9"/>
  <c r="Z214" i="9"/>
  <c r="AA214" i="9" s="1"/>
  <c r="R103" i="9"/>
  <c r="Z103" i="9" s="1"/>
  <c r="AA103" i="9" s="1"/>
  <c r="AG103" i="9"/>
  <c r="AG72" i="9"/>
  <c r="R72" i="9"/>
  <c r="Z72" i="9" s="1"/>
  <c r="AA72" i="9" s="1"/>
  <c r="AF40" i="9"/>
  <c r="R195" i="9"/>
  <c r="Z195" i="9" s="1"/>
  <c r="AA195" i="9" s="1"/>
  <c r="AG195" i="9"/>
  <c r="Z9" i="9"/>
  <c r="AA9" i="9" s="1"/>
  <c r="AD172" i="9"/>
  <c r="R67" i="9"/>
  <c r="Z67" i="9" s="1"/>
  <c r="AA67" i="9" s="1"/>
  <c r="AG67" i="9"/>
  <c r="R108" i="9"/>
  <c r="Z108" i="9" s="1"/>
  <c r="AA108" i="9" s="1"/>
  <c r="AG108" i="9"/>
  <c r="AF44" i="9"/>
  <c r="Y149" i="9"/>
  <c r="Y105" i="9"/>
  <c r="AF105" i="9" s="1"/>
  <c r="AD105" i="9"/>
  <c r="AD35" i="9"/>
  <c r="Y35" i="9"/>
  <c r="AD133" i="9"/>
  <c r="AI133" i="9" s="1"/>
  <c r="Y133" i="9"/>
  <c r="AI253" i="9"/>
  <c r="Z145" i="9"/>
  <c r="AA145" i="9" s="1"/>
  <c r="Z82" i="9"/>
  <c r="AA82" i="9" s="1"/>
  <c r="AI161" i="9"/>
  <c r="AI247" i="9"/>
  <c r="Y242" i="9"/>
  <c r="AI242" i="9" s="1"/>
  <c r="AF13" i="9"/>
  <c r="AF211" i="9"/>
  <c r="Y223" i="9"/>
  <c r="AI223" i="9" s="1"/>
  <c r="Z163" i="9"/>
  <c r="AA163" i="9" s="1"/>
  <c r="AG275" i="9"/>
  <c r="R275" i="9"/>
  <c r="Z275" i="9" s="1"/>
  <c r="AA275" i="9" s="1"/>
  <c r="Y217" i="9"/>
  <c r="AI235" i="9"/>
  <c r="AF273" i="9"/>
  <c r="AI19" i="9"/>
  <c r="AF19" i="9"/>
  <c r="AG154" i="9"/>
  <c r="R154" i="9"/>
  <c r="Z154" i="9" s="1"/>
  <c r="AA154" i="9" s="1"/>
  <c r="R153" i="9"/>
  <c r="Z153" i="9" s="1"/>
  <c r="AA153" i="9" s="1"/>
  <c r="AG153" i="9"/>
  <c r="R15" i="9"/>
  <c r="Z15" i="9" s="1"/>
  <c r="AA15" i="9" s="1"/>
  <c r="AG15" i="9"/>
  <c r="Y8" i="9"/>
  <c r="AF8" i="9" s="1"/>
  <c r="R202" i="9"/>
  <c r="Z202" i="9" s="1"/>
  <c r="AA202" i="9" s="1"/>
  <c r="AG202" i="9"/>
  <c r="Z92" i="9"/>
  <c r="AA92" i="9" s="1"/>
  <c r="Z60" i="9"/>
  <c r="AA60" i="9" s="1"/>
  <c r="R25" i="9"/>
  <c r="Z25" i="9" s="1"/>
  <c r="AA25" i="9" s="1"/>
  <c r="AG25" i="9"/>
  <c r="AI134" i="9"/>
  <c r="AF155" i="9"/>
  <c r="AI150" i="9"/>
  <c r="AD191" i="9"/>
  <c r="Z191" i="9"/>
  <c r="AA191" i="9" s="1"/>
  <c r="R276" i="9"/>
  <c r="Z276" i="9" s="1"/>
  <c r="AA276" i="9" s="1"/>
  <c r="AG276" i="9"/>
  <c r="Z140" i="9"/>
  <c r="AA140" i="9" s="1"/>
  <c r="AG254" i="9"/>
  <c r="R254" i="9"/>
  <c r="Z254" i="9" s="1"/>
  <c r="AA254" i="9" s="1"/>
  <c r="AF95" i="9"/>
  <c r="AI59" i="9"/>
  <c r="AD98" i="9"/>
  <c r="AI98" i="9" s="1"/>
  <c r="Y98" i="9"/>
  <c r="AF98" i="9" s="1"/>
  <c r="AF69" i="9"/>
  <c r="AG81" i="9"/>
  <c r="R81" i="9"/>
  <c r="Z81" i="9" s="1"/>
  <c r="AA81" i="9" s="1"/>
  <c r="Y77" i="9"/>
  <c r="Z58" i="9"/>
  <c r="AA58" i="9" s="1"/>
  <c r="AF179" i="9"/>
  <c r="Z45" i="9"/>
  <c r="AA45" i="9" s="1"/>
  <c r="Y54" i="9"/>
  <c r="AI54" i="9" s="1"/>
  <c r="Y166" i="9"/>
  <c r="R94" i="9"/>
  <c r="Z94" i="9" s="1"/>
  <c r="AA94" i="9" s="1"/>
  <c r="AG94" i="9"/>
  <c r="Y102" i="9"/>
  <c r="Y70" i="9"/>
  <c r="AD215" i="9"/>
  <c r="Z215" i="9"/>
  <c r="AA215" i="9" s="1"/>
  <c r="Y215" i="9"/>
  <c r="Y170" i="9"/>
  <c r="AI170" i="9" s="1"/>
  <c r="AG216" i="9"/>
  <c r="R216" i="9"/>
  <c r="Z216" i="9" s="1"/>
  <c r="AA216" i="9" s="1"/>
  <c r="AI14" i="9"/>
  <c r="AF14" i="9"/>
  <c r="Z89" i="9"/>
  <c r="AA89" i="9" s="1"/>
  <c r="R56" i="9"/>
  <c r="Z56" i="9" s="1"/>
  <c r="AA56" i="9" s="1"/>
  <c r="AG56" i="9"/>
  <c r="R28" i="9"/>
  <c r="Z28" i="9" s="1"/>
  <c r="AA28" i="9" s="1"/>
  <c r="AG28" i="9"/>
  <c r="AG97" i="9"/>
  <c r="R97" i="9"/>
  <c r="Z97" i="9" s="1"/>
  <c r="AA97" i="9" s="1"/>
  <c r="AI86" i="9"/>
  <c r="R139" i="9"/>
  <c r="Z139" i="9" s="1"/>
  <c r="AA139" i="9" s="1"/>
  <c r="AG139" i="9"/>
  <c r="Z136" i="9"/>
  <c r="AA136" i="9" s="1"/>
  <c r="Y96" i="9"/>
  <c r="AD203" i="9"/>
  <c r="Z203" i="9"/>
  <c r="AA203" i="9" s="1"/>
  <c r="Y113" i="9"/>
  <c r="Z183" i="9"/>
  <c r="AA183" i="9" s="1"/>
  <c r="AD112" i="9"/>
  <c r="Z112" i="9"/>
  <c r="AA112" i="9" s="1"/>
  <c r="Y266" i="9"/>
  <c r="AF266" i="9" s="1"/>
  <c r="AI269" i="9"/>
  <c r="AF190" i="9" l="1"/>
  <c r="AF131" i="9"/>
  <c r="AF201" i="9"/>
  <c r="AF231" i="9"/>
  <c r="AI116" i="9"/>
  <c r="AI84" i="9"/>
  <c r="AF84" i="9"/>
  <c r="AF148" i="9"/>
  <c r="AI148" i="9"/>
  <c r="AF175" i="9"/>
  <c r="AI71" i="9"/>
  <c r="AI240" i="9"/>
  <c r="AF244" i="9"/>
  <c r="AI244" i="9"/>
  <c r="AI65" i="9"/>
  <c r="AF65" i="9"/>
  <c r="AI239" i="9"/>
  <c r="AF22" i="9"/>
  <c r="AI22" i="9"/>
  <c r="AI136" i="9"/>
  <c r="AF136" i="9"/>
  <c r="AI11" i="9"/>
  <c r="AF11" i="9"/>
  <c r="AI183" i="9"/>
  <c r="AF183" i="9"/>
  <c r="AF81" i="9"/>
  <c r="AI81" i="9"/>
  <c r="AF25" i="9"/>
  <c r="AI25" i="9"/>
  <c r="AF77" i="9"/>
  <c r="AI77" i="9"/>
  <c r="AF75" i="9"/>
  <c r="AI75" i="9"/>
  <c r="AF29" i="9"/>
  <c r="AI29" i="9"/>
  <c r="AF61" i="9"/>
  <c r="AI61" i="9"/>
  <c r="AF60" i="9"/>
  <c r="AI60" i="9"/>
  <c r="AI163" i="9"/>
  <c r="AF163" i="9"/>
  <c r="AI260" i="9"/>
  <c r="AF260" i="9"/>
  <c r="AF250" i="9"/>
  <c r="AI250" i="9"/>
  <c r="AF55" i="9"/>
  <c r="AI55" i="9"/>
  <c r="AF217" i="9"/>
  <c r="AI217" i="9"/>
  <c r="AF203" i="9"/>
  <c r="AI203" i="9"/>
  <c r="AI216" i="9"/>
  <c r="AF216" i="9"/>
  <c r="AF92" i="9"/>
  <c r="AI92" i="9"/>
  <c r="AF108" i="9"/>
  <c r="AI108" i="9"/>
  <c r="AF121" i="9"/>
  <c r="AI121" i="9"/>
  <c r="AI249" i="9"/>
  <c r="AF249" i="9"/>
  <c r="AI234" i="9"/>
  <c r="AF234" i="9"/>
  <c r="AF66" i="9"/>
  <c r="AI66" i="9"/>
  <c r="AF138" i="9"/>
  <c r="AI138" i="9"/>
  <c r="AF17" i="9"/>
  <c r="AI17" i="9"/>
  <c r="AF236" i="9"/>
  <c r="AI236" i="9"/>
  <c r="AI79" i="9"/>
  <c r="AF79" i="9"/>
  <c r="AF157" i="9"/>
  <c r="AI157" i="9"/>
  <c r="AF223" i="9"/>
  <c r="AF189" i="9"/>
  <c r="AI189" i="9"/>
  <c r="AI209" i="9"/>
  <c r="AF209" i="9"/>
  <c r="AF251" i="9"/>
  <c r="AF202" i="9"/>
  <c r="AI202" i="9"/>
  <c r="AF67" i="9"/>
  <c r="AI67" i="9"/>
  <c r="AF220" i="9"/>
  <c r="AI220" i="9"/>
  <c r="AI21" i="9"/>
  <c r="AF21" i="9"/>
  <c r="AF185" i="9"/>
  <c r="AI185" i="9"/>
  <c r="AF205" i="9"/>
  <c r="AI205" i="9"/>
  <c r="AI229" i="9"/>
  <c r="AF229" i="9"/>
  <c r="AI124" i="9"/>
  <c r="AF124" i="9"/>
  <c r="AI169" i="9"/>
  <c r="AF169" i="9"/>
  <c r="AF114" i="9"/>
  <c r="AI114" i="9"/>
  <c r="AI215" i="9"/>
  <c r="AF215" i="9"/>
  <c r="AF35" i="9"/>
  <c r="AI35" i="9"/>
  <c r="AF242" i="9"/>
  <c r="AF165" i="9"/>
  <c r="AI165" i="9"/>
  <c r="AI90" i="9"/>
  <c r="AF90" i="9"/>
  <c r="AF257" i="9"/>
  <c r="AI257" i="9"/>
  <c r="AF170" i="9"/>
  <c r="AI139" i="9"/>
  <c r="AF139" i="9"/>
  <c r="AF15" i="9"/>
  <c r="AI15" i="9"/>
  <c r="AI207" i="9"/>
  <c r="AF207" i="9"/>
  <c r="AI115" i="9"/>
  <c r="AF115" i="9"/>
  <c r="AF74" i="9"/>
  <c r="AI74" i="9"/>
  <c r="AI158" i="9"/>
  <c r="AF158" i="9"/>
  <c r="AI254" i="9"/>
  <c r="AF254" i="9"/>
  <c r="AF9" i="9"/>
  <c r="AI9" i="9"/>
  <c r="AF102" i="9"/>
  <c r="AI102" i="9"/>
  <c r="AI8" i="9"/>
  <c r="AF82" i="9"/>
  <c r="AI82" i="9"/>
  <c r="AF262" i="9"/>
  <c r="AF80" i="9"/>
  <c r="AI80" i="9"/>
  <c r="AI50" i="9"/>
  <c r="AF50" i="9"/>
  <c r="AF111" i="9"/>
  <c r="AI111" i="9"/>
  <c r="AF100" i="9"/>
  <c r="AI100" i="9"/>
  <c r="AF117" i="9"/>
  <c r="AI117" i="9"/>
  <c r="AF140" i="9"/>
  <c r="AI140" i="9"/>
  <c r="AF156" i="9"/>
  <c r="AI156" i="9"/>
  <c r="AF154" i="9"/>
  <c r="AI154" i="9"/>
  <c r="AI38" i="9"/>
  <c r="AF38" i="9"/>
  <c r="AI208" i="9"/>
  <c r="AF208" i="9"/>
  <c r="AF126" i="9"/>
  <c r="AI126" i="9"/>
  <c r="AI110" i="9"/>
  <c r="AF110" i="9"/>
  <c r="AF146" i="9"/>
  <c r="AF237" i="9"/>
  <c r="AI237" i="9"/>
  <c r="AI97" i="9"/>
  <c r="AF97" i="9"/>
  <c r="AF153" i="9"/>
  <c r="AI153" i="9"/>
  <c r="AI145" i="9"/>
  <c r="AF145" i="9"/>
  <c r="AF195" i="9"/>
  <c r="AI195" i="9"/>
  <c r="AI196" i="9"/>
  <c r="AF196" i="9"/>
  <c r="AI30" i="9"/>
  <c r="AF30" i="9"/>
  <c r="AF94" i="9"/>
  <c r="AI94" i="9"/>
  <c r="AI276" i="9"/>
  <c r="AF276" i="9"/>
  <c r="AI72" i="9"/>
  <c r="AF72" i="9"/>
  <c r="AI151" i="9"/>
  <c r="AF151" i="9"/>
  <c r="AI57" i="9"/>
  <c r="AF57" i="9"/>
  <c r="AF204" i="9"/>
  <c r="AI204" i="9"/>
  <c r="AF39" i="9"/>
  <c r="AI39" i="9"/>
  <c r="AI128" i="9"/>
  <c r="AF128" i="9"/>
  <c r="AI28" i="9"/>
  <c r="AF28" i="9"/>
  <c r="AF191" i="9"/>
  <c r="AI191" i="9"/>
  <c r="AI143" i="9"/>
  <c r="AF143" i="9"/>
  <c r="AF122" i="9"/>
  <c r="AI122" i="9"/>
  <c r="AF213" i="9"/>
  <c r="AI213" i="9"/>
  <c r="AI164" i="9"/>
  <c r="AF164" i="9"/>
  <c r="AF54" i="9"/>
  <c r="AF265" i="9"/>
  <c r="AI265" i="9"/>
  <c r="AF32" i="9"/>
  <c r="AI32" i="9"/>
  <c r="AI263" i="9"/>
  <c r="AF263" i="9"/>
  <c r="AF142" i="9"/>
  <c r="AI142" i="9"/>
  <c r="AI20" i="9"/>
  <c r="AF20" i="9"/>
  <c r="AF34" i="9"/>
  <c r="AI34" i="9"/>
  <c r="AF198" i="9"/>
  <c r="AI198" i="9"/>
  <c r="AI149" i="9"/>
  <c r="AF149" i="9"/>
  <c r="AF85" i="9"/>
  <c r="AI85" i="9"/>
  <c r="AI113" i="9"/>
  <c r="AF113" i="9"/>
  <c r="AI227" i="9"/>
  <c r="AF227" i="9"/>
  <c r="AF45" i="9"/>
  <c r="AI45" i="9"/>
  <c r="AF174" i="9"/>
  <c r="AI174" i="9"/>
  <c r="AF225" i="9"/>
  <c r="AI225" i="9"/>
  <c r="AF181" i="9"/>
  <c r="AI181" i="9"/>
  <c r="AF230" i="9"/>
  <c r="AI230" i="9"/>
  <c r="AF42" i="9"/>
  <c r="AI42" i="9"/>
  <c r="AF56" i="9"/>
  <c r="AI56" i="9"/>
  <c r="AI105" i="9"/>
  <c r="AF103" i="9"/>
  <c r="AI103" i="9"/>
  <c r="AI49" i="9"/>
  <c r="AF23" i="9"/>
  <c r="AI23" i="9"/>
  <c r="AF16" i="9"/>
  <c r="AI16" i="9"/>
  <c r="AF277" i="9"/>
  <c r="AI277" i="9"/>
  <c r="AF172" i="9"/>
  <c r="AI172" i="9"/>
  <c r="AF112" i="9"/>
  <c r="AI112" i="9"/>
  <c r="AI58" i="9"/>
  <c r="AF58" i="9"/>
  <c r="AF214" i="9"/>
  <c r="AI214" i="9"/>
  <c r="AF10" i="9"/>
  <c r="AI10" i="9"/>
  <c r="AF144" i="9"/>
  <c r="AI144" i="9"/>
  <c r="AF224" i="9"/>
  <c r="AF89" i="9"/>
  <c r="AI89" i="9"/>
  <c r="AI275" i="9"/>
  <c r="AF275" i="9"/>
  <c r="AF70" i="9"/>
  <c r="AI70" i="9"/>
  <c r="AF99" i="9"/>
  <c r="AI99" i="9"/>
  <c r="AF106" i="9"/>
  <c r="AI106" i="9"/>
  <c r="AI96" i="9"/>
  <c r="AF96" i="9"/>
  <c r="AF166" i="9"/>
  <c r="AI166" i="9"/>
  <c r="AL5" i="9"/>
  <c r="AL4" i="9"/>
  <c r="AE4" i="9" s="1"/>
  <c r="AL3" i="9"/>
  <c r="AL9" i="9"/>
  <c r="U7" i="9"/>
  <c r="W7" i="9" s="1"/>
  <c r="T7" i="9"/>
  <c r="P7" i="9"/>
  <c r="O7" i="9"/>
  <c r="S7" i="9" s="1"/>
  <c r="H7" i="9"/>
  <c r="AB7" i="9" s="1"/>
  <c r="AC7" i="9" s="1"/>
  <c r="U6" i="9"/>
  <c r="W6" i="9" s="1"/>
  <c r="T6" i="9"/>
  <c r="V6" i="9" s="1"/>
  <c r="P6" i="9"/>
  <c r="O6" i="9"/>
  <c r="S6" i="9" s="1"/>
  <c r="H6" i="9"/>
  <c r="U5" i="9"/>
  <c r="W5" i="9" s="1"/>
  <c r="T5" i="9"/>
  <c r="V5" i="9" s="1"/>
  <c r="P5" i="9"/>
  <c r="O5" i="9"/>
  <c r="S5" i="9" s="1"/>
  <c r="H5" i="9"/>
  <c r="AB5" i="9" s="1"/>
  <c r="AC5" i="9" s="1"/>
  <c r="U4" i="9"/>
  <c r="W4" i="9" s="1"/>
  <c r="T4" i="9"/>
  <c r="P4" i="9"/>
  <c r="M4" i="9"/>
  <c r="N4" i="9" s="1"/>
  <c r="O4" i="9" s="1"/>
  <c r="S4" i="9" s="1"/>
  <c r="H4" i="9"/>
  <c r="AB4" i="9" s="1"/>
  <c r="AC4" i="9" s="1"/>
  <c r="X6" i="9" l="1"/>
  <c r="Y6" i="9" s="1"/>
  <c r="AB6" i="9"/>
  <c r="AC6" i="9" s="1"/>
  <c r="AH6" i="9" s="1"/>
  <c r="AE7" i="9"/>
  <c r="AE5" i="9"/>
  <c r="AE6" i="9"/>
  <c r="AH5" i="9"/>
  <c r="Q6" i="9"/>
  <c r="Q4" i="9"/>
  <c r="AH7" i="9"/>
  <c r="Q5" i="9"/>
  <c r="AH4" i="9"/>
  <c r="Q7" i="9"/>
  <c r="X5" i="9"/>
  <c r="AD5" i="9" s="1"/>
  <c r="V4" i="9"/>
  <c r="X4" i="9" s="1"/>
  <c r="AD4" i="9" s="1"/>
  <c r="V7" i="9"/>
  <c r="X7" i="9" s="1"/>
  <c r="Y7" i="9" s="1"/>
  <c r="AD7" i="9" l="1"/>
  <c r="Y4" i="9"/>
  <c r="Y5" i="9"/>
  <c r="AD6" i="9"/>
  <c r="R5" i="9"/>
  <c r="Z5" i="9" s="1"/>
  <c r="AA5" i="9" s="1"/>
  <c r="AG5" i="9"/>
  <c r="R4" i="9"/>
  <c r="Z4" i="9" s="1"/>
  <c r="AA4" i="9" s="1"/>
  <c r="AG4" i="9"/>
  <c r="R6" i="9"/>
  <c r="Z6" i="9" s="1"/>
  <c r="AA6" i="9" s="1"/>
  <c r="AG6" i="9"/>
  <c r="R7" i="9"/>
  <c r="Z7" i="9" s="1"/>
  <c r="AA7" i="9" s="1"/>
  <c r="AG7" i="9"/>
  <c r="AI4" i="9" l="1"/>
  <c r="AF4" i="9"/>
  <c r="AI6" i="9"/>
  <c r="AF6" i="9"/>
  <c r="AI7" i="9"/>
  <c r="AF7" i="9"/>
  <c r="AI5" i="9"/>
  <c r="AF5" i="9"/>
  <c r="N6" i="1" l="1"/>
  <c r="E6" i="1"/>
  <c r="H6" i="1" s="1"/>
  <c r="J6" i="1" l="1"/>
  <c r="Y6" i="1" s="1"/>
  <c r="U6" i="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E16" i="5"/>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E102" i="5" s="1"/>
  <c r="E103" i="5" s="1"/>
  <c r="E104" i="5" s="1"/>
  <c r="E105" i="5" s="1"/>
  <c r="E106" i="5" s="1"/>
  <c r="E107" i="5" s="1"/>
  <c r="E108" i="5" s="1"/>
  <c r="E109" i="5" s="1"/>
  <c r="E110" i="5" s="1"/>
  <c r="C16" i="5"/>
  <c r="C15" i="5"/>
  <c r="C14" i="5"/>
  <c r="C13" i="5"/>
  <c r="C12" i="5"/>
  <c r="C11" i="5"/>
  <c r="C10" i="5"/>
  <c r="C9" i="5"/>
  <c r="C8" i="5"/>
  <c r="C7" i="5"/>
  <c r="I6" i="5"/>
  <c r="I7" i="5" s="1"/>
  <c r="I8" i="5" s="1"/>
  <c r="I9" i="5" s="1"/>
  <c r="I10" i="5" s="1"/>
  <c r="I11" i="5" s="1"/>
  <c r="I12" i="5" s="1"/>
  <c r="I13" i="5" s="1"/>
  <c r="I14" i="5" s="1"/>
  <c r="I15" i="5" s="1"/>
  <c r="G6" i="5"/>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F6" i="5"/>
  <c r="F7" i="5" s="1"/>
  <c r="F8" i="5" s="1"/>
  <c r="F9" i="5" s="1"/>
  <c r="E6" i="5"/>
  <c r="E7" i="5" s="1"/>
  <c r="E8" i="5" s="1"/>
  <c r="E9" i="5" s="1"/>
  <c r="E10" i="5" s="1"/>
  <c r="E11" i="5" s="1"/>
  <c r="E12" i="5" s="1"/>
  <c r="E13" i="5" s="1"/>
  <c r="E14" i="5" s="1"/>
  <c r="E15" i="5" s="1"/>
  <c r="C6" i="5"/>
  <c r="C5" i="5"/>
  <c r="H5" i="5" s="1"/>
  <c r="A5" i="5"/>
  <c r="G101" i="5" l="1"/>
  <c r="E111" i="5"/>
  <c r="I16" i="5"/>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H7" i="5"/>
  <c r="J7" i="5" s="1"/>
  <c r="H6" i="5"/>
  <c r="J6" i="5" s="1"/>
  <c r="J5" i="5"/>
  <c r="F10" i="5"/>
  <c r="F11" i="5" s="1"/>
  <c r="F12" i="5" s="1"/>
  <c r="H9" i="5"/>
  <c r="J9" i="5" s="1"/>
  <c r="H8" i="5"/>
  <c r="J8" i="5" s="1"/>
  <c r="N8" i="7"/>
  <c r="N9" i="7" s="1"/>
  <c r="N10" i="7" s="1"/>
  <c r="L5" i="7"/>
  <c r="H5" i="7"/>
  <c r="O9" i="5"/>
  <c r="S91" i="1"/>
  <c r="S92" i="1"/>
  <c r="S93" i="1"/>
  <c r="S94" i="1"/>
  <c r="S95" i="1"/>
  <c r="S96" i="1"/>
  <c r="S97" i="1"/>
  <c r="S98" i="1"/>
  <c r="S99" i="1"/>
  <c r="S10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6" i="1"/>
  <c r="B2" i="6" s="1"/>
  <c r="C2" i="6"/>
  <c r="G102" i="5" l="1"/>
  <c r="E112" i="5"/>
  <c r="L8" i="7"/>
  <c r="L7" i="7"/>
  <c r="L9" i="7"/>
  <c r="V6" i="1"/>
  <c r="I6" i="1"/>
  <c r="H11" i="5"/>
  <c r="J11" i="5" s="1"/>
  <c r="F13" i="5"/>
  <c r="H12" i="5"/>
  <c r="J12" i="5" s="1"/>
  <c r="H10" i="5"/>
  <c r="J10" i="5"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L10" i="7"/>
  <c r="C7" i="1"/>
  <c r="M7" i="1" s="1"/>
  <c r="D7" i="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C173" i="6" s="1"/>
  <c r="C174" i="6" s="1"/>
  <c r="C175" i="6" s="1"/>
  <c r="C176" i="6" s="1"/>
  <c r="C177" i="6" s="1"/>
  <c r="C178" i="6" s="1"/>
  <c r="C179" i="6" s="1"/>
  <c r="G103" i="5" l="1"/>
  <c r="E113" i="5"/>
  <c r="D102" i="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F14" i="5"/>
  <c r="H13" i="5"/>
  <c r="J13" i="5" s="1"/>
  <c r="M7" i="5"/>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C8" i="1"/>
  <c r="M8" i="1" s="1"/>
  <c r="E7" i="1"/>
  <c r="H7" i="1" s="1"/>
  <c r="I7" i="1" s="1"/>
  <c r="G104" i="5" l="1"/>
  <c r="E114" i="5"/>
  <c r="O6" i="1"/>
  <c r="T6" i="1" s="1"/>
  <c r="K7" i="1" s="1"/>
  <c r="F15" i="5"/>
  <c r="H14" i="5"/>
  <c r="J14" i="5" s="1"/>
  <c r="J7" i="1"/>
  <c r="E8" i="1"/>
  <c r="H8" i="1" s="1"/>
  <c r="I8" i="1" s="1"/>
  <c r="C9" i="1"/>
  <c r="M9" i="1" s="1"/>
  <c r="G105" i="5" l="1"/>
  <c r="E115" i="5"/>
  <c r="F16" i="5"/>
  <c r="H15" i="5"/>
  <c r="J15" i="5" s="1"/>
  <c r="O7" i="1"/>
  <c r="Z7" i="1"/>
  <c r="J8" i="1"/>
  <c r="C10" i="1"/>
  <c r="M10" i="1" s="1"/>
  <c r="E9" i="1"/>
  <c r="H9" i="1" s="1"/>
  <c r="I9" i="1" s="1"/>
  <c r="G106" i="5" l="1"/>
  <c r="E116" i="5"/>
  <c r="F17" i="5"/>
  <c r="J16" i="5"/>
  <c r="U7" i="1"/>
  <c r="V7" i="1" s="1"/>
  <c r="Y7" i="1"/>
  <c r="J9" i="1"/>
  <c r="T7" i="1"/>
  <c r="K8" i="1" s="1"/>
  <c r="E10" i="1"/>
  <c r="H10" i="1" s="1"/>
  <c r="I10" i="1" s="1"/>
  <c r="C11" i="1"/>
  <c r="M11" i="1" s="1"/>
  <c r="G107" i="5" l="1"/>
  <c r="E117" i="5"/>
  <c r="F18" i="5"/>
  <c r="H17" i="5"/>
  <c r="J17" i="5" s="1"/>
  <c r="Z8" i="1"/>
  <c r="J10" i="1"/>
  <c r="E11" i="1"/>
  <c r="H11" i="1" s="1"/>
  <c r="I11" i="1" s="1"/>
  <c r="C12" i="1"/>
  <c r="M12" i="1" s="1"/>
  <c r="G108" i="5" l="1"/>
  <c r="E118" i="5"/>
  <c r="F19" i="5"/>
  <c r="H18" i="5"/>
  <c r="J18" i="5" s="1"/>
  <c r="U8" i="1"/>
  <c r="V8" i="1" s="1"/>
  <c r="Y8" i="1"/>
  <c r="J11" i="1"/>
  <c r="O8" i="1"/>
  <c r="E12" i="1"/>
  <c r="H12" i="1" s="1"/>
  <c r="I12" i="1" s="1"/>
  <c r="C13" i="1"/>
  <c r="M13" i="1" s="1"/>
  <c r="G109" i="5" l="1"/>
  <c r="E119" i="5"/>
  <c r="F20" i="5"/>
  <c r="H19" i="5"/>
  <c r="J19" i="5" s="1"/>
  <c r="J12" i="1"/>
  <c r="T8" i="1"/>
  <c r="K9" i="1" s="1"/>
  <c r="E13" i="1"/>
  <c r="H13" i="1" s="1"/>
  <c r="I13" i="1" s="1"/>
  <c r="C14" i="1"/>
  <c r="M14" i="1" s="1"/>
  <c r="G110" i="5" l="1"/>
  <c r="E120" i="5"/>
  <c r="F21" i="5"/>
  <c r="H20" i="5"/>
  <c r="J20" i="5" s="1"/>
  <c r="Z9" i="1"/>
  <c r="J13" i="1"/>
  <c r="E14" i="1"/>
  <c r="H14" i="1" s="1"/>
  <c r="I14" i="1" s="1"/>
  <c r="C15" i="1"/>
  <c r="M15" i="1" s="1"/>
  <c r="G111" i="5" l="1"/>
  <c r="E121" i="5"/>
  <c r="F22" i="5"/>
  <c r="H21" i="5"/>
  <c r="J21" i="5" s="1"/>
  <c r="U9" i="1"/>
  <c r="V9" i="1" s="1"/>
  <c r="Y9" i="1"/>
  <c r="E15" i="1"/>
  <c r="H15" i="1" s="1"/>
  <c r="I15" i="1" s="1"/>
  <c r="C16" i="1"/>
  <c r="M16" i="1" s="1"/>
  <c r="O9" i="1"/>
  <c r="J14" i="1"/>
  <c r="G112" i="5" l="1"/>
  <c r="E122" i="5"/>
  <c r="F23" i="5"/>
  <c r="H22" i="5"/>
  <c r="J22" i="5" s="1"/>
  <c r="J15" i="1"/>
  <c r="T9" i="1"/>
  <c r="K10" i="1" s="1"/>
  <c r="E16" i="1"/>
  <c r="H16" i="1" s="1"/>
  <c r="I16" i="1" s="1"/>
  <c r="C17" i="1"/>
  <c r="M17" i="1" s="1"/>
  <c r="G113" i="5" l="1"/>
  <c r="E123" i="5"/>
  <c r="F24" i="5"/>
  <c r="H23" i="5"/>
  <c r="J23" i="5" s="1"/>
  <c r="Z10" i="1"/>
  <c r="C18" i="1"/>
  <c r="M18" i="1" s="1"/>
  <c r="E17" i="1"/>
  <c r="H17" i="1" s="1"/>
  <c r="I17" i="1" s="1"/>
  <c r="J16" i="1"/>
  <c r="G114" i="5" l="1"/>
  <c r="E124" i="5"/>
  <c r="F25" i="5"/>
  <c r="H24" i="5"/>
  <c r="J24" i="5" s="1"/>
  <c r="U10" i="1"/>
  <c r="V10" i="1" s="1"/>
  <c r="Y10" i="1"/>
  <c r="J17" i="1"/>
  <c r="O10" i="1"/>
  <c r="E18" i="1"/>
  <c r="H18" i="1" s="1"/>
  <c r="I18" i="1" s="1"/>
  <c r="C19" i="1"/>
  <c r="M19" i="1" s="1"/>
  <c r="G115" i="5" l="1"/>
  <c r="E125" i="5"/>
  <c r="F26" i="5"/>
  <c r="H25" i="5"/>
  <c r="J25" i="5" s="1"/>
  <c r="J18" i="1"/>
  <c r="T10" i="1"/>
  <c r="K11" i="1" s="1"/>
  <c r="E19" i="1"/>
  <c r="H19" i="1" s="1"/>
  <c r="I19" i="1" s="1"/>
  <c r="C20" i="1"/>
  <c r="M20" i="1" s="1"/>
  <c r="G116" i="5" l="1"/>
  <c r="E126" i="5"/>
  <c r="F27" i="5"/>
  <c r="H26" i="5"/>
  <c r="J26" i="5" s="1"/>
  <c r="Z11" i="1"/>
  <c r="E20" i="1"/>
  <c r="H20" i="1" s="1"/>
  <c r="I20" i="1" s="1"/>
  <c r="C21" i="1"/>
  <c r="M21" i="1" s="1"/>
  <c r="J19" i="1"/>
  <c r="G117" i="5" l="1"/>
  <c r="E127" i="5"/>
  <c r="F28" i="5"/>
  <c r="H27" i="5"/>
  <c r="J27" i="5" s="1"/>
  <c r="U11" i="1"/>
  <c r="V11" i="1" s="1"/>
  <c r="Y11" i="1"/>
  <c r="E21" i="1"/>
  <c r="H21" i="1" s="1"/>
  <c r="I21" i="1" s="1"/>
  <c r="C22" i="1"/>
  <c r="M22" i="1" s="1"/>
  <c r="J20" i="1"/>
  <c r="O11" i="1"/>
  <c r="G118" i="5" l="1"/>
  <c r="E128" i="5"/>
  <c r="F29" i="5"/>
  <c r="H28" i="5"/>
  <c r="J28" i="5" s="1"/>
  <c r="E22" i="1"/>
  <c r="H22" i="1" s="1"/>
  <c r="I22" i="1" s="1"/>
  <c r="C23" i="1"/>
  <c r="M23" i="1" s="1"/>
  <c r="J21" i="1"/>
  <c r="T11" i="1"/>
  <c r="K12" i="1" s="1"/>
  <c r="G119" i="5" l="1"/>
  <c r="E129" i="5"/>
  <c r="F30" i="5"/>
  <c r="H29" i="5"/>
  <c r="J29" i="5" s="1"/>
  <c r="Z12" i="1"/>
  <c r="E23" i="1"/>
  <c r="H23" i="1" s="1"/>
  <c r="I23" i="1" s="1"/>
  <c r="C24" i="1"/>
  <c r="M24" i="1" s="1"/>
  <c r="J22" i="1"/>
  <c r="G120" i="5" l="1"/>
  <c r="E130" i="5"/>
  <c r="U12" i="1"/>
  <c r="V12" i="1" s="1"/>
  <c r="Y12" i="1"/>
  <c r="F31" i="5"/>
  <c r="H30" i="5"/>
  <c r="J30" i="5" s="1"/>
  <c r="E24" i="1"/>
  <c r="H24" i="1" s="1"/>
  <c r="I24" i="1" s="1"/>
  <c r="C25" i="1"/>
  <c r="M25" i="1" s="1"/>
  <c r="J23" i="1"/>
  <c r="O12" i="1"/>
  <c r="T12" i="1" s="1"/>
  <c r="G121" i="5" l="1"/>
  <c r="E131" i="5"/>
  <c r="Z13" i="1"/>
  <c r="K13" i="1"/>
  <c r="F32" i="5"/>
  <c r="H31" i="5"/>
  <c r="J31" i="5" s="1"/>
  <c r="J24" i="1"/>
  <c r="C26" i="1"/>
  <c r="M26" i="1" s="1"/>
  <c r="E25" i="1"/>
  <c r="H25" i="1" s="1"/>
  <c r="I25" i="1" s="1"/>
  <c r="G122" i="5" l="1"/>
  <c r="E132" i="5"/>
  <c r="F33" i="5"/>
  <c r="H32" i="5"/>
  <c r="J32" i="5" s="1"/>
  <c r="U13" i="1"/>
  <c r="V13" i="1" s="1"/>
  <c r="Y13" i="1"/>
  <c r="O13" i="1"/>
  <c r="T13" i="1" s="1"/>
  <c r="Z14" i="1" s="1"/>
  <c r="J25" i="1"/>
  <c r="C27" i="1"/>
  <c r="M27" i="1" s="1"/>
  <c r="E26" i="1"/>
  <c r="H26" i="1" s="1"/>
  <c r="I26" i="1" s="1"/>
  <c r="G123" i="5" l="1"/>
  <c r="E133" i="5"/>
  <c r="K14" i="1"/>
  <c r="F34" i="5"/>
  <c r="H33" i="5"/>
  <c r="J33" i="5" s="1"/>
  <c r="J26" i="1"/>
  <c r="C28" i="1"/>
  <c r="M28" i="1" s="1"/>
  <c r="E27" i="1"/>
  <c r="H27" i="1" s="1"/>
  <c r="I27" i="1" s="1"/>
  <c r="G124" i="5" l="1"/>
  <c r="E134" i="5"/>
  <c r="F35" i="5"/>
  <c r="H34" i="5"/>
  <c r="J34" i="5" s="1"/>
  <c r="U14" i="1"/>
  <c r="V14" i="1" s="1"/>
  <c r="Y14" i="1"/>
  <c r="O14" i="1"/>
  <c r="T14" i="1" s="1"/>
  <c r="Z15" i="1" s="1"/>
  <c r="C29" i="1"/>
  <c r="M29" i="1" s="1"/>
  <c r="E28" i="1"/>
  <c r="H28" i="1" s="1"/>
  <c r="I28" i="1" s="1"/>
  <c r="J27" i="1"/>
  <c r="G125" i="5" l="1"/>
  <c r="E135" i="5"/>
  <c r="K15" i="1"/>
  <c r="F36" i="5"/>
  <c r="H35" i="5"/>
  <c r="J35" i="5" s="1"/>
  <c r="C30" i="1"/>
  <c r="M30" i="1" s="1"/>
  <c r="E29" i="1"/>
  <c r="H29" i="1" s="1"/>
  <c r="I29" i="1" s="1"/>
  <c r="J28" i="1"/>
  <c r="G126" i="5" l="1"/>
  <c r="F37" i="5"/>
  <c r="H36" i="5"/>
  <c r="J36" i="5" s="1"/>
  <c r="U15" i="1"/>
  <c r="V15" i="1" s="1"/>
  <c r="Y15" i="1"/>
  <c r="O15" i="1"/>
  <c r="T15" i="1" s="1"/>
  <c r="K16" i="1" s="1"/>
  <c r="C31" i="1"/>
  <c r="M31" i="1" s="1"/>
  <c r="E30" i="1"/>
  <c r="H30" i="1" s="1"/>
  <c r="I30" i="1" s="1"/>
  <c r="J29" i="1"/>
  <c r="G127" i="5" l="1"/>
  <c r="F38" i="5"/>
  <c r="H37" i="5"/>
  <c r="J37" i="5" s="1"/>
  <c r="U16" i="1"/>
  <c r="V16" i="1" s="1"/>
  <c r="Y16" i="1"/>
  <c r="Z16" i="1"/>
  <c r="O16" i="1"/>
  <c r="T16" i="1" s="1"/>
  <c r="K17" i="1" s="1"/>
  <c r="C32" i="1"/>
  <c r="M32" i="1" s="1"/>
  <c r="E31" i="1"/>
  <c r="H31" i="1" s="1"/>
  <c r="I31" i="1" s="1"/>
  <c r="J30" i="1"/>
  <c r="G128" i="5" l="1"/>
  <c r="F39" i="5"/>
  <c r="H38" i="5"/>
  <c r="J38" i="5" s="1"/>
  <c r="U17" i="1"/>
  <c r="V17" i="1" s="1"/>
  <c r="Y17" i="1"/>
  <c r="Z17" i="1"/>
  <c r="J31" i="1"/>
  <c r="O17" i="1"/>
  <c r="T17" i="1" s="1"/>
  <c r="K18" i="1" s="1"/>
  <c r="E32" i="1"/>
  <c r="H32" i="1" s="1"/>
  <c r="I32" i="1" s="1"/>
  <c r="C33" i="1"/>
  <c r="M33" i="1" s="1"/>
  <c r="G129" i="5" l="1"/>
  <c r="F40" i="5"/>
  <c r="H39" i="5"/>
  <c r="J39" i="5" s="1"/>
  <c r="U18" i="1"/>
  <c r="V18" i="1" s="1"/>
  <c r="Y18" i="1"/>
  <c r="Z18" i="1"/>
  <c r="J32" i="1"/>
  <c r="O18" i="1"/>
  <c r="T18" i="1" s="1"/>
  <c r="K19" i="1" s="1"/>
  <c r="C34" i="1"/>
  <c r="M34" i="1" s="1"/>
  <c r="E33" i="1"/>
  <c r="H33" i="1" s="1"/>
  <c r="I33" i="1" s="1"/>
  <c r="G130" i="5" l="1"/>
  <c r="F41" i="5"/>
  <c r="H40" i="5"/>
  <c r="J40" i="5" s="1"/>
  <c r="U19" i="1"/>
  <c r="V19" i="1" s="1"/>
  <c r="Y19" i="1"/>
  <c r="Z19" i="1"/>
  <c r="J33" i="1"/>
  <c r="O19" i="1"/>
  <c r="T19" i="1" s="1"/>
  <c r="K20" i="1" s="1"/>
  <c r="C35" i="1"/>
  <c r="M35" i="1" s="1"/>
  <c r="E34" i="1"/>
  <c r="H34" i="1" s="1"/>
  <c r="I34" i="1" s="1"/>
  <c r="G131" i="5" l="1"/>
  <c r="F42" i="5"/>
  <c r="H41" i="5"/>
  <c r="J41" i="5" s="1"/>
  <c r="U20" i="1"/>
  <c r="V20" i="1" s="1"/>
  <c r="Y20" i="1"/>
  <c r="Z20" i="1"/>
  <c r="O20" i="1"/>
  <c r="T20" i="1" s="1"/>
  <c r="K21" i="1" s="1"/>
  <c r="J34" i="1"/>
  <c r="C36" i="1"/>
  <c r="M36" i="1" s="1"/>
  <c r="E35" i="1"/>
  <c r="H35" i="1" s="1"/>
  <c r="I35" i="1" s="1"/>
  <c r="G132" i="5" l="1"/>
  <c r="F43" i="5"/>
  <c r="H42" i="5"/>
  <c r="J42" i="5" s="1"/>
  <c r="U21" i="1"/>
  <c r="V21" i="1" s="1"/>
  <c r="Y21" i="1"/>
  <c r="Z21" i="1"/>
  <c r="O21" i="1"/>
  <c r="T21" i="1" s="1"/>
  <c r="K22" i="1" s="1"/>
  <c r="C37" i="1"/>
  <c r="M37" i="1" s="1"/>
  <c r="E36" i="1"/>
  <c r="H36" i="1" s="1"/>
  <c r="I36" i="1" s="1"/>
  <c r="J35" i="1"/>
  <c r="G133" i="5" l="1"/>
  <c r="F44" i="5"/>
  <c r="H43" i="5"/>
  <c r="J43" i="5" s="1"/>
  <c r="U22" i="1"/>
  <c r="V22" i="1" s="1"/>
  <c r="Y22" i="1"/>
  <c r="Z22" i="1"/>
  <c r="O22" i="1"/>
  <c r="T22" i="1" s="1"/>
  <c r="K23" i="1" s="1"/>
  <c r="C38" i="1"/>
  <c r="M38" i="1" s="1"/>
  <c r="E37" i="1"/>
  <c r="H37" i="1" s="1"/>
  <c r="I37" i="1" s="1"/>
  <c r="J36" i="1"/>
  <c r="G134" i="5" l="1"/>
  <c r="F45" i="5"/>
  <c r="H44" i="5"/>
  <c r="J44" i="5" s="1"/>
  <c r="U23" i="1"/>
  <c r="V23" i="1" s="1"/>
  <c r="Y23" i="1"/>
  <c r="Z23" i="1"/>
  <c r="J37" i="1"/>
  <c r="O23" i="1"/>
  <c r="T23" i="1" s="1"/>
  <c r="K24" i="1" s="1"/>
  <c r="C39" i="1"/>
  <c r="M39" i="1" s="1"/>
  <c r="E38" i="1"/>
  <c r="H38" i="1" s="1"/>
  <c r="I38" i="1" s="1"/>
  <c r="G135" i="5" l="1"/>
  <c r="F46" i="5"/>
  <c r="H45" i="5"/>
  <c r="J45" i="5" s="1"/>
  <c r="U24" i="1"/>
  <c r="V24" i="1" s="1"/>
  <c r="Y24" i="1"/>
  <c r="Z24" i="1"/>
  <c r="O24" i="1"/>
  <c r="T24" i="1" s="1"/>
  <c r="K25" i="1" s="1"/>
  <c r="C40" i="1"/>
  <c r="M40" i="1" s="1"/>
  <c r="E39" i="1"/>
  <c r="H39" i="1" s="1"/>
  <c r="I39" i="1" s="1"/>
  <c r="J38" i="1"/>
  <c r="F47" i="5" l="1"/>
  <c r="H46" i="5"/>
  <c r="J46" i="5" s="1"/>
  <c r="U25" i="1"/>
  <c r="V25" i="1" s="1"/>
  <c r="Y25" i="1"/>
  <c r="Z25" i="1"/>
  <c r="J39" i="1"/>
  <c r="O25" i="1"/>
  <c r="T25" i="1" s="1"/>
  <c r="K26" i="1" s="1"/>
  <c r="E40" i="1"/>
  <c r="H40" i="1" s="1"/>
  <c r="I40" i="1" s="1"/>
  <c r="C41" i="1"/>
  <c r="M41" i="1" s="1"/>
  <c r="F48" i="5" l="1"/>
  <c r="H47" i="5"/>
  <c r="J47" i="5" s="1"/>
  <c r="U26" i="1"/>
  <c r="V26" i="1" s="1"/>
  <c r="Y26" i="1"/>
  <c r="Z26" i="1"/>
  <c r="J40" i="1"/>
  <c r="O26" i="1"/>
  <c r="T26" i="1" s="1"/>
  <c r="Z27" i="1" s="1"/>
  <c r="C42" i="1"/>
  <c r="M42" i="1" s="1"/>
  <c r="E41" i="1"/>
  <c r="H41" i="1" s="1"/>
  <c r="I41" i="1" s="1"/>
  <c r="K27" i="1" l="1"/>
  <c r="F49" i="5"/>
  <c r="H48" i="5"/>
  <c r="J48" i="5" s="1"/>
  <c r="J41" i="1"/>
  <c r="C43" i="1"/>
  <c r="M43" i="1" s="1"/>
  <c r="E42" i="1"/>
  <c r="H42" i="1" s="1"/>
  <c r="I42" i="1" s="1"/>
  <c r="F50" i="5" l="1"/>
  <c r="H49" i="5"/>
  <c r="J49" i="5" s="1"/>
  <c r="U27" i="1"/>
  <c r="V27" i="1" s="1"/>
  <c r="Y27" i="1"/>
  <c r="J42" i="1"/>
  <c r="O27" i="1"/>
  <c r="T27" i="1" s="1"/>
  <c r="K28" i="1" s="1"/>
  <c r="C44" i="1"/>
  <c r="M44" i="1" s="1"/>
  <c r="E43" i="1"/>
  <c r="H43" i="1" s="1"/>
  <c r="I43" i="1" s="1"/>
  <c r="F51" i="5" l="1"/>
  <c r="H50" i="5"/>
  <c r="J50" i="5" s="1"/>
  <c r="U28" i="1"/>
  <c r="V28" i="1" s="1"/>
  <c r="Y28" i="1"/>
  <c r="Z28" i="1"/>
  <c r="O28" i="1"/>
  <c r="T28" i="1" s="1"/>
  <c r="K29" i="1" s="1"/>
  <c r="J43" i="1"/>
  <c r="C45" i="1"/>
  <c r="M45" i="1" s="1"/>
  <c r="E44" i="1"/>
  <c r="H44" i="1" s="1"/>
  <c r="I44" i="1" s="1"/>
  <c r="F52" i="5" l="1"/>
  <c r="H51" i="5"/>
  <c r="J51" i="5" s="1"/>
  <c r="U29" i="1"/>
  <c r="V29" i="1" s="1"/>
  <c r="Y29" i="1"/>
  <c r="Z29" i="1"/>
  <c r="O29" i="1"/>
  <c r="T29" i="1" s="1"/>
  <c r="Z30" i="1" s="1"/>
  <c r="J44" i="1"/>
  <c r="C46" i="1"/>
  <c r="M46" i="1" s="1"/>
  <c r="E45" i="1"/>
  <c r="H45" i="1" s="1"/>
  <c r="I45" i="1" s="1"/>
  <c r="K30" i="1" l="1"/>
  <c r="F53" i="5"/>
  <c r="H52" i="5"/>
  <c r="J52" i="5" s="1"/>
  <c r="J45" i="1"/>
  <c r="C47" i="1"/>
  <c r="M47" i="1" s="1"/>
  <c r="E46" i="1"/>
  <c r="H46" i="1" s="1"/>
  <c r="I46" i="1" s="1"/>
  <c r="F54" i="5" l="1"/>
  <c r="H53" i="5"/>
  <c r="J53" i="5" s="1"/>
  <c r="U30" i="1"/>
  <c r="V30" i="1" s="1"/>
  <c r="Y30" i="1"/>
  <c r="O30" i="1"/>
  <c r="T30" i="1" s="1"/>
  <c r="Z31" i="1" s="1"/>
  <c r="C48" i="1"/>
  <c r="M48" i="1" s="1"/>
  <c r="E47" i="1"/>
  <c r="H47" i="1" s="1"/>
  <c r="I47" i="1" s="1"/>
  <c r="J46" i="1"/>
  <c r="K31" i="1" l="1"/>
  <c r="F55" i="5"/>
  <c r="H54" i="5"/>
  <c r="J54" i="5" s="1"/>
  <c r="J47" i="1"/>
  <c r="E48" i="1"/>
  <c r="H48" i="1" s="1"/>
  <c r="I48" i="1" s="1"/>
  <c r="C49" i="1"/>
  <c r="M49" i="1" s="1"/>
  <c r="F56" i="5" l="1"/>
  <c r="H55" i="5"/>
  <c r="J55" i="5" s="1"/>
  <c r="U31" i="1"/>
  <c r="V31" i="1" s="1"/>
  <c r="Y31" i="1"/>
  <c r="O31" i="1"/>
  <c r="T31" i="1" s="1"/>
  <c r="K32" i="1" s="1"/>
  <c r="J48" i="1"/>
  <c r="C50" i="1"/>
  <c r="M50" i="1" s="1"/>
  <c r="E49" i="1"/>
  <c r="H49" i="1" s="1"/>
  <c r="I49" i="1" s="1"/>
  <c r="F57" i="5" l="1"/>
  <c r="H56" i="5"/>
  <c r="J56" i="5" s="1"/>
  <c r="U32" i="1"/>
  <c r="V32" i="1" s="1"/>
  <c r="Y32" i="1"/>
  <c r="Z32" i="1"/>
  <c r="O32" i="1"/>
  <c r="T32" i="1" s="1"/>
  <c r="K33" i="1" s="1"/>
  <c r="J49" i="1"/>
  <c r="C51" i="1"/>
  <c r="M51" i="1" s="1"/>
  <c r="E50" i="1"/>
  <c r="H50" i="1" s="1"/>
  <c r="I50" i="1" s="1"/>
  <c r="F58" i="5" l="1"/>
  <c r="H57" i="5"/>
  <c r="J57" i="5" s="1"/>
  <c r="U33" i="1"/>
  <c r="V33" i="1" s="1"/>
  <c r="Y33" i="1"/>
  <c r="Z33" i="1"/>
  <c r="O33" i="1"/>
  <c r="T33" i="1" s="1"/>
  <c r="Z34" i="1" s="1"/>
  <c r="J50" i="1"/>
  <c r="C52" i="1"/>
  <c r="M52" i="1" s="1"/>
  <c r="E51" i="1"/>
  <c r="H51" i="1" s="1"/>
  <c r="I51" i="1" s="1"/>
  <c r="K34" i="1" l="1"/>
  <c r="U34" i="1" s="1"/>
  <c r="V34" i="1" s="1"/>
  <c r="F59" i="5"/>
  <c r="H58" i="5"/>
  <c r="J58" i="5" s="1"/>
  <c r="C53" i="1"/>
  <c r="M53" i="1" s="1"/>
  <c r="E52" i="1"/>
  <c r="H52" i="1" s="1"/>
  <c r="I52" i="1" s="1"/>
  <c r="J51" i="1"/>
  <c r="F60" i="5" l="1"/>
  <c r="H59" i="5"/>
  <c r="J59" i="5" s="1"/>
  <c r="Y34" i="1"/>
  <c r="O34" i="1"/>
  <c r="T34" i="1" s="1"/>
  <c r="Z35" i="1" s="1"/>
  <c r="C54" i="1"/>
  <c r="M54" i="1" s="1"/>
  <c r="E53" i="1"/>
  <c r="H53" i="1" s="1"/>
  <c r="I53" i="1" s="1"/>
  <c r="J52" i="1"/>
  <c r="K35" i="1" l="1"/>
  <c r="F61" i="5"/>
  <c r="H60" i="5"/>
  <c r="J60" i="5" s="1"/>
  <c r="C55" i="1"/>
  <c r="M55" i="1" s="1"/>
  <c r="E54" i="1"/>
  <c r="H54" i="1" s="1"/>
  <c r="I54" i="1" s="1"/>
  <c r="J53" i="1"/>
  <c r="F62" i="5" l="1"/>
  <c r="H61" i="5"/>
  <c r="J61" i="5" s="1"/>
  <c r="U35" i="1"/>
  <c r="V35" i="1" s="1"/>
  <c r="O35" i="1"/>
  <c r="T35" i="1" s="1"/>
  <c r="K36" i="1" s="1"/>
  <c r="Y35" i="1"/>
  <c r="J54" i="1"/>
  <c r="C56" i="1"/>
  <c r="M56" i="1" s="1"/>
  <c r="E55" i="1"/>
  <c r="H55" i="1" s="1"/>
  <c r="I55" i="1" s="1"/>
  <c r="F63" i="5" l="1"/>
  <c r="H62" i="5"/>
  <c r="J62" i="5" s="1"/>
  <c r="U36" i="1"/>
  <c r="V36" i="1" s="1"/>
  <c r="Z36" i="1"/>
  <c r="O36" i="1"/>
  <c r="T36" i="1" s="1"/>
  <c r="K37" i="1" s="1"/>
  <c r="Y36" i="1"/>
  <c r="J55" i="1"/>
  <c r="E56" i="1"/>
  <c r="H56" i="1" s="1"/>
  <c r="I56" i="1" s="1"/>
  <c r="C57" i="1"/>
  <c r="M57" i="1" s="1"/>
  <c r="F64" i="5" l="1"/>
  <c r="H63" i="5"/>
  <c r="J63" i="5" s="1"/>
  <c r="Z37" i="1"/>
  <c r="J56" i="1"/>
  <c r="C58" i="1"/>
  <c r="M58" i="1" s="1"/>
  <c r="E57" i="1"/>
  <c r="H57" i="1" s="1"/>
  <c r="I57" i="1" s="1"/>
  <c r="F65" i="5" l="1"/>
  <c r="H64" i="5"/>
  <c r="J64" i="5" s="1"/>
  <c r="U37" i="1"/>
  <c r="V37" i="1" s="1"/>
  <c r="O37" i="1"/>
  <c r="T37" i="1" s="1"/>
  <c r="Y37" i="1"/>
  <c r="C59" i="1"/>
  <c r="M59" i="1" s="1"/>
  <c r="E58" i="1"/>
  <c r="H58" i="1" s="1"/>
  <c r="I58" i="1" s="1"/>
  <c r="J57" i="1"/>
  <c r="K38" i="1" l="1"/>
  <c r="U38" i="1" s="1"/>
  <c r="V38" i="1" s="1"/>
  <c r="F66" i="5"/>
  <c r="H65" i="5"/>
  <c r="J65" i="5" s="1"/>
  <c r="Z38" i="1"/>
  <c r="J58" i="1"/>
  <c r="C60" i="1"/>
  <c r="M60" i="1" s="1"/>
  <c r="E59" i="1"/>
  <c r="H59" i="1" s="1"/>
  <c r="I59" i="1" s="1"/>
  <c r="O38" i="1" l="1"/>
  <c r="T38" i="1" s="1"/>
  <c r="K39" i="1" s="1"/>
  <c r="Y38" i="1"/>
  <c r="F67" i="5"/>
  <c r="H66" i="5"/>
  <c r="J66" i="5" s="1"/>
  <c r="C61" i="1"/>
  <c r="M61" i="1" s="1"/>
  <c r="E60" i="1"/>
  <c r="H60" i="1" s="1"/>
  <c r="I60" i="1" s="1"/>
  <c r="J59" i="1"/>
  <c r="Z39" i="1" l="1"/>
  <c r="Y39" i="1"/>
  <c r="U39" i="1"/>
  <c r="V39" i="1" s="1"/>
  <c r="O39" i="1"/>
  <c r="T39" i="1" s="1"/>
  <c r="K40" i="1" s="1"/>
  <c r="F68" i="5"/>
  <c r="H67" i="5"/>
  <c r="J67" i="5" s="1"/>
  <c r="J60" i="1"/>
  <c r="C62" i="1"/>
  <c r="M62" i="1" s="1"/>
  <c r="E61" i="1"/>
  <c r="H61" i="1" s="1"/>
  <c r="I61" i="1" s="1"/>
  <c r="Z40" i="1" l="1"/>
  <c r="U40" i="1"/>
  <c r="V40" i="1" s="1"/>
  <c r="O40" i="1"/>
  <c r="T40" i="1" s="1"/>
  <c r="Z41" i="1" s="1"/>
  <c r="Y40" i="1"/>
  <c r="F69" i="5"/>
  <c r="H68" i="5"/>
  <c r="J68" i="5" s="1"/>
  <c r="J61" i="1"/>
  <c r="C63" i="1"/>
  <c r="M63" i="1" s="1"/>
  <c r="E62" i="1"/>
  <c r="H62" i="1" s="1"/>
  <c r="I62" i="1" s="1"/>
  <c r="K41" i="1" l="1"/>
  <c r="O41" i="1" s="1"/>
  <c r="T41" i="1" s="1"/>
  <c r="K42" i="1" s="1"/>
  <c r="F70" i="5"/>
  <c r="H69" i="5"/>
  <c r="J69" i="5" s="1"/>
  <c r="C64" i="1"/>
  <c r="M64" i="1" s="1"/>
  <c r="E63" i="1"/>
  <c r="H63" i="1" s="1"/>
  <c r="I63" i="1" s="1"/>
  <c r="J62" i="1"/>
  <c r="Y41" i="1" l="1"/>
  <c r="U41" i="1"/>
  <c r="V41" i="1" s="1"/>
  <c r="F71" i="5"/>
  <c r="H70" i="5"/>
  <c r="J70" i="5" s="1"/>
  <c r="Z42" i="1"/>
  <c r="O42" i="1"/>
  <c r="T42" i="1" s="1"/>
  <c r="K43" i="1" s="1"/>
  <c r="U42" i="1"/>
  <c r="V42" i="1" s="1"/>
  <c r="Y42" i="1"/>
  <c r="J63" i="1"/>
  <c r="E64" i="1"/>
  <c r="H64" i="1" s="1"/>
  <c r="I64" i="1" s="1"/>
  <c r="C65" i="1"/>
  <c r="M65" i="1" s="1"/>
  <c r="F72" i="5" l="1"/>
  <c r="H71" i="5"/>
  <c r="J71" i="5" s="1"/>
  <c r="U43" i="1"/>
  <c r="V43" i="1" s="1"/>
  <c r="Y43" i="1"/>
  <c r="O43" i="1"/>
  <c r="T43" i="1" s="1"/>
  <c r="K44" i="1" s="1"/>
  <c r="Z43" i="1"/>
  <c r="C66" i="1"/>
  <c r="M66" i="1" s="1"/>
  <c r="E65" i="1"/>
  <c r="H65" i="1" s="1"/>
  <c r="I65" i="1" s="1"/>
  <c r="J64" i="1"/>
  <c r="F73" i="5" l="1"/>
  <c r="H72" i="5"/>
  <c r="J72" i="5" s="1"/>
  <c r="O44" i="1"/>
  <c r="T44" i="1" s="1"/>
  <c r="K45" i="1" s="1"/>
  <c r="U44" i="1"/>
  <c r="V44" i="1" s="1"/>
  <c r="Y44" i="1"/>
  <c r="Z44" i="1"/>
  <c r="J65" i="1"/>
  <c r="C67" i="1"/>
  <c r="M67" i="1" s="1"/>
  <c r="E66" i="1"/>
  <c r="H66" i="1" s="1"/>
  <c r="I66" i="1" s="1"/>
  <c r="F74" i="5" l="1"/>
  <c r="H73" i="5"/>
  <c r="J73" i="5" s="1"/>
  <c r="O45" i="1"/>
  <c r="T45" i="1" s="1"/>
  <c r="Z46" i="1" s="1"/>
  <c r="Y45" i="1"/>
  <c r="U45" i="1"/>
  <c r="V45" i="1" s="1"/>
  <c r="Z45" i="1"/>
  <c r="J66" i="1"/>
  <c r="C68" i="1"/>
  <c r="M68" i="1" s="1"/>
  <c r="E67" i="1"/>
  <c r="H67" i="1" s="1"/>
  <c r="I67" i="1" s="1"/>
  <c r="K46" i="1" l="1"/>
  <c r="F75" i="5"/>
  <c r="H74" i="5"/>
  <c r="J74" i="5" s="1"/>
  <c r="J67" i="1"/>
  <c r="C69" i="1"/>
  <c r="M69" i="1" s="1"/>
  <c r="E68" i="1"/>
  <c r="H68" i="1" s="1"/>
  <c r="I68" i="1" s="1"/>
  <c r="F76" i="5" l="1"/>
  <c r="H75" i="5"/>
  <c r="J75" i="5" s="1"/>
  <c r="O46" i="1"/>
  <c r="T46" i="1" s="1"/>
  <c r="Z47" i="1" s="1"/>
  <c r="U46" i="1"/>
  <c r="V46" i="1" s="1"/>
  <c r="Y46" i="1"/>
  <c r="J68" i="1"/>
  <c r="C70" i="1"/>
  <c r="M70" i="1" s="1"/>
  <c r="E69" i="1"/>
  <c r="H69" i="1" s="1"/>
  <c r="I69" i="1" s="1"/>
  <c r="K47" i="1" l="1"/>
  <c r="F77" i="5"/>
  <c r="H76" i="5"/>
  <c r="J76" i="5" s="1"/>
  <c r="J69" i="1"/>
  <c r="C71" i="1"/>
  <c r="M71" i="1" s="1"/>
  <c r="E70" i="1"/>
  <c r="H70" i="1" s="1"/>
  <c r="I70" i="1" s="1"/>
  <c r="F78" i="5" l="1"/>
  <c r="H77" i="5"/>
  <c r="J77" i="5" s="1"/>
  <c r="U47" i="1"/>
  <c r="V47" i="1" s="1"/>
  <c r="Y47" i="1"/>
  <c r="O47" i="1"/>
  <c r="T47" i="1" s="1"/>
  <c r="Z48" i="1" s="1"/>
  <c r="J70" i="1"/>
  <c r="E71" i="1"/>
  <c r="H71" i="1" s="1"/>
  <c r="I71" i="1" s="1"/>
  <c r="C72" i="1"/>
  <c r="M72" i="1" s="1"/>
  <c r="K48" i="1" l="1"/>
  <c r="F79" i="5"/>
  <c r="H78" i="5"/>
  <c r="J78" i="5" s="1"/>
  <c r="J71" i="1"/>
  <c r="E72" i="1"/>
  <c r="H72" i="1" s="1"/>
  <c r="I72" i="1" s="1"/>
  <c r="C73" i="1"/>
  <c r="M73" i="1" s="1"/>
  <c r="F80" i="5" l="1"/>
  <c r="H79" i="5"/>
  <c r="J79" i="5" s="1"/>
  <c r="U48" i="1"/>
  <c r="V48" i="1" s="1"/>
  <c r="Y48" i="1"/>
  <c r="O48" i="1"/>
  <c r="T48" i="1" s="1"/>
  <c r="Z49" i="1" s="1"/>
  <c r="J72" i="1"/>
  <c r="C74" i="1"/>
  <c r="M74" i="1" s="1"/>
  <c r="E73" i="1"/>
  <c r="H73" i="1" s="1"/>
  <c r="I73" i="1" s="1"/>
  <c r="K49" i="1" l="1"/>
  <c r="U49" i="1" s="1"/>
  <c r="V49" i="1" s="1"/>
  <c r="F81" i="5"/>
  <c r="H80" i="5"/>
  <c r="J80" i="5" s="1"/>
  <c r="J73" i="1"/>
  <c r="E74" i="1"/>
  <c r="H74" i="1" s="1"/>
  <c r="I74" i="1" s="1"/>
  <c r="C75" i="1"/>
  <c r="M75" i="1" s="1"/>
  <c r="F82" i="5" l="1"/>
  <c r="H81" i="5"/>
  <c r="J81" i="5" s="1"/>
  <c r="O49" i="1"/>
  <c r="T49" i="1" s="1"/>
  <c r="K50" i="1" s="1"/>
  <c r="Y49" i="1"/>
  <c r="J74" i="1"/>
  <c r="E75" i="1"/>
  <c r="H75" i="1" s="1"/>
  <c r="I75" i="1" s="1"/>
  <c r="C76" i="1"/>
  <c r="M76" i="1" s="1"/>
  <c r="F83" i="5" l="1"/>
  <c r="H82" i="5"/>
  <c r="J82" i="5" s="1"/>
  <c r="Z50" i="1"/>
  <c r="U50" i="1"/>
  <c r="V50" i="1" s="1"/>
  <c r="O50" i="1"/>
  <c r="T50" i="1" s="1"/>
  <c r="K51" i="1" s="1"/>
  <c r="Y50" i="1"/>
  <c r="J75" i="1"/>
  <c r="E76" i="1"/>
  <c r="H76" i="1" s="1"/>
  <c r="I76" i="1" s="1"/>
  <c r="C77" i="1"/>
  <c r="M77" i="1" s="1"/>
  <c r="Z51" i="1" l="1"/>
  <c r="F84" i="5"/>
  <c r="H83" i="5"/>
  <c r="J83" i="5" s="1"/>
  <c r="U51" i="1"/>
  <c r="V51" i="1" s="1"/>
  <c r="O51" i="1"/>
  <c r="T51" i="1" s="1"/>
  <c r="Z52" i="1" s="1"/>
  <c r="Y51" i="1"/>
  <c r="J76" i="1"/>
  <c r="E77" i="1"/>
  <c r="H77" i="1" s="1"/>
  <c r="I77" i="1" s="1"/>
  <c r="C78" i="1"/>
  <c r="M78" i="1" s="1"/>
  <c r="K52" i="1" l="1"/>
  <c r="F85" i="5"/>
  <c r="H84" i="5"/>
  <c r="J84" i="5" s="1"/>
  <c r="J77" i="1"/>
  <c r="C79" i="1"/>
  <c r="M79" i="1" s="1"/>
  <c r="E78" i="1"/>
  <c r="H78" i="1" s="1"/>
  <c r="I78" i="1" s="1"/>
  <c r="F86" i="5" l="1"/>
  <c r="H85" i="5"/>
  <c r="J85" i="5" s="1"/>
  <c r="U52" i="1"/>
  <c r="V52" i="1" s="1"/>
  <c r="Y52" i="1"/>
  <c r="O52" i="1"/>
  <c r="T52" i="1" s="1"/>
  <c r="K53" i="1" s="1"/>
  <c r="J78" i="1"/>
  <c r="C80" i="1"/>
  <c r="M80" i="1" s="1"/>
  <c r="E79" i="1"/>
  <c r="H79" i="1" s="1"/>
  <c r="I79" i="1" s="1"/>
  <c r="F87" i="5" l="1"/>
  <c r="H86" i="5"/>
  <c r="J86" i="5" s="1"/>
  <c r="O53" i="1"/>
  <c r="T53" i="1" s="1"/>
  <c r="K54" i="1" s="1"/>
  <c r="U53" i="1"/>
  <c r="V53" i="1" s="1"/>
  <c r="Y53" i="1"/>
  <c r="Z53" i="1"/>
  <c r="E80" i="1"/>
  <c r="H80" i="1" s="1"/>
  <c r="I80" i="1" s="1"/>
  <c r="C81" i="1"/>
  <c r="M81" i="1" s="1"/>
  <c r="J79" i="1"/>
  <c r="F88" i="5" l="1"/>
  <c r="H87" i="5"/>
  <c r="J87" i="5" s="1"/>
  <c r="Z54" i="1"/>
  <c r="U54" i="1"/>
  <c r="V54" i="1" s="1"/>
  <c r="O54" i="1"/>
  <c r="T54" i="1" s="1"/>
  <c r="K55" i="1" s="1"/>
  <c r="Y54" i="1"/>
  <c r="C82" i="1"/>
  <c r="M82" i="1" s="1"/>
  <c r="E81" i="1"/>
  <c r="H81" i="1" s="1"/>
  <c r="I81" i="1" s="1"/>
  <c r="J80" i="1"/>
  <c r="F89" i="5" l="1"/>
  <c r="H88" i="5"/>
  <c r="J88" i="5" s="1"/>
  <c r="O55" i="1"/>
  <c r="T55" i="1" s="1"/>
  <c r="K56" i="1" s="1"/>
  <c r="Y55" i="1"/>
  <c r="U55" i="1"/>
  <c r="V55" i="1" s="1"/>
  <c r="Z55" i="1"/>
  <c r="J81" i="1"/>
  <c r="E82" i="1"/>
  <c r="H82" i="1" s="1"/>
  <c r="I82" i="1" s="1"/>
  <c r="C83" i="1"/>
  <c r="M83" i="1" s="1"/>
  <c r="F90" i="5" l="1"/>
  <c r="H89" i="5"/>
  <c r="J89" i="5" s="1"/>
  <c r="O56" i="1"/>
  <c r="T56" i="1" s="1"/>
  <c r="K57" i="1" s="1"/>
  <c r="Y56" i="1"/>
  <c r="U56" i="1"/>
  <c r="V56" i="1" s="1"/>
  <c r="Z56" i="1"/>
  <c r="J82" i="1"/>
  <c r="C84" i="1"/>
  <c r="M84" i="1" s="1"/>
  <c r="E83" i="1"/>
  <c r="H83" i="1" s="1"/>
  <c r="I83" i="1" s="1"/>
  <c r="Z57" i="1" l="1"/>
  <c r="F91" i="5"/>
  <c r="H90" i="5"/>
  <c r="J90" i="5" s="1"/>
  <c r="O57" i="1"/>
  <c r="T57" i="1" s="1"/>
  <c r="K58" i="1" s="1"/>
  <c r="Y57" i="1"/>
  <c r="U57" i="1"/>
  <c r="V57" i="1" s="1"/>
  <c r="C85" i="1"/>
  <c r="M85" i="1" s="1"/>
  <c r="E84" i="1"/>
  <c r="H84" i="1" s="1"/>
  <c r="I84" i="1" s="1"/>
  <c r="J83" i="1"/>
  <c r="Z58" i="1" l="1"/>
  <c r="F92" i="5"/>
  <c r="H91" i="5"/>
  <c r="J91" i="5" s="1"/>
  <c r="O58" i="1"/>
  <c r="T58" i="1" s="1"/>
  <c r="K59" i="1" s="1"/>
  <c r="U58" i="1"/>
  <c r="V58" i="1" s="1"/>
  <c r="Y58" i="1"/>
  <c r="E85" i="1"/>
  <c r="H85" i="1" s="1"/>
  <c r="I85" i="1" s="1"/>
  <c r="C86" i="1"/>
  <c r="M86" i="1" s="1"/>
  <c r="J84" i="1"/>
  <c r="F93" i="5" l="1"/>
  <c r="H92" i="5"/>
  <c r="J92" i="5" s="1"/>
  <c r="Z59" i="1"/>
  <c r="O59" i="1"/>
  <c r="T59" i="1" s="1"/>
  <c r="K60" i="1" s="1"/>
  <c r="Y59" i="1"/>
  <c r="U59" i="1"/>
  <c r="V59" i="1" s="1"/>
  <c r="J85" i="1"/>
  <c r="C87" i="1"/>
  <c r="M87" i="1" s="1"/>
  <c r="E86" i="1"/>
  <c r="H86" i="1" s="1"/>
  <c r="I86" i="1" s="1"/>
  <c r="F94" i="5" l="1"/>
  <c r="H93" i="5"/>
  <c r="J93" i="5" s="1"/>
  <c r="Z60" i="1"/>
  <c r="O60" i="1"/>
  <c r="T60" i="1" s="1"/>
  <c r="K61" i="1" s="1"/>
  <c r="U60" i="1"/>
  <c r="V60" i="1" s="1"/>
  <c r="Y60" i="1"/>
  <c r="J86" i="1"/>
  <c r="E87" i="1"/>
  <c r="H87" i="1" s="1"/>
  <c r="I87" i="1" s="1"/>
  <c r="C88" i="1"/>
  <c r="M88" i="1" s="1"/>
  <c r="F95" i="5" l="1"/>
  <c r="H94" i="5"/>
  <c r="J94" i="5" s="1"/>
  <c r="O61" i="1"/>
  <c r="T61" i="1" s="1"/>
  <c r="K62" i="1" s="1"/>
  <c r="U61" i="1"/>
  <c r="V61" i="1" s="1"/>
  <c r="Y61" i="1"/>
  <c r="Z61" i="1"/>
  <c r="J87" i="1"/>
  <c r="C89" i="1"/>
  <c r="M89" i="1" s="1"/>
  <c r="E88" i="1"/>
  <c r="H88" i="1" s="1"/>
  <c r="I88" i="1" s="1"/>
  <c r="F96" i="5" l="1"/>
  <c r="H95" i="5"/>
  <c r="J95" i="5" s="1"/>
  <c r="U62" i="1"/>
  <c r="V62" i="1" s="1"/>
  <c r="O62" i="1"/>
  <c r="T62" i="1" s="1"/>
  <c r="K63" i="1" s="1"/>
  <c r="Y62" i="1"/>
  <c r="Z62" i="1"/>
  <c r="C90" i="1"/>
  <c r="E89" i="1"/>
  <c r="H89" i="1" s="1"/>
  <c r="I89" i="1" s="1"/>
  <c r="J88" i="1"/>
  <c r="C91" i="1" l="1"/>
  <c r="M91" i="1" s="1"/>
  <c r="M90" i="1"/>
  <c r="F97" i="5"/>
  <c r="H96" i="5"/>
  <c r="J96" i="5" s="1"/>
  <c r="U63" i="1"/>
  <c r="V63" i="1" s="1"/>
  <c r="O63" i="1"/>
  <c r="T63" i="1" s="1"/>
  <c r="K64" i="1" s="1"/>
  <c r="Y63" i="1"/>
  <c r="Z63" i="1"/>
  <c r="J89" i="1"/>
  <c r="C92" i="1"/>
  <c r="M92" i="1" s="1"/>
  <c r="E91" i="1"/>
  <c r="H91" i="1" s="1"/>
  <c r="I91" i="1" s="1"/>
  <c r="E90" i="1"/>
  <c r="H90" i="1" s="1"/>
  <c r="I90" i="1" s="1"/>
  <c r="F98" i="5" l="1"/>
  <c r="H97" i="5"/>
  <c r="J97" i="5" s="1"/>
  <c r="Z64" i="1"/>
  <c r="O64" i="1"/>
  <c r="T64" i="1" s="1"/>
  <c r="K65" i="1" s="1"/>
  <c r="U64" i="1"/>
  <c r="V64" i="1" s="1"/>
  <c r="Y64" i="1"/>
  <c r="J91" i="1"/>
  <c r="C93" i="1"/>
  <c r="M93" i="1" s="1"/>
  <c r="E92" i="1"/>
  <c r="H92" i="1" s="1"/>
  <c r="I92" i="1" s="1"/>
  <c r="J90" i="1"/>
  <c r="F99" i="5" l="1"/>
  <c r="H98" i="5"/>
  <c r="J98" i="5" s="1"/>
  <c r="Z65" i="1"/>
  <c r="O65" i="1"/>
  <c r="T65" i="1" s="1"/>
  <c r="K66" i="1" s="1"/>
  <c r="U65" i="1"/>
  <c r="V65" i="1" s="1"/>
  <c r="Y65" i="1"/>
  <c r="J92" i="1"/>
  <c r="C94" i="1"/>
  <c r="M94" i="1" s="1"/>
  <c r="E93" i="1"/>
  <c r="H93" i="1" s="1"/>
  <c r="I93" i="1" s="1"/>
  <c r="H99" i="5" l="1"/>
  <c r="J99" i="5" s="1"/>
  <c r="F100" i="5"/>
  <c r="Z66" i="1"/>
  <c r="O66" i="1"/>
  <c r="T66" i="1" s="1"/>
  <c r="K67" i="1" s="1"/>
  <c r="Y66" i="1"/>
  <c r="U66" i="1"/>
  <c r="V66" i="1" s="1"/>
  <c r="C95" i="1"/>
  <c r="M95" i="1" s="1"/>
  <c r="E94" i="1"/>
  <c r="H94" i="1" s="1"/>
  <c r="I94" i="1" s="1"/>
  <c r="J93" i="1"/>
  <c r="F101" i="5" l="1"/>
  <c r="H100" i="5"/>
  <c r="J100" i="5" s="1"/>
  <c r="Z67" i="1"/>
  <c r="Y67" i="1"/>
  <c r="U67" i="1"/>
  <c r="V67" i="1" s="1"/>
  <c r="O67" i="1"/>
  <c r="T67" i="1" s="1"/>
  <c r="Z68" i="1" s="1"/>
  <c r="J94" i="1"/>
  <c r="C96" i="1"/>
  <c r="M96" i="1" s="1"/>
  <c r="E95" i="1"/>
  <c r="H95" i="1" s="1"/>
  <c r="I95" i="1" s="1"/>
  <c r="F102" i="5" l="1"/>
  <c r="H101" i="5"/>
  <c r="J101" i="5" s="1"/>
  <c r="K68" i="1"/>
  <c r="O68" i="1" s="1"/>
  <c r="T68" i="1" s="1"/>
  <c r="Z69" i="1" s="1"/>
  <c r="J95" i="1"/>
  <c r="C97" i="1"/>
  <c r="M97" i="1" s="1"/>
  <c r="E96" i="1"/>
  <c r="H96" i="1" s="1"/>
  <c r="I96" i="1" s="1"/>
  <c r="F103" i="5" l="1"/>
  <c r="H102" i="5"/>
  <c r="J102" i="5" s="1"/>
  <c r="K69" i="1"/>
  <c r="U68" i="1"/>
  <c r="V68" i="1" s="1"/>
  <c r="Y68" i="1"/>
  <c r="J96" i="1"/>
  <c r="C98" i="1"/>
  <c r="M98" i="1" s="1"/>
  <c r="E97" i="1"/>
  <c r="H97" i="1" s="1"/>
  <c r="I97" i="1" s="1"/>
  <c r="F104" i="5" l="1"/>
  <c r="H103" i="5"/>
  <c r="J103" i="5" s="1"/>
  <c r="Y69" i="1"/>
  <c r="U69" i="1"/>
  <c r="V69" i="1" s="1"/>
  <c r="O69" i="1"/>
  <c r="T69" i="1" s="1"/>
  <c r="K70" i="1" s="1"/>
  <c r="J97" i="1"/>
  <c r="C99" i="1"/>
  <c r="M99" i="1" s="1"/>
  <c r="E98" i="1"/>
  <c r="H98" i="1" s="1"/>
  <c r="I98" i="1" s="1"/>
  <c r="F105" i="5" l="1"/>
  <c r="H104" i="5"/>
  <c r="J104" i="5" s="1"/>
  <c r="U70" i="1"/>
  <c r="V70" i="1" s="1"/>
  <c r="Y70" i="1"/>
  <c r="O70" i="1"/>
  <c r="T70" i="1" s="1"/>
  <c r="Z71" i="1" s="1"/>
  <c r="Z70" i="1"/>
  <c r="C100" i="1"/>
  <c r="E99" i="1"/>
  <c r="H99" i="1" s="1"/>
  <c r="I99" i="1" s="1"/>
  <c r="J98" i="1"/>
  <c r="F106" i="5" l="1"/>
  <c r="H105" i="5"/>
  <c r="J105" i="5" s="1"/>
  <c r="M100" i="1"/>
  <c r="C101" i="1"/>
  <c r="K71" i="1"/>
  <c r="J99" i="1"/>
  <c r="E100" i="1"/>
  <c r="H100" i="1" s="1"/>
  <c r="I100" i="1" s="1"/>
  <c r="F107" i="5" l="1"/>
  <c r="H106" i="5"/>
  <c r="J106" i="5" s="1"/>
  <c r="C102" i="1"/>
  <c r="M101" i="1"/>
  <c r="E101" i="1"/>
  <c r="H101" i="1" s="1"/>
  <c r="I101" i="1" s="1"/>
  <c r="Y71" i="1"/>
  <c r="O71" i="1"/>
  <c r="T71" i="1" s="1"/>
  <c r="K72" i="1" s="1"/>
  <c r="U71" i="1"/>
  <c r="V71" i="1" s="1"/>
  <c r="J100" i="1"/>
  <c r="F108" i="5" l="1"/>
  <c r="H107" i="5"/>
  <c r="J107" i="5" s="1"/>
  <c r="J101" i="1"/>
  <c r="E102" i="1"/>
  <c r="H102" i="1" s="1"/>
  <c r="I102" i="1" s="1"/>
  <c r="C103" i="1"/>
  <c r="J102" i="1"/>
  <c r="M102" i="1"/>
  <c r="O72" i="1"/>
  <c r="T72" i="1" s="1"/>
  <c r="K73" i="1" s="1"/>
  <c r="U72" i="1"/>
  <c r="V72" i="1" s="1"/>
  <c r="Y72" i="1"/>
  <c r="Z72" i="1"/>
  <c r="F109" i="5" l="1"/>
  <c r="H108" i="5"/>
  <c r="J108" i="5" s="1"/>
  <c r="E103" i="1"/>
  <c r="H103" i="1" s="1"/>
  <c r="I103" i="1" s="1"/>
  <c r="M103" i="1"/>
  <c r="C104" i="1"/>
  <c r="J103" i="1"/>
  <c r="Z73" i="1"/>
  <c r="U73" i="1"/>
  <c r="V73" i="1" s="1"/>
  <c r="Y73" i="1"/>
  <c r="O73" i="1"/>
  <c r="T73" i="1" s="1"/>
  <c r="K74" i="1" s="1"/>
  <c r="F110" i="5" l="1"/>
  <c r="H109" i="5"/>
  <c r="J109" i="5" s="1"/>
  <c r="M104" i="1"/>
  <c r="C105" i="1"/>
  <c r="E104" i="1"/>
  <c r="H104" i="1" s="1"/>
  <c r="I104" i="1" s="1"/>
  <c r="J104" i="1"/>
  <c r="Z74" i="1"/>
  <c r="O74" i="1"/>
  <c r="T74" i="1" s="1"/>
  <c r="K75" i="1" s="1"/>
  <c r="U74" i="1"/>
  <c r="V74" i="1" s="1"/>
  <c r="Y74" i="1"/>
  <c r="F111" i="5" l="1"/>
  <c r="H110" i="5"/>
  <c r="J110" i="5" s="1"/>
  <c r="C106" i="1"/>
  <c r="E105" i="1"/>
  <c r="H105" i="1" s="1"/>
  <c r="I105" i="1" s="1"/>
  <c r="M105" i="1"/>
  <c r="J105" i="1"/>
  <c r="Z75" i="1"/>
  <c r="O75" i="1"/>
  <c r="T75" i="1" s="1"/>
  <c r="K76" i="1" s="1"/>
  <c r="Y75" i="1"/>
  <c r="U75" i="1"/>
  <c r="V75" i="1" s="1"/>
  <c r="F112" i="5" l="1"/>
  <c r="H111" i="5"/>
  <c r="J111" i="5" s="1"/>
  <c r="E106" i="1"/>
  <c r="H106" i="1" s="1"/>
  <c r="I106" i="1" s="1"/>
  <c r="M106" i="1"/>
  <c r="C107" i="1"/>
  <c r="J106" i="1"/>
  <c r="Z76" i="1"/>
  <c r="O76" i="1"/>
  <c r="T76" i="1" s="1"/>
  <c r="K77" i="1" s="1"/>
  <c r="Y76" i="1"/>
  <c r="U76" i="1"/>
  <c r="V76" i="1" s="1"/>
  <c r="F113" i="5" l="1"/>
  <c r="H112" i="5"/>
  <c r="J112" i="5" s="1"/>
  <c r="M107" i="1"/>
  <c r="C108" i="1"/>
  <c r="E107" i="1"/>
  <c r="H107" i="1" s="1"/>
  <c r="I107" i="1" s="1"/>
  <c r="J107" i="1"/>
  <c r="Z77" i="1"/>
  <c r="O77" i="1"/>
  <c r="T77" i="1" s="1"/>
  <c r="K78" i="1" s="1"/>
  <c r="U77" i="1"/>
  <c r="V77" i="1" s="1"/>
  <c r="Y77" i="1"/>
  <c r="F114" i="5" l="1"/>
  <c r="H113" i="5"/>
  <c r="J113" i="5" s="1"/>
  <c r="E108" i="1"/>
  <c r="H108" i="1" s="1"/>
  <c r="I108" i="1" s="1"/>
  <c r="J108" i="1"/>
  <c r="M108" i="1"/>
  <c r="C109" i="1"/>
  <c r="O78" i="1"/>
  <c r="T78" i="1" s="1"/>
  <c r="Z79" i="1" s="1"/>
  <c r="U78" i="1"/>
  <c r="V78" i="1" s="1"/>
  <c r="Y78" i="1"/>
  <c r="Z78" i="1"/>
  <c r="F115" i="5" l="1"/>
  <c r="H114" i="5"/>
  <c r="J114" i="5" s="1"/>
  <c r="C110" i="1"/>
  <c r="E109" i="1"/>
  <c r="H109" i="1" s="1"/>
  <c r="I109" i="1" s="1"/>
  <c r="M109" i="1"/>
  <c r="K79" i="1"/>
  <c r="U79" i="1" s="1"/>
  <c r="V79" i="1" s="1"/>
  <c r="F116" i="5" l="1"/>
  <c r="H115" i="5"/>
  <c r="J115" i="5" s="1"/>
  <c r="M110" i="1"/>
  <c r="E110" i="1"/>
  <c r="H110" i="1" s="1"/>
  <c r="I110" i="1" s="1"/>
  <c r="C111" i="1"/>
  <c r="J109" i="1"/>
  <c r="O79" i="1"/>
  <c r="T79" i="1" s="1"/>
  <c r="Z80" i="1" s="1"/>
  <c r="Y79" i="1"/>
  <c r="F117" i="5" l="1"/>
  <c r="H116" i="5"/>
  <c r="J116" i="5" s="1"/>
  <c r="C112" i="1"/>
  <c r="M111" i="1"/>
  <c r="E111" i="1"/>
  <c r="H111" i="1" s="1"/>
  <c r="I111" i="1" s="1"/>
  <c r="J110" i="1"/>
  <c r="K80" i="1"/>
  <c r="Y80" i="1" s="1"/>
  <c r="F118" i="5" l="1"/>
  <c r="H117" i="5"/>
  <c r="J117" i="5" s="1"/>
  <c r="J111" i="1"/>
  <c r="E112" i="1"/>
  <c r="H112" i="1" s="1"/>
  <c r="I112" i="1" s="1"/>
  <c r="C113" i="1"/>
  <c r="J112" i="1"/>
  <c r="M112" i="1"/>
  <c r="O80" i="1"/>
  <c r="T80" i="1" s="1"/>
  <c r="K81" i="1" s="1"/>
  <c r="U81" i="1" s="1"/>
  <c r="V81" i="1" s="1"/>
  <c r="U80" i="1"/>
  <c r="V80" i="1" s="1"/>
  <c r="F119" i="5" l="1"/>
  <c r="H118" i="5"/>
  <c r="J118" i="5" s="1"/>
  <c r="C114" i="1"/>
  <c r="M113" i="1"/>
  <c r="E113" i="1"/>
  <c r="H113" i="1" s="1"/>
  <c r="I113" i="1" s="1"/>
  <c r="J113" i="1"/>
  <c r="Z81" i="1"/>
  <c r="Y81" i="1"/>
  <c r="O81" i="1"/>
  <c r="T81" i="1" s="1"/>
  <c r="Z82" i="1" s="1"/>
  <c r="F120" i="5" l="1"/>
  <c r="H119" i="5"/>
  <c r="J119" i="5" s="1"/>
  <c r="C115" i="1"/>
  <c r="E114" i="1"/>
  <c r="H114" i="1" s="1"/>
  <c r="I114" i="1" s="1"/>
  <c r="J114" i="1"/>
  <c r="M114" i="1"/>
  <c r="K82" i="1"/>
  <c r="F121" i="5" l="1"/>
  <c r="H120" i="5"/>
  <c r="J120" i="5" s="1"/>
  <c r="M115" i="1"/>
  <c r="C116" i="1"/>
  <c r="E115" i="1"/>
  <c r="H115" i="1" s="1"/>
  <c r="I115" i="1" s="1"/>
  <c r="O82" i="1"/>
  <c r="T82" i="1" s="1"/>
  <c r="Z83" i="1" s="1"/>
  <c r="U82" i="1"/>
  <c r="V82" i="1" s="1"/>
  <c r="Y82" i="1"/>
  <c r="F122" i="5" l="1"/>
  <c r="H121" i="5"/>
  <c r="J121" i="5" s="1"/>
  <c r="M116" i="1"/>
  <c r="E116" i="1"/>
  <c r="H116" i="1" s="1"/>
  <c r="I116" i="1" s="1"/>
  <c r="C117" i="1"/>
  <c r="J116" i="1"/>
  <c r="J115" i="1"/>
  <c r="K83" i="1"/>
  <c r="F123" i="5" l="1"/>
  <c r="H122" i="5"/>
  <c r="J122" i="5" s="1"/>
  <c r="M117" i="1"/>
  <c r="E117" i="1"/>
  <c r="H117" i="1" s="1"/>
  <c r="I117" i="1" s="1"/>
  <c r="C118" i="1"/>
  <c r="J117" i="1"/>
  <c r="Y83" i="1"/>
  <c r="O83" i="1"/>
  <c r="T83" i="1" s="1"/>
  <c r="Z84" i="1" s="1"/>
  <c r="U83" i="1"/>
  <c r="V83" i="1" s="1"/>
  <c r="F124" i="5" l="1"/>
  <c r="H123" i="5"/>
  <c r="J123" i="5" s="1"/>
  <c r="E118" i="1"/>
  <c r="H118" i="1" s="1"/>
  <c r="I118" i="1" s="1"/>
  <c r="C119" i="1"/>
  <c r="J118" i="1"/>
  <c r="M118" i="1"/>
  <c r="K84" i="1"/>
  <c r="F125" i="5" l="1"/>
  <c r="H124" i="5"/>
  <c r="J124" i="5" s="1"/>
  <c r="M119" i="1"/>
  <c r="C120" i="1"/>
  <c r="E119" i="1"/>
  <c r="H119" i="1" s="1"/>
  <c r="I119" i="1" s="1"/>
  <c r="J119" i="1"/>
  <c r="U84" i="1"/>
  <c r="V84" i="1" s="1"/>
  <c r="Y84" i="1"/>
  <c r="O84" i="1"/>
  <c r="T84" i="1" s="1"/>
  <c r="Z85" i="1" s="1"/>
  <c r="F126" i="5" l="1"/>
  <c r="H125" i="5"/>
  <c r="J125" i="5" s="1"/>
  <c r="C121" i="1"/>
  <c r="E120" i="1"/>
  <c r="H120" i="1" s="1"/>
  <c r="I120" i="1" s="1"/>
  <c r="M120" i="1"/>
  <c r="J120" i="1"/>
  <c r="K85" i="1"/>
  <c r="U85" i="1" s="1"/>
  <c r="V85" i="1" s="1"/>
  <c r="F127" i="5" l="1"/>
  <c r="H126" i="5"/>
  <c r="J126" i="5" s="1"/>
  <c r="C122" i="1"/>
  <c r="E121" i="1"/>
  <c r="H121" i="1" s="1"/>
  <c r="I121" i="1" s="1"/>
  <c r="J121" i="1"/>
  <c r="M121" i="1"/>
  <c r="O85" i="1"/>
  <c r="T85" i="1" s="1"/>
  <c r="K86" i="1" s="1"/>
  <c r="O86" i="1" s="1"/>
  <c r="T86" i="1" s="1"/>
  <c r="Z87" i="1" s="1"/>
  <c r="Y85" i="1"/>
  <c r="F128" i="5" l="1"/>
  <c r="H127" i="5"/>
  <c r="J127" i="5" s="1"/>
  <c r="M122" i="1"/>
  <c r="C123" i="1"/>
  <c r="E122" i="1"/>
  <c r="H122" i="1" s="1"/>
  <c r="I122" i="1" s="1"/>
  <c r="Z86" i="1"/>
  <c r="U86" i="1"/>
  <c r="V86" i="1" s="1"/>
  <c r="Y86" i="1"/>
  <c r="K87" i="1"/>
  <c r="U87" i="1" s="1"/>
  <c r="V87" i="1" s="1"/>
  <c r="F129" i="5" l="1"/>
  <c r="H128" i="5"/>
  <c r="J128" i="5" s="1"/>
  <c r="C124" i="1"/>
  <c r="E123" i="1"/>
  <c r="H123" i="1" s="1"/>
  <c r="I123" i="1" s="1"/>
  <c r="M123" i="1"/>
  <c r="J122" i="1"/>
  <c r="O87" i="1"/>
  <c r="T87" i="1" s="1"/>
  <c r="K88" i="1" s="1"/>
  <c r="O88" i="1" s="1"/>
  <c r="T88" i="1" s="1"/>
  <c r="K89" i="1" s="1"/>
  <c r="O89" i="1" s="1"/>
  <c r="T89" i="1" s="1"/>
  <c r="K90" i="1" s="1"/>
  <c r="Y87" i="1"/>
  <c r="F130" i="5" l="1"/>
  <c r="H129" i="5"/>
  <c r="J129" i="5" s="1"/>
  <c r="J123" i="1"/>
  <c r="E124" i="1"/>
  <c r="H124" i="1" s="1"/>
  <c r="I124" i="1" s="1"/>
  <c r="C125" i="1"/>
  <c r="M124" i="1"/>
  <c r="J124" i="1"/>
  <c r="Z89" i="1"/>
  <c r="U89" i="1"/>
  <c r="V89" i="1" s="1"/>
  <c r="U88" i="1"/>
  <c r="V88" i="1" s="1"/>
  <c r="Z88" i="1"/>
  <c r="Y88" i="1"/>
  <c r="Y89" i="1"/>
  <c r="Z90" i="1"/>
  <c r="F131" i="5" l="1"/>
  <c r="H130" i="5"/>
  <c r="J130" i="5" s="1"/>
  <c r="M125" i="1"/>
  <c r="E125" i="1"/>
  <c r="H125" i="1" s="1"/>
  <c r="I125" i="1" s="1"/>
  <c r="C126" i="1"/>
  <c r="J125" i="1"/>
  <c r="O90" i="1"/>
  <c r="Y90" i="1"/>
  <c r="U90" i="1"/>
  <c r="V90" i="1" s="1"/>
  <c r="F132" i="5" l="1"/>
  <c r="H131" i="5"/>
  <c r="J131" i="5" s="1"/>
  <c r="E126" i="1"/>
  <c r="H126" i="1" s="1"/>
  <c r="I126" i="1" s="1"/>
  <c r="M126" i="1"/>
  <c r="C127" i="1"/>
  <c r="J126" i="1"/>
  <c r="T90" i="1"/>
  <c r="K91" i="1" s="1"/>
  <c r="X14" i="4"/>
  <c r="F133" i="5" l="1"/>
  <c r="H132" i="5"/>
  <c r="J132" i="5" s="1"/>
  <c r="E127" i="1"/>
  <c r="H127" i="1" s="1"/>
  <c r="I127" i="1" s="1"/>
  <c r="M127" i="1"/>
  <c r="C128" i="1"/>
  <c r="J127" i="1"/>
  <c r="Z91" i="1"/>
  <c r="F134" i="5" l="1"/>
  <c r="H133" i="5"/>
  <c r="J133" i="5" s="1"/>
  <c r="M128" i="1"/>
  <c r="E128" i="1"/>
  <c r="H128" i="1" s="1"/>
  <c r="I128" i="1" s="1"/>
  <c r="C129" i="1"/>
  <c r="J128" i="1"/>
  <c r="U91" i="1"/>
  <c r="V91" i="1" s="1"/>
  <c r="Y91" i="1"/>
  <c r="O91" i="1"/>
  <c r="T91" i="1" s="1"/>
  <c r="K92" i="1" s="1"/>
  <c r="F135" i="5" l="1"/>
  <c r="H135" i="5" s="1"/>
  <c r="J135" i="5" s="1"/>
  <c r="H134" i="5"/>
  <c r="J134" i="5" s="1"/>
  <c r="M129" i="1"/>
  <c r="C130" i="1"/>
  <c r="E129" i="1"/>
  <c r="H129" i="1" s="1"/>
  <c r="I129" i="1" s="1"/>
  <c r="U92" i="1"/>
  <c r="V92" i="1" s="1"/>
  <c r="Y92" i="1"/>
  <c r="O92" i="1"/>
  <c r="T92" i="1" s="1"/>
  <c r="K93" i="1" s="1"/>
  <c r="Z92" i="1"/>
  <c r="J129" i="1" l="1"/>
  <c r="E130" i="1"/>
  <c r="H130" i="1" s="1"/>
  <c r="I130" i="1" s="1"/>
  <c r="C131" i="1"/>
  <c r="M130" i="1"/>
  <c r="J130" i="1"/>
  <c r="Y93" i="1"/>
  <c r="U93" i="1"/>
  <c r="V93" i="1" s="1"/>
  <c r="O93" i="1"/>
  <c r="T93" i="1" s="1"/>
  <c r="Z94" i="1" s="1"/>
  <c r="Z93" i="1"/>
  <c r="M131" i="1" l="1"/>
  <c r="C132" i="1"/>
  <c r="E131" i="1"/>
  <c r="H131" i="1" s="1"/>
  <c r="I131" i="1" s="1"/>
  <c r="J131" i="1"/>
  <c r="K94" i="1"/>
  <c r="Y94" i="1" s="1"/>
  <c r="C133" i="1" l="1"/>
  <c r="E132" i="1"/>
  <c r="H132" i="1" s="1"/>
  <c r="I132" i="1" s="1"/>
  <c r="M132" i="1"/>
  <c r="J132" i="1"/>
  <c r="U94" i="1"/>
  <c r="V94" i="1" s="1"/>
  <c r="O94" i="1"/>
  <c r="T94" i="1" s="1"/>
  <c r="E133" i="1" l="1"/>
  <c r="H133" i="1" s="1"/>
  <c r="I133" i="1" s="1"/>
  <c r="J133" i="1"/>
  <c r="M133" i="1"/>
  <c r="C134" i="1"/>
  <c r="K95" i="1"/>
  <c r="Y95" i="1" s="1"/>
  <c r="Z95" i="1"/>
  <c r="C135" i="1" l="1"/>
  <c r="E134" i="1"/>
  <c r="H134" i="1" s="1"/>
  <c r="I134" i="1" s="1"/>
  <c r="M134" i="1"/>
  <c r="J134" i="1"/>
  <c r="O95" i="1"/>
  <c r="T95" i="1" s="1"/>
  <c r="Z96" i="1" s="1"/>
  <c r="U95" i="1"/>
  <c r="V95" i="1" s="1"/>
  <c r="M135" i="1" l="1"/>
  <c r="C136" i="1"/>
  <c r="E135" i="1"/>
  <c r="H135" i="1" s="1"/>
  <c r="I135" i="1" s="1"/>
  <c r="J135" i="1"/>
  <c r="K96" i="1"/>
  <c r="Y96" i="1" s="1"/>
  <c r="E136" i="1" l="1"/>
  <c r="H136" i="1" s="1"/>
  <c r="I136" i="1" s="1"/>
  <c r="J136" i="1"/>
  <c r="M136" i="1"/>
  <c r="U96" i="1"/>
  <c r="V96" i="1" s="1"/>
  <c r="O96" i="1"/>
  <c r="T96" i="1" s="1"/>
  <c r="K97" i="1" s="1"/>
  <c r="Z97" i="1" l="1"/>
  <c r="Y97" i="1"/>
  <c r="O97" i="1"/>
  <c r="T97" i="1" s="1"/>
  <c r="Z98" i="1" s="1"/>
  <c r="U97" i="1"/>
  <c r="V97" i="1" s="1"/>
  <c r="K98" i="1" l="1"/>
  <c r="Y98" i="1" l="1"/>
  <c r="O98" i="1"/>
  <c r="T98" i="1" s="1"/>
  <c r="K99" i="1" s="1"/>
  <c r="U98" i="1"/>
  <c r="V98" i="1" s="1"/>
  <c r="Z99" i="1" l="1"/>
  <c r="O99" i="1"/>
  <c r="T99" i="1" s="1"/>
  <c r="K100" i="1" s="1"/>
  <c r="U99" i="1"/>
  <c r="V99" i="1" s="1"/>
  <c r="Y99" i="1"/>
  <c r="Z100" i="1" l="1"/>
  <c r="Y100" i="1"/>
  <c r="O100" i="1"/>
  <c r="T100" i="1" s="1"/>
  <c r="K101" i="1" s="1"/>
  <c r="U100" i="1"/>
  <c r="V100" i="1" s="1"/>
  <c r="U101" i="1" l="1"/>
  <c r="V101" i="1" s="1"/>
  <c r="Y101" i="1"/>
  <c r="O101" i="1"/>
  <c r="T101" i="1" s="1"/>
  <c r="K102" i="1" s="1"/>
  <c r="Z101" i="1"/>
  <c r="Z102" i="1" l="1"/>
  <c r="O102" i="1"/>
  <c r="T102" i="1" s="1"/>
  <c r="K103" i="1" s="1"/>
  <c r="Z103" i="1"/>
  <c r="Y102" i="1"/>
  <c r="U102" i="1"/>
  <c r="V102" i="1" s="1"/>
  <c r="Y103" i="1" l="1"/>
  <c r="U103" i="1"/>
  <c r="V103" i="1" s="1"/>
  <c r="O103" i="1"/>
  <c r="T103" i="1" s="1"/>
  <c r="Z104" i="1" s="1"/>
  <c r="K104" i="1" l="1"/>
  <c r="O104" i="1" l="1"/>
  <c r="T104" i="1" s="1"/>
  <c r="K105" i="1" s="1"/>
  <c r="Z105" i="1"/>
  <c r="Y104" i="1"/>
  <c r="U104" i="1"/>
  <c r="V104" i="1" s="1"/>
  <c r="Y105" i="1" l="1"/>
  <c r="U105" i="1"/>
  <c r="V105" i="1" s="1"/>
  <c r="O105" i="1"/>
  <c r="T105" i="1" s="1"/>
  <c r="K106" i="1" s="1"/>
  <c r="Y106" i="1" l="1"/>
  <c r="U106" i="1"/>
  <c r="V106" i="1" s="1"/>
  <c r="O106" i="1"/>
  <c r="T106" i="1" s="1"/>
  <c r="Z107" i="1" s="1"/>
  <c r="Z106" i="1"/>
  <c r="K107" i="1" l="1"/>
  <c r="Y107" i="1" l="1"/>
  <c r="O107" i="1"/>
  <c r="T107" i="1" s="1"/>
  <c r="K108" i="1" s="1"/>
  <c r="U107" i="1"/>
  <c r="V107" i="1" s="1"/>
  <c r="O108" i="1" l="1"/>
  <c r="T108" i="1" s="1"/>
  <c r="K109" i="1" s="1"/>
  <c r="Z109" i="1"/>
  <c r="Y108" i="1"/>
  <c r="U108" i="1"/>
  <c r="V108" i="1" s="1"/>
  <c r="Z108" i="1"/>
  <c r="Y109" i="1" l="1"/>
  <c r="O109" i="1"/>
  <c r="T109" i="1" s="1"/>
  <c r="K110" i="1" s="1"/>
  <c r="U109" i="1"/>
  <c r="V109" i="1" s="1"/>
  <c r="Y110" i="1" l="1"/>
  <c r="O110" i="1"/>
  <c r="T110" i="1" s="1"/>
  <c r="Z111" i="1" s="1"/>
  <c r="U110" i="1"/>
  <c r="V110" i="1" s="1"/>
  <c r="Z110" i="1"/>
  <c r="K111" i="1" l="1"/>
  <c r="O111" i="1" l="1"/>
  <c r="T111" i="1" s="1"/>
  <c r="Z112" i="1" s="1"/>
  <c r="K112" i="1"/>
  <c r="Y111" i="1"/>
  <c r="U111" i="1"/>
  <c r="V111" i="1" s="1"/>
  <c r="O112" i="1" l="1"/>
  <c r="T112" i="1" s="1"/>
  <c r="K113" i="1" s="1"/>
  <c r="Y112" i="1"/>
  <c r="U112" i="1"/>
  <c r="V112" i="1" s="1"/>
  <c r="Z113" i="1" l="1"/>
  <c r="O113" i="1"/>
  <c r="T113" i="1" s="1"/>
  <c r="K114" i="1" s="1"/>
  <c r="Y113" i="1"/>
  <c r="U113" i="1"/>
  <c r="V113" i="1" s="1"/>
  <c r="Z114" i="1" l="1"/>
  <c r="O114" i="1"/>
  <c r="T114" i="1" s="1"/>
  <c r="Z115" i="1" s="1"/>
  <c r="Y114" i="1"/>
  <c r="U114" i="1"/>
  <c r="V114" i="1" s="1"/>
  <c r="K115" i="1" l="1"/>
  <c r="O115" i="1" s="1"/>
  <c r="T115" i="1" s="1"/>
  <c r="Z116" i="1" s="1"/>
  <c r="Y115" i="1" l="1"/>
  <c r="U115" i="1"/>
  <c r="V115" i="1" s="1"/>
  <c r="K116" i="1"/>
  <c r="Y116" i="1" l="1"/>
  <c r="O116" i="1"/>
  <c r="T116" i="1" s="1"/>
  <c r="Z117" i="1" s="1"/>
  <c r="U116" i="1"/>
  <c r="V116" i="1" s="1"/>
  <c r="K117" i="1" l="1"/>
  <c r="O117" i="1" s="1"/>
  <c r="T117" i="1" s="1"/>
  <c r="Z118" i="1" s="1"/>
  <c r="Y117" i="1" l="1"/>
  <c r="U117" i="1"/>
  <c r="V117" i="1" s="1"/>
  <c r="K118" i="1"/>
  <c r="Y118" i="1" s="1"/>
  <c r="U118" i="1" l="1"/>
  <c r="V118" i="1" s="1"/>
  <c r="O118" i="1"/>
  <c r="T118" i="1" s="1"/>
  <c r="K119" i="1" s="1"/>
  <c r="O119" i="1" s="1"/>
  <c r="T119" i="1" s="1"/>
  <c r="Z120" i="1" s="1"/>
  <c r="Z119" i="1" l="1"/>
  <c r="U119" i="1"/>
  <c r="V119" i="1" s="1"/>
  <c r="Y119" i="1"/>
  <c r="K120" i="1"/>
  <c r="Y120" i="1" l="1"/>
  <c r="O120" i="1"/>
  <c r="T120" i="1" s="1"/>
  <c r="K121" i="1" s="1"/>
  <c r="U120" i="1"/>
  <c r="V120" i="1" s="1"/>
  <c r="Y121" i="1" l="1"/>
  <c r="O121" i="1"/>
  <c r="T121" i="1" s="1"/>
  <c r="Z122" i="1" s="1"/>
  <c r="U121" i="1"/>
  <c r="V121" i="1" s="1"/>
  <c r="Z121" i="1"/>
  <c r="K122" i="1"/>
  <c r="O122" i="1" s="1"/>
  <c r="T122" i="1" s="1"/>
  <c r="Z123" i="1" s="1"/>
  <c r="Y122" i="1" l="1"/>
  <c r="U122" i="1"/>
  <c r="V122" i="1" s="1"/>
  <c r="K123" i="1"/>
  <c r="Y123" i="1" s="1"/>
  <c r="U123" i="1" l="1"/>
  <c r="V123" i="1" s="1"/>
  <c r="O123" i="1"/>
  <c r="T123" i="1" s="1"/>
  <c r="Z124" i="1" s="1"/>
  <c r="K124" i="1" l="1"/>
  <c r="Y124" i="1" s="1"/>
  <c r="O124" i="1" l="1"/>
  <c r="T124" i="1" s="1"/>
  <c r="K125" i="1" s="1"/>
  <c r="Y125" i="1" s="1"/>
  <c r="U124" i="1"/>
  <c r="V124" i="1" s="1"/>
  <c r="O125" i="1" l="1"/>
  <c r="T125" i="1" s="1"/>
  <c r="K126" i="1" s="1"/>
  <c r="U126" i="1" s="1"/>
  <c r="V126" i="1" s="1"/>
  <c r="U125" i="1"/>
  <c r="V125" i="1" s="1"/>
  <c r="Z125" i="1"/>
  <c r="Y126" i="1"/>
  <c r="Z126" i="1" l="1"/>
  <c r="O126" i="1"/>
  <c r="T126" i="1" s="1"/>
  <c r="Z127" i="1" s="1"/>
  <c r="K127" i="1"/>
  <c r="Y127" i="1" l="1"/>
  <c r="U127" i="1"/>
  <c r="V127" i="1" s="1"/>
  <c r="O127" i="1"/>
  <c r="T127" i="1" s="1"/>
  <c r="K128" i="1" s="1"/>
  <c r="U128" i="1" l="1"/>
  <c r="V128" i="1" s="1"/>
  <c r="Y128" i="1"/>
  <c r="O128" i="1"/>
  <c r="T128" i="1" s="1"/>
  <c r="Z129" i="1" s="1"/>
  <c r="Z128" i="1"/>
  <c r="K129" i="1" l="1"/>
  <c r="Y129" i="1" s="1"/>
  <c r="O129" i="1" l="1"/>
  <c r="T129" i="1" s="1"/>
  <c r="Z130" i="1" s="1"/>
  <c r="U129" i="1"/>
  <c r="V129" i="1" s="1"/>
  <c r="K130" i="1"/>
  <c r="Y130" i="1" l="1"/>
  <c r="O130" i="1"/>
  <c r="T130" i="1" s="1"/>
  <c r="Z131" i="1" s="1"/>
  <c r="U130" i="1"/>
  <c r="V130" i="1" s="1"/>
  <c r="K131" i="1" l="1"/>
  <c r="O131" i="1" s="1"/>
  <c r="T131" i="1" s="1"/>
  <c r="U131" i="1" l="1"/>
  <c r="V131" i="1" s="1"/>
  <c r="Y131" i="1"/>
  <c r="K132" i="1"/>
  <c r="Z132" i="1"/>
  <c r="O132" i="1" l="1"/>
  <c r="T132" i="1" s="1"/>
  <c r="K133" i="1" s="1"/>
  <c r="Y132" i="1"/>
  <c r="U132" i="1"/>
  <c r="V132" i="1" s="1"/>
  <c r="Y133" i="1" l="1"/>
  <c r="O133" i="1"/>
  <c r="T133" i="1" s="1"/>
  <c r="Z134" i="1" s="1"/>
  <c r="K134" i="1"/>
  <c r="U133" i="1"/>
  <c r="V133" i="1" s="1"/>
  <c r="Z133" i="1"/>
  <c r="Y134" i="1" l="1"/>
  <c r="O134" i="1"/>
  <c r="T134" i="1" s="1"/>
  <c r="Z135" i="1" s="1"/>
  <c r="U134" i="1"/>
  <c r="V134" i="1" s="1"/>
  <c r="K135" i="1" l="1"/>
  <c r="Y135" i="1"/>
  <c r="O135" i="1"/>
  <c r="T135" i="1" s="1"/>
  <c r="Z136" i="1" s="1"/>
  <c r="U135" i="1"/>
  <c r="V135" i="1" s="1"/>
  <c r="K136" i="1" l="1"/>
  <c r="Y136" i="1" l="1"/>
  <c r="O136" i="1"/>
  <c r="T136" i="1" s="1"/>
  <c r="U136" i="1"/>
  <c r="V1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FV_Remote</author>
  </authors>
  <commentList>
    <comment ref="F1" authorId="0" shapeId="0" xr:uid="{5237C26B-46B7-41D8-B28D-5DA9C30A6719}">
      <text>
        <r>
          <rPr>
            <b/>
            <sz val="9"/>
            <color indexed="81"/>
            <rFont val="Tahoma"/>
            <family val="2"/>
          </rPr>
          <t>FV_Remote:</t>
        </r>
        <r>
          <rPr>
            <sz val="9"/>
            <color indexed="81"/>
            <rFont val="Tahoma"/>
            <family val="2"/>
          </rPr>
          <t xml:space="preserve">
Maximum temperature</t>
        </r>
      </text>
    </comment>
    <comment ref="G1" authorId="0" shapeId="0" xr:uid="{0E905B75-6DFF-45C5-8DA0-19AC07C1D87E}">
      <text>
        <r>
          <rPr>
            <b/>
            <sz val="9"/>
            <color indexed="81"/>
            <rFont val="Tahoma"/>
            <family val="2"/>
          </rPr>
          <t>FV_Remote:</t>
        </r>
        <r>
          <rPr>
            <sz val="9"/>
            <color indexed="81"/>
            <rFont val="Tahoma"/>
            <family val="2"/>
          </rPr>
          <t xml:space="preserve">
Minimum temperature</t>
        </r>
      </text>
    </comment>
    <comment ref="H1" authorId="0" shapeId="0" xr:uid="{00261BD9-D2A5-4474-A400-B329AEC94EC4}">
      <text>
        <r>
          <rPr>
            <b/>
            <sz val="9"/>
            <color indexed="81"/>
            <rFont val="Tahoma"/>
            <family val="2"/>
          </rPr>
          <t>FV_Remote:</t>
        </r>
        <r>
          <rPr>
            <sz val="9"/>
            <color indexed="81"/>
            <rFont val="Tahoma"/>
            <family val="2"/>
          </rPr>
          <t xml:space="preserve">
Average temperature
</t>
        </r>
      </text>
    </comment>
    <comment ref="I1" authorId="0" shapeId="0" xr:uid="{72141390-21BB-4703-83CD-DE199ED9E6E4}">
      <text>
        <r>
          <rPr>
            <b/>
            <sz val="9"/>
            <color indexed="81"/>
            <rFont val="Tahoma"/>
            <family val="2"/>
          </rPr>
          <t>FV_Remote:</t>
        </r>
        <r>
          <rPr>
            <sz val="9"/>
            <color indexed="81"/>
            <rFont val="Tahoma"/>
            <family val="2"/>
          </rPr>
          <t xml:space="preserve">
Maximum relative humidity</t>
        </r>
      </text>
    </comment>
    <comment ref="J1" authorId="0" shapeId="0" xr:uid="{3B3CFE9B-3A6D-4865-A73A-60A22B2D9597}">
      <text>
        <r>
          <rPr>
            <b/>
            <sz val="9"/>
            <color indexed="81"/>
            <rFont val="Tahoma"/>
            <family val="2"/>
          </rPr>
          <t>FV_Remote:</t>
        </r>
        <r>
          <rPr>
            <sz val="9"/>
            <color indexed="81"/>
            <rFont val="Tahoma"/>
            <family val="2"/>
          </rPr>
          <t xml:space="preserve">
Minimum relative humidity</t>
        </r>
      </text>
    </comment>
    <comment ref="K1" authorId="0" shapeId="0" xr:uid="{C54C5E38-E43D-4A17-9BED-75C088D2404D}">
      <text>
        <r>
          <rPr>
            <b/>
            <sz val="9"/>
            <color indexed="81"/>
            <rFont val="Tahoma"/>
            <family val="2"/>
          </rPr>
          <t>FV_Remote:</t>
        </r>
        <r>
          <rPr>
            <sz val="9"/>
            <color indexed="81"/>
            <rFont val="Tahoma"/>
            <family val="2"/>
          </rPr>
          <t xml:space="preserve">
Wind speed at height z</t>
        </r>
      </text>
    </comment>
    <comment ref="L1" authorId="0" shapeId="0" xr:uid="{DB718E44-1134-4352-A757-869C809B7453}">
      <text>
        <r>
          <rPr>
            <b/>
            <sz val="9"/>
            <color indexed="81"/>
            <rFont val="Tahoma"/>
            <family val="2"/>
          </rPr>
          <t>FV_Remote:</t>
        </r>
        <r>
          <rPr>
            <sz val="9"/>
            <color indexed="81"/>
            <rFont val="Tahoma"/>
            <family val="2"/>
          </rPr>
          <t xml:space="preserve">
Solar radiation</t>
        </r>
      </text>
    </comment>
    <comment ref="M1" authorId="0" shapeId="0" xr:uid="{868C9BFF-ED07-4078-BFCB-E1B62E121B26}">
      <text>
        <r>
          <rPr>
            <b/>
            <sz val="9"/>
            <color indexed="81"/>
            <rFont val="Tahoma"/>
            <family val="2"/>
          </rPr>
          <t>FV_Remote:</t>
        </r>
        <r>
          <rPr>
            <sz val="9"/>
            <color indexed="81"/>
            <rFont val="Tahoma"/>
            <family val="2"/>
          </rPr>
          <t xml:space="preserve">
Solar declination</t>
        </r>
      </text>
    </comment>
    <comment ref="N1" authorId="0" shapeId="0" xr:uid="{DB2602F7-E3B1-42B7-8BC3-24329465AEFB}">
      <text>
        <r>
          <rPr>
            <b/>
            <sz val="9"/>
            <color indexed="81"/>
            <rFont val="Tahoma"/>
            <family val="2"/>
          </rPr>
          <t>FV_Remote:</t>
        </r>
        <r>
          <rPr>
            <sz val="9"/>
            <color indexed="81"/>
            <rFont val="Tahoma"/>
            <family val="2"/>
          </rPr>
          <t xml:space="preserve">
Solar declination</t>
        </r>
      </text>
    </comment>
    <comment ref="O1" authorId="0" shapeId="0" xr:uid="{34DB151B-3B79-44FE-B8CC-17D8BD5FD192}">
      <text>
        <r>
          <rPr>
            <b/>
            <sz val="9"/>
            <color indexed="81"/>
            <rFont val="Tahoma"/>
            <family val="2"/>
          </rPr>
          <t>FV_Remote:</t>
        </r>
        <r>
          <rPr>
            <sz val="9"/>
            <color indexed="81"/>
            <rFont val="Tahoma"/>
            <family val="2"/>
          </rPr>
          <t xml:space="preserve">
Parameter for calculating extraterrestrial radiation</t>
        </r>
      </text>
    </comment>
    <comment ref="P1" authorId="0" shapeId="0" xr:uid="{52BBF5C2-9D7F-46C4-9EBF-6A6A00F8BD2B}">
      <text>
        <r>
          <rPr>
            <b/>
            <sz val="9"/>
            <color indexed="81"/>
            <rFont val="Tahoma"/>
            <family val="2"/>
          </rPr>
          <t>FV_Remote:</t>
        </r>
        <r>
          <rPr>
            <sz val="9"/>
            <color indexed="81"/>
            <rFont val="Tahoma"/>
            <family val="2"/>
          </rPr>
          <t xml:space="preserve">
Parameter for calculating extraterrestrial radiation: correction due to distance Earth-Sun</t>
        </r>
      </text>
    </comment>
    <comment ref="Q1" authorId="0" shapeId="0" xr:uid="{0F4BEFA2-454C-445E-A84B-3CCA4CA7FDDD}">
      <text>
        <r>
          <rPr>
            <b/>
            <sz val="9"/>
            <color indexed="81"/>
            <rFont val="Tahoma"/>
            <family val="2"/>
          </rPr>
          <t>FV_Remote:</t>
        </r>
        <r>
          <rPr>
            <sz val="9"/>
            <color indexed="81"/>
            <rFont val="Tahoma"/>
            <family val="2"/>
          </rPr>
          <t xml:space="preserve">
Extraterrestrial radiation</t>
        </r>
      </text>
    </comment>
    <comment ref="R1" authorId="0" shapeId="0" xr:uid="{3989AE95-F601-4AD2-A620-4F4D3A61DD74}">
      <text>
        <r>
          <rPr>
            <b/>
            <sz val="9"/>
            <color indexed="81"/>
            <rFont val="Tahoma"/>
            <family val="2"/>
          </rPr>
          <t>FV_Remote:</t>
        </r>
        <r>
          <rPr>
            <sz val="9"/>
            <color indexed="81"/>
            <rFont val="Tahoma"/>
            <family val="2"/>
          </rPr>
          <t xml:space="preserve">
Fraction of clear sky, i.e. ratio of actual sunshine hours to daylength</t>
        </r>
      </text>
    </comment>
    <comment ref="S1" authorId="0" shapeId="0" xr:uid="{81E8E0EE-0AAE-4377-93A4-5A3C00A5A40E}">
      <text>
        <r>
          <rPr>
            <b/>
            <sz val="9"/>
            <color indexed="81"/>
            <rFont val="Tahoma"/>
            <family val="2"/>
          </rPr>
          <t>FV_Remote:</t>
        </r>
        <r>
          <rPr>
            <sz val="9"/>
            <color indexed="81"/>
            <rFont val="Tahoma"/>
            <family val="2"/>
          </rPr>
          <t xml:space="preserve">
Daylength</t>
        </r>
      </text>
    </comment>
    <comment ref="T1" authorId="0" shapeId="0" xr:uid="{87E0B672-A225-4572-AFC6-77E870F084FB}">
      <text>
        <r>
          <rPr>
            <b/>
            <sz val="9"/>
            <color indexed="81"/>
            <rFont val="Tahoma"/>
            <family val="2"/>
          </rPr>
          <t>FV_Remote:</t>
        </r>
        <r>
          <rPr>
            <sz val="9"/>
            <color indexed="81"/>
            <rFont val="Tahoma"/>
            <family val="2"/>
          </rPr>
          <t xml:space="preserve">
Saturated vapor pressure at maximum temperature (when RHn occurs)</t>
        </r>
      </text>
    </comment>
    <comment ref="U1" authorId="0" shapeId="0" xr:uid="{35C1EFC1-C1E8-4169-B3C9-437A9C0621EA}">
      <text>
        <r>
          <rPr>
            <b/>
            <sz val="9"/>
            <color indexed="81"/>
            <rFont val="Tahoma"/>
            <family val="2"/>
          </rPr>
          <t>FV_Remote:</t>
        </r>
        <r>
          <rPr>
            <sz val="9"/>
            <color indexed="81"/>
            <rFont val="Tahoma"/>
            <family val="2"/>
          </rPr>
          <t xml:space="preserve">
Saturated vapor pressure at minimum temperature (when RHx occurs)</t>
        </r>
      </text>
    </comment>
    <comment ref="V1" authorId="0" shapeId="0" xr:uid="{CC8B0045-BAD0-476F-91D5-BE9A5AEE64F3}">
      <text>
        <r>
          <rPr>
            <b/>
            <sz val="9"/>
            <color indexed="81"/>
            <rFont val="Tahoma"/>
            <family val="2"/>
          </rPr>
          <t>FV_Remote:</t>
        </r>
        <r>
          <rPr>
            <sz val="9"/>
            <color indexed="81"/>
            <rFont val="Tahoma"/>
            <family val="2"/>
          </rPr>
          <t xml:space="preserve">
Actual vapor pressure at the time of maximum temperature</t>
        </r>
      </text>
    </comment>
    <comment ref="W1" authorId="0" shapeId="0" xr:uid="{7196EBBE-5F1D-4FAD-9A50-FA5E6C2B1943}">
      <text>
        <r>
          <rPr>
            <b/>
            <sz val="9"/>
            <color indexed="81"/>
            <rFont val="Tahoma"/>
            <family val="2"/>
          </rPr>
          <t>FV_Remote:</t>
        </r>
        <r>
          <rPr>
            <sz val="9"/>
            <color indexed="81"/>
            <rFont val="Tahoma"/>
            <family val="2"/>
          </rPr>
          <t xml:space="preserve">
Actual vapor pressure at the time of minimum temperature</t>
        </r>
      </text>
    </comment>
    <comment ref="X1" authorId="0" shapeId="0" xr:uid="{D0DFBD4F-D435-4DDC-8B9B-EEA34C55BE09}">
      <text>
        <r>
          <rPr>
            <b/>
            <sz val="9"/>
            <color indexed="81"/>
            <rFont val="Tahoma"/>
            <family val="2"/>
          </rPr>
          <t>FV_Remote:</t>
        </r>
        <r>
          <rPr>
            <sz val="9"/>
            <color indexed="81"/>
            <rFont val="Tahoma"/>
            <family val="2"/>
          </rPr>
          <t xml:space="preserve">
Mean daily vapor pressure</t>
        </r>
      </text>
    </comment>
    <comment ref="Y1" authorId="0" shapeId="0" xr:uid="{EBC3D6B0-6086-48F0-B16C-D2C21AB7F9FB}">
      <text>
        <r>
          <rPr>
            <b/>
            <sz val="9"/>
            <color indexed="81"/>
            <rFont val="Tahoma"/>
            <family val="2"/>
          </rPr>
          <t>FV_Remote:</t>
        </r>
        <r>
          <rPr>
            <sz val="9"/>
            <color indexed="81"/>
            <rFont val="Tahoma"/>
            <family val="2"/>
          </rPr>
          <t xml:space="preserve">
Mean daily Vapor Pressure Deficit</t>
        </r>
      </text>
    </comment>
    <comment ref="Z1" authorId="0" shapeId="0" xr:uid="{B849E935-6857-4D2A-8E6D-289D299B147B}">
      <text>
        <r>
          <rPr>
            <b/>
            <sz val="9"/>
            <color indexed="81"/>
            <rFont val="Tahoma"/>
            <family val="2"/>
          </rPr>
          <t>FV_Remote:</t>
        </r>
        <r>
          <rPr>
            <sz val="9"/>
            <color indexed="81"/>
            <rFont val="Tahoma"/>
            <family val="2"/>
          </rPr>
          <t xml:space="preserve">
Daily loss of long wave radiation</t>
        </r>
      </text>
    </comment>
    <comment ref="AA1" authorId="0" shapeId="0" xr:uid="{C06C27E4-305D-467B-9BF4-941FC3F82303}">
      <text>
        <r>
          <rPr>
            <b/>
            <sz val="9"/>
            <color indexed="81"/>
            <rFont val="Tahoma"/>
            <family val="2"/>
          </rPr>
          <t>FV_Remote:</t>
        </r>
        <r>
          <rPr>
            <sz val="9"/>
            <color indexed="81"/>
            <rFont val="Tahoma"/>
            <family val="2"/>
          </rPr>
          <t xml:space="preserve">
Net radiation</t>
        </r>
      </text>
    </comment>
    <comment ref="AB1" authorId="0" shapeId="0" xr:uid="{D679E905-DAB1-4B70-B06E-1E76C98DFF42}">
      <text>
        <r>
          <rPr>
            <b/>
            <sz val="9"/>
            <color indexed="81"/>
            <rFont val="Tahoma"/>
            <family val="2"/>
          </rPr>
          <t>FV_Remote:</t>
        </r>
        <r>
          <rPr>
            <sz val="9"/>
            <color indexed="81"/>
            <rFont val="Tahoma"/>
            <family val="2"/>
          </rPr>
          <t xml:space="preserve">
Saturated vapor pressure for average temperature</t>
        </r>
      </text>
    </comment>
    <comment ref="AC1" authorId="0" shapeId="0" xr:uid="{81DDED91-7FD8-4FFE-A71B-E3346F08A84E}">
      <text>
        <r>
          <rPr>
            <b/>
            <sz val="9"/>
            <color indexed="81"/>
            <rFont val="Tahoma"/>
            <family val="2"/>
          </rPr>
          <t>FV_Remote:</t>
        </r>
        <r>
          <rPr>
            <sz val="9"/>
            <color indexed="81"/>
            <rFont val="Tahoma"/>
            <family val="2"/>
          </rPr>
          <t xml:space="preserve">
Slope of saturation vapor pressure versus temperature</t>
        </r>
      </text>
    </comment>
    <comment ref="AD1" authorId="0" shapeId="0" xr:uid="{2E8DA86F-5BF8-4B6E-BDC5-7F31F75937C3}">
      <text>
        <r>
          <rPr>
            <b/>
            <sz val="9"/>
            <color indexed="81"/>
            <rFont val="Tahoma"/>
            <family val="2"/>
          </rPr>
          <t>FV_Remote:</t>
        </r>
        <r>
          <rPr>
            <sz val="9"/>
            <color indexed="81"/>
            <rFont val="Tahoma"/>
            <family val="2"/>
          </rPr>
          <t xml:space="preserve">
Heat capacity of air at constant pressure per unit volume</t>
        </r>
      </text>
    </comment>
    <comment ref="AE1" authorId="0" shapeId="0" xr:uid="{AF85746B-3BF4-4588-8BCA-513FA9271CAC}">
      <text>
        <r>
          <rPr>
            <b/>
            <sz val="9"/>
            <color indexed="81"/>
            <rFont val="Tahoma"/>
            <family val="2"/>
          </rPr>
          <t>FV_Remote:</t>
        </r>
        <r>
          <rPr>
            <sz val="9"/>
            <color indexed="81"/>
            <rFont val="Tahoma"/>
            <family val="2"/>
          </rPr>
          <t xml:space="preserve">
Aerodynamic resistance</t>
        </r>
      </text>
    </comment>
    <comment ref="AF1" authorId="0" shapeId="0" xr:uid="{D68660E0-A7E8-4CDB-9CCB-36C8A9DCB214}">
      <text>
        <r>
          <rPr>
            <b/>
            <sz val="9"/>
            <color indexed="81"/>
            <rFont val="Tahoma"/>
            <family val="2"/>
          </rPr>
          <t>FV_Remote:</t>
        </r>
        <r>
          <rPr>
            <sz val="9"/>
            <color indexed="81"/>
            <rFont val="Tahoma"/>
            <family val="2"/>
          </rPr>
          <t xml:space="preserve">
Reference (grass) evapotranspiration</t>
        </r>
      </text>
    </comment>
    <comment ref="AG1" authorId="0" shapeId="0" xr:uid="{6B208D3F-3CE5-477B-8502-6A6F13BDF3F6}">
      <text>
        <r>
          <rPr>
            <b/>
            <sz val="9"/>
            <color indexed="81"/>
            <rFont val="Tahoma"/>
            <family val="2"/>
          </rPr>
          <t>FV_Remote:</t>
        </r>
        <r>
          <rPr>
            <sz val="9"/>
            <color indexed="81"/>
            <rFont val="Tahoma"/>
            <family val="2"/>
          </rPr>
          <t xml:space="preserve">
Reference (grass) evapotranspiration</t>
        </r>
      </text>
    </comment>
    <comment ref="AH1" authorId="0" shapeId="0" xr:uid="{52023226-0C55-4984-9074-746CFD0C8BF6}">
      <text>
        <r>
          <rPr>
            <b/>
            <sz val="9"/>
            <color indexed="81"/>
            <rFont val="Tahoma"/>
            <family val="2"/>
          </rPr>
          <t>FV_Remote:</t>
        </r>
        <r>
          <rPr>
            <sz val="9"/>
            <color indexed="81"/>
            <rFont val="Tahoma"/>
            <family val="2"/>
          </rPr>
          <t xml:space="preserve">
Reference (grass) evapotranspiration inside an unheated greenhouse</t>
        </r>
      </text>
    </comment>
    <comment ref="AI1" authorId="0" shapeId="0" xr:uid="{12B45CF7-F860-43DF-B80B-2FC501AAF4DE}">
      <text>
        <r>
          <rPr>
            <b/>
            <sz val="9"/>
            <color indexed="81"/>
            <rFont val="Tahoma"/>
            <family val="2"/>
          </rPr>
          <t>FV_Remote:</t>
        </r>
        <r>
          <rPr>
            <sz val="9"/>
            <color indexed="81"/>
            <rFont val="Tahoma"/>
            <family val="2"/>
          </rPr>
          <t xml:space="preserve">
Evapotranspiration according to Penman-Monteith equation</t>
        </r>
      </text>
    </comment>
    <comment ref="AK4" authorId="0" shapeId="0" xr:uid="{A0AD74AB-42B7-49AC-9DBE-2FB6F28FEAFA}">
      <text>
        <r>
          <rPr>
            <b/>
            <sz val="9"/>
            <color indexed="81"/>
            <rFont val="Tahoma"/>
            <family val="2"/>
          </rPr>
          <t>FV_Remote:</t>
        </r>
        <r>
          <rPr>
            <sz val="9"/>
            <color indexed="81"/>
            <rFont val="Tahoma"/>
            <family val="2"/>
          </rPr>
          <t xml:space="preserve">
Canopy height</t>
        </r>
      </text>
    </comment>
    <comment ref="AK5" authorId="0" shapeId="0" xr:uid="{74FA7AC3-7308-4141-9892-78209290A422}">
      <text>
        <r>
          <rPr>
            <b/>
            <sz val="9"/>
            <color indexed="81"/>
            <rFont val="Tahoma"/>
            <family val="2"/>
          </rPr>
          <t>FV_Remote:</t>
        </r>
        <r>
          <rPr>
            <sz val="9"/>
            <color indexed="81"/>
            <rFont val="Tahoma"/>
            <family val="2"/>
          </rPr>
          <t xml:space="preserve">
Canopy resistance</t>
        </r>
      </text>
    </comment>
    <comment ref="AK6" authorId="0" shapeId="0" xr:uid="{A3E115B4-A2C3-4F1E-BB96-D8A8A02D0C47}">
      <text>
        <r>
          <rPr>
            <b/>
            <sz val="9"/>
            <color indexed="81"/>
            <rFont val="Tahoma"/>
            <family val="2"/>
          </rPr>
          <t>FV_Remote:</t>
        </r>
        <r>
          <rPr>
            <sz val="9"/>
            <color indexed="81"/>
            <rFont val="Tahoma"/>
            <family val="2"/>
          </rPr>
          <t xml:space="preserve">
Wind measurement height</t>
        </r>
      </text>
    </comment>
    <comment ref="AK9" authorId="0" shapeId="0" xr:uid="{E4E8D104-52D3-49F5-B630-5B4282B10ED0}">
      <text>
        <r>
          <rPr>
            <b/>
            <sz val="9"/>
            <color indexed="81"/>
            <rFont val="Tahoma"/>
            <family val="2"/>
          </rPr>
          <t>FV_Remote:</t>
        </r>
        <r>
          <rPr>
            <sz val="9"/>
            <color indexed="81"/>
            <rFont val="Tahoma"/>
            <family val="2"/>
          </rPr>
          <t xml:space="preserve">
Atmospheric pressure</t>
        </r>
      </text>
    </comment>
    <comment ref="AK11" authorId="0" shapeId="0" xr:uid="{051B4647-0064-4A6E-8D2A-24495114DD96}">
      <text>
        <r>
          <rPr>
            <b/>
            <sz val="9"/>
            <color indexed="81"/>
            <rFont val="Tahoma"/>
            <family val="2"/>
          </rPr>
          <t>FV_Remote:</t>
        </r>
        <r>
          <rPr>
            <sz val="9"/>
            <color indexed="81"/>
            <rFont val="Tahoma"/>
            <family val="2"/>
          </rPr>
          <t xml:space="preserve">
Coefficient in Hargreaves equation</t>
        </r>
      </text>
    </comment>
  </commentList>
</comments>
</file>

<file path=xl/sharedStrings.xml><?xml version="1.0" encoding="utf-8"?>
<sst xmlns="http://schemas.openxmlformats.org/spreadsheetml/2006/main" count="243" uniqueCount="156">
  <si>
    <t>TAW</t>
  </si>
  <si>
    <t>Total Available Water</t>
  </si>
  <si>
    <t>FC</t>
  </si>
  <si>
    <t>WP</t>
  </si>
  <si>
    <t>Root Depth</t>
  </si>
  <si>
    <t>RD</t>
  </si>
  <si>
    <t>Management Allowed Deficit</t>
  </si>
  <si>
    <t>MAD</t>
  </si>
  <si>
    <t>Moisture Content</t>
  </si>
  <si>
    <t>RAW</t>
  </si>
  <si>
    <t>mm</t>
  </si>
  <si>
    <t>Date</t>
  </si>
  <si>
    <t>Irrigation needed</t>
  </si>
  <si>
    <t>Applied Irrigation or Rainfall</t>
  </si>
  <si>
    <t>Enter</t>
  </si>
  <si>
    <t>Readily Available Moisture Content</t>
  </si>
  <si>
    <t>Enter on First Date</t>
  </si>
  <si>
    <t>Crop Stress Factor</t>
  </si>
  <si>
    <t>Enter Daily</t>
  </si>
  <si>
    <t>%</t>
  </si>
  <si>
    <t>m</t>
  </si>
  <si>
    <t>fraction</t>
  </si>
  <si>
    <t>Average Crop Evapotranspiration</t>
  </si>
  <si>
    <t>Average Evapotranspiration Adjusted for Stress</t>
  </si>
  <si>
    <t>Soil Water Deficit</t>
  </si>
  <si>
    <r>
      <t>θ</t>
    </r>
    <r>
      <rPr>
        <vertAlign val="subscript"/>
        <sz val="12"/>
        <color indexed="8"/>
        <rFont val="Calibri"/>
        <family val="2"/>
      </rPr>
      <t xml:space="preserve">t </t>
    </r>
  </si>
  <si>
    <r>
      <t>K</t>
    </r>
    <r>
      <rPr>
        <b/>
        <vertAlign val="subscript"/>
        <sz val="11"/>
        <color indexed="8"/>
        <rFont val="Calibri"/>
        <family val="2"/>
      </rPr>
      <t>s</t>
    </r>
  </si>
  <si>
    <t>Threshold Moisture Content</t>
  </si>
  <si>
    <r>
      <t>ET</t>
    </r>
    <r>
      <rPr>
        <b/>
        <vertAlign val="subscript"/>
        <sz val="11"/>
        <color indexed="8"/>
        <rFont val="Calibri"/>
        <family val="2"/>
      </rPr>
      <t>c</t>
    </r>
  </si>
  <si>
    <r>
      <t>ET</t>
    </r>
    <r>
      <rPr>
        <b/>
        <vertAlign val="subscript"/>
        <sz val="11"/>
        <color indexed="8"/>
        <rFont val="Calibri"/>
        <family val="2"/>
      </rPr>
      <t>c adj</t>
    </r>
  </si>
  <si>
    <t>Field Area</t>
  </si>
  <si>
    <t>Volume of Water to Apply</t>
  </si>
  <si>
    <t xml:space="preserve">Time to Apply Irrigation </t>
  </si>
  <si>
    <t>Hours</t>
  </si>
  <si>
    <t>Cumulative Irrigation</t>
  </si>
  <si>
    <t>Note:  The goal of irrigation scheduling is to try to match the applied irrigation with the ET.  By the end of the season, the cumulative irrigation should more or less equal the cumulative ET.</t>
  </si>
  <si>
    <t>Relative  Yield =</t>
  </si>
  <si>
    <t>7. In this example, if crop stress occurred for 1 day, then irrigation was applied at more or less the value of the deficit ("Irrigation needed")</t>
  </si>
  <si>
    <t xml:space="preserve">Note:  The Ks factor should be maintained at a value close to 1 to minimize the yield reduction.  </t>
  </si>
  <si>
    <t>YIELD LOSS ESTIMATE</t>
  </si>
  <si>
    <t>EXAMPLE ASSUMPTIONS</t>
  </si>
  <si>
    <t>Cumulative ETc</t>
  </si>
  <si>
    <t>Ky =</t>
  </si>
  <si>
    <t>The estimated relative yield  based on equation 24 of FAO Irrigation and Drainage Paper No. 56.  For the example, assume a Ky value of 1.1.</t>
  </si>
  <si>
    <t>Ha</t>
  </si>
  <si>
    <t>M3</t>
  </si>
  <si>
    <t>M3 per Minute</t>
  </si>
  <si>
    <t>1. The crop is potato</t>
  </si>
  <si>
    <t>2. The season length is 130 days (Source: FAO 56)</t>
  </si>
  <si>
    <t>3. Rooting depth has to obtained from the field</t>
  </si>
  <si>
    <t>4. ETc has to be obtained from ETc= KcETo equation</t>
  </si>
  <si>
    <t>5. Kc for potato has to be used.</t>
  </si>
  <si>
    <t>6. ETo has to be obtained from a weather station.  Now a days, weather stations routinely estimate ETo.</t>
  </si>
  <si>
    <t>θm</t>
  </si>
  <si>
    <t>θc</t>
  </si>
  <si>
    <t>Kc</t>
  </si>
  <si>
    <t>Crop coefficient</t>
  </si>
  <si>
    <t>Rainfall</t>
  </si>
  <si>
    <t>Calculated</t>
  </si>
  <si>
    <t>DAS</t>
  </si>
  <si>
    <t>Initial</t>
  </si>
  <si>
    <t>Dev</t>
  </si>
  <si>
    <t>Mid-season</t>
  </si>
  <si>
    <t>Late-season</t>
  </si>
  <si>
    <t>Crop Growth stages</t>
  </si>
  <si>
    <t>Stages</t>
  </si>
  <si>
    <t>Irrigate or no?</t>
  </si>
  <si>
    <t>Pump Manifold Flow Rate</t>
  </si>
  <si>
    <t>Measured volume using flow meter</t>
  </si>
  <si>
    <t>Applied irrigation</t>
  </si>
  <si>
    <t>Excess Irrigation</t>
  </si>
  <si>
    <t>Measured moisture content using a soil moisture device (example: PR2 or TDR)</t>
  </si>
  <si>
    <t>Water Deficit to FC (mm)</t>
  </si>
  <si>
    <t>Dfc</t>
  </si>
  <si>
    <t>Irrigation Needed?</t>
  </si>
  <si>
    <t>Yes/No</t>
  </si>
  <si>
    <t>Irrigation</t>
  </si>
  <si>
    <t>More precise</t>
  </si>
  <si>
    <t xml:space="preserve">Soil based approach more precise </t>
  </si>
  <si>
    <t xml:space="preserve">Climatic based approach </t>
  </si>
  <si>
    <t>Enter Daily based on the soil moisture sensor</t>
  </si>
  <si>
    <t xml:space="preserve">Calculated </t>
  </si>
  <si>
    <t>Field Capacity (For more accuracy please measure it in the field)</t>
  </si>
  <si>
    <t xml:space="preserve">Wilting Point (For more accuracy please measure it in the field </t>
  </si>
  <si>
    <t xml:space="preserve">To be measured </t>
  </si>
  <si>
    <t>DOY</t>
  </si>
  <si>
    <r>
      <t>T</t>
    </r>
    <r>
      <rPr>
        <vertAlign val="subscript"/>
        <sz val="11"/>
        <color rgb="FF000000"/>
        <rFont val="Calibri"/>
        <family val="2"/>
      </rPr>
      <t>x</t>
    </r>
  </si>
  <si>
    <r>
      <t>T</t>
    </r>
    <r>
      <rPr>
        <vertAlign val="subscript"/>
        <sz val="11"/>
        <color rgb="FF000000"/>
        <rFont val="Calibri"/>
        <family val="2"/>
      </rPr>
      <t>n</t>
    </r>
  </si>
  <si>
    <t>Tavg</t>
  </si>
  <si>
    <t>RHx</t>
  </si>
  <si>
    <t>RHn</t>
  </si>
  <si>
    <t>U</t>
  </si>
  <si>
    <r>
      <t>R</t>
    </r>
    <r>
      <rPr>
        <vertAlign val="subscript"/>
        <sz val="11"/>
        <color rgb="FF000000"/>
        <rFont val="Calibri"/>
        <family val="2"/>
      </rPr>
      <t>s</t>
    </r>
  </si>
  <si>
    <t>Dec</t>
  </si>
  <si>
    <r>
      <t>h</t>
    </r>
    <r>
      <rPr>
        <vertAlign val="subscript"/>
        <sz val="11"/>
        <color rgb="FF000000"/>
        <rFont val="Calibri"/>
        <family val="2"/>
      </rPr>
      <t>s</t>
    </r>
  </si>
  <si>
    <r>
      <t>d</t>
    </r>
    <r>
      <rPr>
        <vertAlign val="subscript"/>
        <sz val="11"/>
        <color rgb="FF000000"/>
        <rFont val="Calibri"/>
        <family val="2"/>
      </rPr>
      <t>r</t>
    </r>
  </si>
  <si>
    <r>
      <t>R</t>
    </r>
    <r>
      <rPr>
        <vertAlign val="subscript"/>
        <sz val="11"/>
        <color rgb="FF000000"/>
        <rFont val="Calibri"/>
        <family val="2"/>
      </rPr>
      <t>A</t>
    </r>
  </si>
  <si>
    <t>n/N</t>
  </si>
  <si>
    <t>N</t>
  </si>
  <si>
    <r>
      <t>e</t>
    </r>
    <r>
      <rPr>
        <vertAlign val="subscript"/>
        <sz val="11"/>
        <color rgb="FF000000"/>
        <rFont val="Calibri"/>
        <family val="2"/>
      </rPr>
      <t>s</t>
    </r>
  </si>
  <si>
    <r>
      <t>e</t>
    </r>
    <r>
      <rPr>
        <vertAlign val="subscript"/>
        <sz val="11"/>
        <color rgb="FF000000"/>
        <rFont val="Calibri"/>
        <family val="2"/>
      </rPr>
      <t>a</t>
    </r>
  </si>
  <si>
    <r>
      <t>e</t>
    </r>
    <r>
      <rPr>
        <vertAlign val="subscript"/>
        <sz val="11"/>
        <color rgb="FF000000"/>
        <rFont val="Calibri"/>
        <family val="2"/>
      </rPr>
      <t>avg</t>
    </r>
  </si>
  <si>
    <r>
      <t>VPD</t>
    </r>
    <r>
      <rPr>
        <vertAlign val="subscript"/>
        <sz val="11"/>
        <color rgb="FF000000"/>
        <rFont val="Calibri"/>
        <family val="2"/>
      </rPr>
      <t>avg</t>
    </r>
  </si>
  <si>
    <r>
      <t>R</t>
    </r>
    <r>
      <rPr>
        <vertAlign val="subscript"/>
        <sz val="11"/>
        <color rgb="FF000000"/>
        <rFont val="Calibri"/>
        <family val="2"/>
      </rPr>
      <t>b</t>
    </r>
  </si>
  <si>
    <r>
      <t>R</t>
    </r>
    <r>
      <rPr>
        <vertAlign val="subscript"/>
        <sz val="11"/>
        <color rgb="FF000000"/>
        <rFont val="Calibri"/>
        <family val="2"/>
      </rPr>
      <t>n</t>
    </r>
  </si>
  <si>
    <t>Δ</t>
  </si>
  <si>
    <r>
      <rPr>
        <sz val="11"/>
        <color rgb="FF000000"/>
        <rFont val="Calibri"/>
        <family val="2"/>
      </rPr>
      <t>ρ C</t>
    </r>
    <r>
      <rPr>
        <vertAlign val="subscript"/>
        <sz val="11"/>
        <color rgb="FF000000"/>
        <rFont val="Calibri"/>
        <family val="2"/>
      </rPr>
      <t>p</t>
    </r>
  </si>
  <si>
    <r>
      <t>r</t>
    </r>
    <r>
      <rPr>
        <vertAlign val="subscript"/>
        <sz val="11"/>
        <color rgb="FF000000"/>
        <rFont val="Calibri"/>
        <family val="2"/>
      </rPr>
      <t>a</t>
    </r>
  </si>
  <si>
    <r>
      <t>ET</t>
    </r>
    <r>
      <rPr>
        <vertAlign val="subscript"/>
        <sz val="11"/>
        <color rgb="FF000000"/>
        <rFont val="Calibri"/>
        <family val="2"/>
      </rPr>
      <t xml:space="preserve">0 </t>
    </r>
  </si>
  <si>
    <t>ET</t>
  </si>
  <si>
    <r>
      <t>for T</t>
    </r>
    <r>
      <rPr>
        <vertAlign val="subscript"/>
        <sz val="11"/>
        <color rgb="FF000000"/>
        <rFont val="Calibri"/>
        <family val="2"/>
      </rPr>
      <t>x</t>
    </r>
  </si>
  <si>
    <r>
      <t>for T</t>
    </r>
    <r>
      <rPr>
        <vertAlign val="subscript"/>
        <sz val="11"/>
        <color rgb="FF000000"/>
        <rFont val="Calibri"/>
        <family val="2"/>
      </rPr>
      <t>n</t>
    </r>
  </si>
  <si>
    <t>for Tavg</t>
  </si>
  <si>
    <t>PM-FAO</t>
  </si>
  <si>
    <t>Hargreaves</t>
  </si>
  <si>
    <t>PE greenhouse</t>
  </si>
  <si>
    <t>PM General</t>
  </si>
  <si>
    <t>inputs</t>
  </si>
  <si>
    <t>units</t>
  </si>
  <si>
    <t>-</t>
  </si>
  <si>
    <t>ºC</t>
  </si>
  <si>
    <t>m/s</t>
  </si>
  <si>
    <r>
      <t>MJ/m</t>
    </r>
    <r>
      <rPr>
        <vertAlign val="superscript"/>
        <sz val="11"/>
        <color rgb="FF000000"/>
        <rFont val="Calibri"/>
        <family val="2"/>
      </rPr>
      <t>2</t>
    </r>
    <r>
      <rPr>
        <sz val="11"/>
        <color rgb="FF000000"/>
        <rFont val="Calibri"/>
        <family val="2"/>
      </rPr>
      <t>/d</t>
    </r>
  </si>
  <si>
    <t>deg</t>
  </si>
  <si>
    <t>rad</t>
  </si>
  <si>
    <t>hour</t>
  </si>
  <si>
    <t>kPa</t>
  </si>
  <si>
    <t>kPa/K</t>
  </si>
  <si>
    <r>
      <t>J/K/m</t>
    </r>
    <r>
      <rPr>
        <vertAlign val="superscript"/>
        <sz val="11"/>
        <color rgb="FF000000"/>
        <rFont val="Calibri"/>
        <family val="2"/>
      </rPr>
      <t>3</t>
    </r>
  </si>
  <si>
    <t>s/m</t>
  </si>
  <si>
    <t>mm/d</t>
  </si>
  <si>
    <t>albedo</t>
  </si>
  <si>
    <t>h</t>
  </si>
  <si>
    <r>
      <t>r</t>
    </r>
    <r>
      <rPr>
        <vertAlign val="subscript"/>
        <sz val="11"/>
        <color rgb="FF7030A0"/>
        <rFont val="Calibri"/>
        <family val="2"/>
      </rPr>
      <t>c</t>
    </r>
  </si>
  <si>
    <t>z</t>
  </si>
  <si>
    <t xml:space="preserve">Latitude </t>
  </si>
  <si>
    <t>degrees</t>
  </si>
  <si>
    <t xml:space="preserve">Altitude </t>
  </si>
  <si>
    <r>
      <t>P</t>
    </r>
    <r>
      <rPr>
        <vertAlign val="subscript"/>
        <sz val="11"/>
        <color rgb="FF000000"/>
        <rFont val="Calibri"/>
        <family val="2"/>
      </rPr>
      <t>at</t>
    </r>
  </si>
  <si>
    <r>
      <t>K</t>
    </r>
    <r>
      <rPr>
        <vertAlign val="subscript"/>
        <sz val="11"/>
        <color rgb="FF000000"/>
        <rFont val="Calibri"/>
        <family val="2"/>
      </rPr>
      <t>RS</t>
    </r>
  </si>
  <si>
    <t>grass</t>
  </si>
  <si>
    <t>pond</t>
  </si>
  <si>
    <t>soil (wet)</t>
  </si>
  <si>
    <t>h 0.01</t>
  </si>
  <si>
    <r>
      <t>r</t>
    </r>
    <r>
      <rPr>
        <vertAlign val="subscript"/>
        <sz val="11"/>
        <rFont val="Calibri"/>
        <family val="2"/>
      </rPr>
      <t>c</t>
    </r>
  </si>
  <si>
    <t xml:space="preserve">Reference evapotranspiration from ETo Penman </t>
  </si>
  <si>
    <t>Enter Daily from Eto Penman</t>
  </si>
  <si>
    <t>Date (M/D/Y)</t>
  </si>
  <si>
    <t>year</t>
  </si>
  <si>
    <t>Month</t>
  </si>
  <si>
    <t>DOM</t>
  </si>
  <si>
    <t xml:space="preserve">Kc </t>
  </si>
  <si>
    <t>ETo</t>
  </si>
  <si>
    <t>Irrigation Efficiency laser-levelled plot</t>
  </si>
  <si>
    <t>m3</t>
  </si>
  <si>
    <t>Percent of Wetted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</si>
</sst>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d/yy;@"/>
    <numFmt numFmtId="167" formatCode="#,##0.000"/>
    <numFmt numFmtId="168" formatCode="0.000"/>
  </numFmts>
  <fonts count="20" x14ac:knownFonts="1">
    <font>
      <sz val="11"/>
      <color theme="1"/>
      <name val="Calibri"/>
      <family val="2"/>
      <scheme val="minor"/>
    </font>
    <font>
      <vertAlign val="subscript"/>
      <sz val="12"/>
      <color indexed="8"/>
      <name val="Calibri"/>
      <family val="2"/>
    </font>
    <font>
      <b/>
      <vertAlign val="subscript"/>
      <sz val="11"/>
      <color indexed="8"/>
      <name val="Calibri"/>
      <family val="2"/>
    </font>
    <font>
      <sz val="11"/>
      <color theme="1"/>
      <name val="Calibri"/>
      <family val="2"/>
      <scheme val="minor"/>
    </font>
    <font>
      <b/>
      <sz val="11"/>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rgb="FF000000"/>
      <name val="Calibri"/>
      <family val="2"/>
    </font>
    <font>
      <vertAlign val="subscript"/>
      <sz val="11"/>
      <color rgb="FF000000"/>
      <name val="Calibri"/>
      <family val="2"/>
    </font>
    <font>
      <sz val="11"/>
      <color rgb="FF000000"/>
      <name val="Calibri"/>
      <family val="2"/>
    </font>
    <font>
      <sz val="11"/>
      <color rgb="FFC00000"/>
      <name val="Calibri"/>
      <family val="2"/>
    </font>
    <font>
      <sz val="11"/>
      <color rgb="FF7030A0"/>
      <name val="Calibri"/>
      <family val="2"/>
    </font>
    <font>
      <sz val="11"/>
      <name val="Calibri"/>
      <family val="2"/>
    </font>
    <font>
      <vertAlign val="superscript"/>
      <sz val="11"/>
      <color rgb="FF000000"/>
      <name val="Calibri"/>
      <family val="2"/>
    </font>
    <font>
      <sz val="11"/>
      <color rgb="FFFF0000"/>
      <name val="Calibri"/>
      <family val="2"/>
    </font>
    <font>
      <vertAlign val="subscript"/>
      <sz val="11"/>
      <color rgb="FF7030A0"/>
      <name val="Calibri"/>
      <family val="2"/>
    </font>
    <font>
      <vertAlign val="subscript"/>
      <sz val="11"/>
      <name val="Calibri"/>
      <family val="2"/>
    </font>
    <font>
      <b/>
      <sz val="9"/>
      <color indexed="81"/>
      <name val="Tahoma"/>
      <family val="2"/>
    </font>
    <font>
      <sz val="9"/>
      <color indexed="81"/>
      <name val="Tahoma"/>
      <family val="2"/>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B8CCE4"/>
        <bgColor rgb="FFB8CCE4"/>
      </patternFill>
    </fill>
    <fill>
      <patternFill patternType="solid">
        <fgColor theme="0"/>
        <bgColor rgb="FFD8D8D8"/>
      </patternFill>
    </fill>
    <fill>
      <patternFill patternType="solid">
        <fgColor rgb="FFFFFF00"/>
        <bgColor rgb="FFFFFF00"/>
      </patternFill>
    </fill>
    <fill>
      <patternFill patternType="solid">
        <fgColor rgb="FFD8D8D8"/>
        <bgColor rgb="FFD8D8D8"/>
      </patternFill>
    </fill>
    <fill>
      <patternFill patternType="solid">
        <fgColor theme="0"/>
        <bgColor rgb="FFB8CCE4"/>
      </patternFill>
    </fill>
    <fill>
      <patternFill patternType="solid">
        <fgColor theme="6" tint="0.59999389629810485"/>
        <bgColor indexed="64"/>
      </patternFill>
    </fill>
    <fill>
      <patternFill patternType="solid">
        <fgColor theme="4" tint="0.79998168889431442"/>
        <bgColor rgb="FFFFFF00"/>
      </patternFill>
    </fill>
    <fill>
      <patternFill patternType="solid">
        <fgColor rgb="FFFFFFFF"/>
        <bgColor rgb="FFFFFFFF"/>
      </patternFill>
    </fill>
    <fill>
      <patternFill patternType="solid">
        <fgColor theme="3" tint="0.79998168889431442"/>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3">
    <xf numFmtId="0" fontId="0" fillId="0" borderId="0"/>
    <xf numFmtId="9" fontId="3" fillId="0" borderId="0" applyFont="0" applyFill="0" applyBorder="0" applyAlignment="0" applyProtection="0"/>
    <xf numFmtId="0" fontId="8" fillId="0" borderId="0"/>
  </cellStyleXfs>
  <cellXfs count="89">
    <xf numFmtId="0" fontId="0" fillId="0" borderId="0" xfId="0"/>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2" fontId="0" fillId="2" borderId="1" xfId="0" applyNumberFormat="1" applyFill="1"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5" fillId="0" borderId="1" xfId="0" applyFont="1" applyBorder="1" applyAlignment="1">
      <alignment horizontal="center"/>
    </xf>
    <xf numFmtId="0" fontId="0" fillId="3" borderId="1" xfId="0" applyFill="1" applyBorder="1" applyAlignment="1">
      <alignment horizontal="center"/>
    </xf>
    <xf numFmtId="2" fontId="0" fillId="0" borderId="0" xfId="0" applyNumberFormat="1"/>
    <xf numFmtId="1" fontId="0" fillId="0" borderId="0" xfId="0" applyNumberFormat="1"/>
    <xf numFmtId="0" fontId="0" fillId="2" borderId="0" xfId="0" applyFill="1"/>
    <xf numFmtId="0" fontId="4" fillId="0" borderId="0" xfId="0" applyFont="1"/>
    <xf numFmtId="0" fontId="4" fillId="4" borderId="0" xfId="0" applyFont="1" applyFill="1" applyAlignment="1">
      <alignment horizontal="center"/>
    </xf>
    <xf numFmtId="164" fontId="0" fillId="0" borderId="0" xfId="0" applyNumberFormat="1"/>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0" fontId="6" fillId="2" borderId="0" xfId="0" applyFont="1" applyFill="1"/>
    <xf numFmtId="0" fontId="6" fillId="0" borderId="0" xfId="0" applyFont="1"/>
    <xf numFmtId="0" fontId="7" fillId="0" borderId="0" xfId="0" applyFont="1"/>
    <xf numFmtId="165" fontId="6" fillId="0" borderId="0" xfId="1" applyNumberFormat="1" applyFont="1"/>
    <xf numFmtId="0" fontId="0" fillId="0" borderId="1" xfId="0"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164" fontId="0" fillId="0" borderId="0" xfId="0" applyNumberFormat="1" applyAlignment="1">
      <alignment horizontal="center" wrapText="1"/>
    </xf>
    <xf numFmtId="1" fontId="0" fillId="3" borderId="1" xfId="0" applyNumberFormat="1" applyFill="1" applyBorder="1" applyAlignment="1">
      <alignment horizontal="center"/>
    </xf>
    <xf numFmtId="2" fontId="0" fillId="0" borderId="5" xfId="0" applyNumberFormat="1" applyBorder="1" applyAlignment="1">
      <alignment horizontal="center"/>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8" fillId="0" borderId="0" xfId="2"/>
    <xf numFmtId="0" fontId="12" fillId="7" borderId="1" xfId="2" applyFont="1" applyFill="1" applyBorder="1"/>
    <xf numFmtId="0" fontId="8" fillId="10" borderId="7" xfId="2" applyFill="1" applyBorder="1"/>
    <xf numFmtId="1" fontId="8" fillId="0" borderId="0" xfId="2" applyNumberFormat="1"/>
    <xf numFmtId="0" fontId="8" fillId="10" borderId="0" xfId="2" applyFill="1"/>
    <xf numFmtId="0" fontId="15" fillId="7" borderId="1" xfId="2" applyFont="1" applyFill="1" applyBorder="1"/>
    <xf numFmtId="0" fontId="8" fillId="0" borderId="1" xfId="2" applyBorder="1"/>
    <xf numFmtId="164" fontId="8" fillId="14" borderId="1" xfId="2" applyNumberFormat="1" applyFill="1" applyBorder="1"/>
    <xf numFmtId="0" fontId="8" fillId="14" borderId="1" xfId="2" applyFill="1" applyBorder="1"/>
    <xf numFmtId="0" fontId="10" fillId="15" borderId="1" xfId="2" applyFont="1" applyFill="1" applyBorder="1"/>
    <xf numFmtId="0" fontId="8" fillId="15" borderId="1" xfId="2" applyFill="1" applyBorder="1"/>
    <xf numFmtId="0" fontId="13" fillId="10" borderId="7" xfId="2" applyFont="1" applyFill="1" applyBorder="1"/>
    <xf numFmtId="167" fontId="15" fillId="7" borderId="1" xfId="2" applyNumberFormat="1" applyFont="1" applyFill="1" applyBorder="1"/>
    <xf numFmtId="168" fontId="0" fillId="2" borderId="1" xfId="0" applyNumberFormat="1" applyFill="1" applyBorder="1" applyAlignment="1">
      <alignment horizontal="center"/>
    </xf>
    <xf numFmtId="168" fontId="4" fillId="0" borderId="0" xfId="0" applyNumberFormat="1" applyFont="1" applyAlignment="1">
      <alignment horizontal="center"/>
    </xf>
    <xf numFmtId="1" fontId="0" fillId="3" borderId="3" xfId="0" applyNumberFormat="1" applyFill="1" applyBorder="1" applyAlignment="1">
      <alignment horizontal="center"/>
    </xf>
    <xf numFmtId="14" fontId="0" fillId="2" borderId="2" xfId="0" applyNumberFormat="1" applyFill="1" applyBorder="1" applyAlignment="1">
      <alignment horizontal="center"/>
    </xf>
    <xf numFmtId="2" fontId="0" fillId="0" borderId="0" xfId="0" applyNumberFormat="1" applyAlignment="1">
      <alignment horizontal="center"/>
    </xf>
    <xf numFmtId="166" fontId="0" fillId="0" borderId="1" xfId="0" applyNumberFormat="1" applyBorder="1"/>
    <xf numFmtId="0" fontId="0" fillId="16" borderId="1" xfId="0" applyFill="1" applyBorder="1"/>
    <xf numFmtId="0" fontId="8" fillId="7" borderId="9" xfId="2" applyFill="1" applyBorder="1" applyAlignment="1">
      <alignment horizontal="center" vertical="center"/>
    </xf>
    <xf numFmtId="0" fontId="8" fillId="7" borderId="7" xfId="2" applyFill="1" applyBorder="1" applyAlignment="1">
      <alignment horizontal="center" vertical="center"/>
    </xf>
    <xf numFmtId="0" fontId="8" fillId="0" borderId="7" xfId="2" applyBorder="1" applyAlignment="1">
      <alignment horizontal="center" vertical="center"/>
    </xf>
    <xf numFmtId="0" fontId="8" fillId="0" borderId="0" xfId="2" applyAlignment="1">
      <alignment horizontal="center" vertical="center"/>
    </xf>
    <xf numFmtId="0" fontId="10" fillId="8" borderId="8" xfId="2" applyFont="1" applyFill="1" applyBorder="1" applyAlignment="1">
      <alignment horizontal="center" vertical="center"/>
    </xf>
    <xf numFmtId="0" fontId="11" fillId="9" borderId="7" xfId="2" applyFont="1" applyFill="1" applyBorder="1" applyAlignment="1">
      <alignment horizontal="center" vertical="center"/>
    </xf>
    <xf numFmtId="0" fontId="10" fillId="0" borderId="0" xfId="2" applyFont="1" applyAlignment="1">
      <alignment horizontal="center" vertical="center"/>
    </xf>
    <xf numFmtId="0" fontId="8" fillId="0" borderId="9" xfId="2" applyBorder="1" applyAlignment="1">
      <alignment horizontal="center" vertical="center"/>
    </xf>
    <xf numFmtId="0" fontId="10" fillId="0" borderId="7" xfId="2" applyFont="1" applyBorder="1" applyAlignment="1">
      <alignment horizontal="center" vertical="center"/>
    </xf>
    <xf numFmtId="0" fontId="8" fillId="11" borderId="7" xfId="2" applyFill="1" applyBorder="1" applyAlignment="1">
      <alignment horizontal="center" vertical="center"/>
    </xf>
    <xf numFmtId="164" fontId="8" fillId="0" borderId="7" xfId="2" applyNumberFormat="1" applyBorder="1" applyAlignment="1">
      <alignment horizontal="center" vertical="center"/>
    </xf>
    <xf numFmtId="2" fontId="8" fillId="0" borderId="7" xfId="2" applyNumberFormat="1" applyBorder="1" applyAlignment="1">
      <alignment horizontal="center" vertical="center"/>
    </xf>
    <xf numFmtId="1" fontId="8" fillId="0" borderId="7" xfId="2" applyNumberFormat="1" applyBorder="1" applyAlignment="1">
      <alignment horizontal="center" vertical="center"/>
    </xf>
    <xf numFmtId="2" fontId="11" fillId="9" borderId="7" xfId="2" applyNumberFormat="1" applyFont="1" applyFill="1" applyBorder="1" applyAlignment="1">
      <alignment horizontal="center" vertical="center"/>
    </xf>
    <xf numFmtId="2" fontId="15" fillId="2" borderId="7" xfId="2" applyNumberFormat="1" applyFont="1" applyFill="1" applyBorder="1" applyAlignment="1">
      <alignment horizontal="center" vertical="center"/>
    </xf>
    <xf numFmtId="2" fontId="15" fillId="12" borderId="7" xfId="2" applyNumberFormat="1" applyFont="1" applyFill="1" applyBorder="1" applyAlignment="1">
      <alignment horizontal="center" vertical="center"/>
    </xf>
    <xf numFmtId="2" fontId="11" fillId="13" borderId="7" xfId="2" applyNumberFormat="1" applyFont="1" applyFill="1" applyBorder="1" applyAlignment="1">
      <alignment horizontal="center" vertical="center"/>
    </xf>
    <xf numFmtId="0" fontId="12" fillId="7" borderId="1" xfId="2" applyFont="1" applyFill="1" applyBorder="1" applyAlignment="1">
      <alignment horizontal="center"/>
    </xf>
    <xf numFmtId="0" fontId="13" fillId="0" borderId="1" xfId="2" applyFont="1" applyBorder="1"/>
    <xf numFmtId="166" fontId="4" fillId="0" borderId="1" xfId="0" applyNumberFormat="1" applyFont="1" applyBorder="1" applyAlignment="1">
      <alignment horizontal="center" vertical="center"/>
    </xf>
    <xf numFmtId="0" fontId="4" fillId="16" borderId="1" xfId="0" applyFont="1" applyFill="1" applyBorder="1" applyAlignment="1">
      <alignment horizontal="center" vertical="center"/>
    </xf>
    <xf numFmtId="0" fontId="4" fillId="0" borderId="1" xfId="0" applyFont="1" applyBorder="1" applyAlignment="1">
      <alignment horizontal="center" vertical="center" wrapText="1"/>
    </xf>
    <xf numFmtId="0" fontId="0" fillId="5" borderId="6" xfId="0" applyFill="1" applyBorder="1" applyAlignment="1">
      <alignment horizontal="center"/>
    </xf>
    <xf numFmtId="0" fontId="0" fillId="6" borderId="6" xfId="0" applyFill="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 fontId="0" fillId="3" borderId="1" xfId="0" applyNumberFormat="1" applyFill="1" applyBorder="1" applyAlignment="1">
      <alignment horizontal="center"/>
    </xf>
  </cellXfs>
  <cellStyles count="3">
    <cellStyle name="Normal" xfId="0" builtinId="0"/>
    <cellStyle name="Normal 2" xfId="2" xr:uid="{BCDC6549-B614-408C-9E14-C5362915BE77}"/>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calculation'!$L$14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0541797900262468"/>
                  <c:y val="-5.14654418197725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'Kc calculation'!$K$15:$K$16</c:f>
              <c:numCache>
                <c:formatCode>General</c:formatCode>
                <c:ptCount val="2"/>
                <c:pt idx="0">
                  <c:v>100</c:v>
                </c:pt>
                <c:pt idx="1">
                  <c:v>131</c:v>
                </c:pt>
              </c:numCache>
            </c:numRef>
          </c:xVal>
          <c:yVal>
            <c:numRef>
              <c:f>'Kc calculation'!$L$15:$L$16</c:f>
              <c:numCache>
                <c:formatCode>General</c:formatCode>
                <c:ptCount val="2"/>
                <c:pt idx="0">
                  <c:v>1.1499999999999999</c:v>
                </c:pt>
                <c:pt idx="1">
                  <c:v>0.75</c:v>
                </c:pt>
              </c:numCache>
            </c:numRef>
          </c:yVal>
          <c:smooth val="0"/>
          <c:extLst>
            <c:ext xmlns:c16="http://schemas.microsoft.com/office/drawing/2014/chart" uri="{C3380CC4-5D6E-409C-BE32-E72D297353CC}">
              <c16:uniqueId val="{00000000-6AD3-4085-AA60-0E6F5270FE54}"/>
            </c:ext>
          </c:extLst>
        </c:ser>
        <c:dLbls>
          <c:showLegendKey val="0"/>
          <c:showVal val="0"/>
          <c:showCatName val="0"/>
          <c:showSerName val="0"/>
          <c:showPercent val="0"/>
          <c:showBubbleSize val="0"/>
        </c:dLbls>
        <c:axId val="1580704544"/>
        <c:axId val="1580714944"/>
      </c:scatterChart>
      <c:valAx>
        <c:axId val="1580704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4944"/>
        <c:crosses val="autoZero"/>
        <c:crossBetween val="midCat"/>
      </c:valAx>
      <c:valAx>
        <c:axId val="158071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0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calculation'!$O$14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720538057742782"/>
                  <c:y val="-3.885279965004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calculation'!$N$15:$N$16</c:f>
              <c:numCache>
                <c:formatCode>General</c:formatCode>
                <c:ptCount val="2"/>
                <c:pt idx="0">
                  <c:v>73</c:v>
                </c:pt>
                <c:pt idx="1">
                  <c:v>95</c:v>
                </c:pt>
              </c:numCache>
            </c:numRef>
          </c:xVal>
          <c:yVal>
            <c:numRef>
              <c:f>'Kc calculation'!$O$15:$O$16</c:f>
              <c:numCache>
                <c:formatCode>General</c:formatCode>
                <c:ptCount val="2"/>
                <c:pt idx="0">
                  <c:v>1.1499999999999999</c:v>
                </c:pt>
                <c:pt idx="1">
                  <c:v>0.75</c:v>
                </c:pt>
              </c:numCache>
            </c:numRef>
          </c:yVal>
          <c:smooth val="0"/>
          <c:extLst>
            <c:ext xmlns:c16="http://schemas.microsoft.com/office/drawing/2014/chart" uri="{C3380CC4-5D6E-409C-BE32-E72D297353CC}">
              <c16:uniqueId val="{00000000-836C-4EE2-9CDF-905F7C826327}"/>
            </c:ext>
          </c:extLst>
        </c:ser>
        <c:dLbls>
          <c:showLegendKey val="0"/>
          <c:showVal val="0"/>
          <c:showCatName val="0"/>
          <c:showSerName val="0"/>
          <c:showPercent val="0"/>
          <c:showBubbleSize val="0"/>
        </c:dLbls>
        <c:axId val="1741778464"/>
        <c:axId val="1741783040"/>
      </c:scatterChart>
      <c:valAx>
        <c:axId val="174177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83040"/>
        <c:crosses val="autoZero"/>
        <c:crossBetween val="midCat"/>
      </c:valAx>
      <c:valAx>
        <c:axId val="17417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7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calculation'!$J$86:$J$87</c:f>
              <c:numCache>
                <c:formatCode>General</c:formatCode>
                <c:ptCount val="2"/>
                <c:pt idx="0">
                  <c:v>1</c:v>
                </c:pt>
                <c:pt idx="1">
                  <c:v>95</c:v>
                </c:pt>
              </c:numCache>
            </c:numRef>
          </c:xVal>
          <c:yVal>
            <c:numRef>
              <c:f>'Kc calculation'!$K$86:$K$87</c:f>
              <c:numCache>
                <c:formatCode>General</c:formatCode>
                <c:ptCount val="2"/>
                <c:pt idx="0">
                  <c:v>0.2</c:v>
                </c:pt>
                <c:pt idx="1">
                  <c:v>0.6</c:v>
                </c:pt>
              </c:numCache>
            </c:numRef>
          </c:yVal>
          <c:smooth val="0"/>
          <c:extLst>
            <c:ext xmlns:c16="http://schemas.microsoft.com/office/drawing/2014/chart" uri="{C3380CC4-5D6E-409C-BE32-E72D297353CC}">
              <c16:uniqueId val="{00000000-8F43-49FA-A7BF-EC9F13E57856}"/>
            </c:ext>
          </c:extLst>
        </c:ser>
        <c:dLbls>
          <c:showLegendKey val="0"/>
          <c:showVal val="0"/>
          <c:showCatName val="0"/>
          <c:showSerName val="0"/>
          <c:showPercent val="0"/>
          <c:showBubbleSize val="0"/>
        </c:dLbls>
        <c:axId val="1460717808"/>
        <c:axId val="1739618880"/>
      </c:scatterChart>
      <c:valAx>
        <c:axId val="146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18880"/>
        <c:crosses val="autoZero"/>
        <c:crossBetween val="midCat"/>
      </c:valAx>
      <c:valAx>
        <c:axId val="17396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sz="2160" b="1" i="0" u="none" strike="noStrike" baseline="0">
                <a:solidFill>
                  <a:srgbClr val="000000"/>
                </a:solidFill>
                <a:latin typeface="Calibri"/>
                <a:ea typeface="Calibri"/>
                <a:cs typeface="Calibri"/>
              </a:defRPr>
            </a:pPr>
            <a:r>
              <a:rPr lang="en-US"/>
              <a:t>Soil Moisture Content Vs. Date</a:t>
            </a:r>
          </a:p>
        </c:rich>
      </c:tx>
      <c:overlay val="0"/>
      <c:spPr>
        <a:noFill/>
        <a:ln w="25400">
          <a:noFill/>
        </a:ln>
      </c:spPr>
    </c:title>
    <c:autoTitleDeleted val="0"/>
    <c:plotArea>
      <c:layout/>
      <c:scatterChart>
        <c:scatterStyle val="smoothMarker"/>
        <c:varyColors val="0"/>
        <c:ser>
          <c:idx val="0"/>
          <c:order val="0"/>
          <c:tx>
            <c:v>Volumetic Soil Moisture Content</c:v>
          </c:tx>
          <c:spPr>
            <a:ln w="38100">
              <a:solidFill>
                <a:srgbClr val="993366"/>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Worksheet'!$K$6:$K$90</c:f>
              <c:numCache>
                <c:formatCode>0.00</c:formatCode>
                <c:ptCount val="85"/>
                <c:pt idx="0">
                  <c:v>36</c:v>
                </c:pt>
                <c:pt idx="1">
                  <c:v>28.3</c:v>
                </c:pt>
                <c:pt idx="2">
                  <c:v>25.583333963353304</c:v>
                </c:pt>
                <c:pt idx="3">
                  <c:v>23.373217726716632</c:v>
                </c:pt>
                <c:pt idx="4">
                  <c:v>21.643896213148587</c:v>
                </c:pt>
                <c:pt idx="5">
                  <c:v>20.176736273098733</c:v>
                </c:pt>
                <c:pt idx="6">
                  <c:v>19.053217669140047</c:v>
                </c:pt>
                <c:pt idx="7">
                  <c:v>23.014103733029785</c:v>
                </c:pt>
                <c:pt idx="8">
                  <c:v>21.670258086771994</c:v>
                </c:pt>
                <c:pt idx="9">
                  <c:v>20.501059594667694</c:v>
                </c:pt>
                <c:pt idx="10">
                  <c:v>19.546753433960173</c:v>
                </c:pt>
                <c:pt idx="11">
                  <c:v>24.333579799724749</c:v>
                </c:pt>
                <c:pt idx="12">
                  <c:v>23.211559952600222</c:v>
                </c:pt>
                <c:pt idx="13">
                  <c:v>22.130890772808062</c:v>
                </c:pt>
                <c:pt idx="14">
                  <c:v>21.121736741795473</c:v>
                </c:pt>
                <c:pt idx="15">
                  <c:v>27.143289280958935</c:v>
                </c:pt>
                <c:pt idx="16">
                  <c:v>26.164559342260631</c:v>
                </c:pt>
                <c:pt idx="17">
                  <c:v>25.213970113258362</c:v>
                </c:pt>
                <c:pt idx="18">
                  <c:v>24.289184799879912</c:v>
                </c:pt>
                <c:pt idx="19">
                  <c:v>23.388135820243466</c:v>
                </c:pt>
                <c:pt idx="20">
                  <c:v>22.508985049448384</c:v>
                </c:pt>
                <c:pt idx="21">
                  <c:v>21.650091143560939</c:v>
                </c:pt>
                <c:pt idx="22">
                  <c:v>20.883316620250678</c:v>
                </c:pt>
                <c:pt idx="23">
                  <c:v>20.203996332932295</c:v>
                </c:pt>
                <c:pt idx="24">
                  <c:v>19.60021487862037</c:v>
                </c:pt>
                <c:pt idx="25">
                  <c:v>19.061962461026152</c:v>
                </c:pt>
                <c:pt idx="26">
                  <c:v>18.559132003119984</c:v>
                </c:pt>
                <c:pt idx="27">
                  <c:v>18.091769089726203</c:v>
                </c:pt>
                <c:pt idx="28">
                  <c:v>17.658763177864522</c:v>
                </c:pt>
                <c:pt idx="29">
                  <c:v>17.258835802330857</c:v>
                </c:pt>
                <c:pt idx="30">
                  <c:v>16.89057821945125</c:v>
                </c:pt>
                <c:pt idx="31">
                  <c:v>16.552484958472654</c:v>
                </c:pt>
                <c:pt idx="32">
                  <c:v>16.242983526164203</c:v>
                </c:pt>
                <c:pt idx="33">
                  <c:v>15.960460507950664</c:v>
                </c:pt>
                <c:pt idx="34">
                  <c:v>15.703284306757201</c:v>
                </c:pt>
                <c:pt idx="35">
                  <c:v>15.469824758267483</c:v>
                </c:pt>
                <c:pt idx="36">
                  <c:v>15.258469858174163</c:v>
                </c:pt>
                <c:pt idx="37">
                  <c:v>15.067639833026112</c:v>
                </c:pt>
                <c:pt idx="38">
                  <c:v>14.895798781330983</c:v>
                </c:pt>
                <c:pt idx="39">
                  <c:v>14.741464105603592</c:v>
                </c:pt>
                <c:pt idx="40">
                  <c:v>14.603213949064459</c:v>
                </c:pt>
                <c:pt idx="41">
                  <c:v>14.479692842735679</c:v>
                </c:pt>
                <c:pt idx="42">
                  <c:v>14.369615759833572</c:v>
                </c:pt>
                <c:pt idx="43">
                  <c:v>14.271770764724351</c:v>
                </c:pt>
                <c:pt idx="44">
                  <c:v>14.18502043341255</c:v>
                </c:pt>
                <c:pt idx="45">
                  <c:v>14.10830221170559</c:v>
                </c:pt>
                <c:pt idx="46">
                  <c:v>14.040627865980424</c:v>
                </c:pt>
                <c:pt idx="47">
                  <c:v>13.981082170009412</c:v>
                </c:pt>
                <c:pt idx="48">
                  <c:v>13.92882095971941</c:v>
                </c:pt>
                <c:pt idx="49">
                  <c:v>13.883058117073583</c:v>
                </c:pt>
                <c:pt idx="50">
                  <c:v>13.84307292671417</c:v>
                </c:pt>
                <c:pt idx="51">
                  <c:v>13.808228171072882</c:v>
                </c:pt>
                <c:pt idx="52">
                  <c:v>13.77794313292422</c:v>
                </c:pt>
                <c:pt idx="53">
                  <c:v>13.751690595378346</c:v>
                </c:pt>
                <c:pt idx="54">
                  <c:v>13.728993691994752</c:v>
                </c:pt>
                <c:pt idx="55">
                  <c:v>13.709422670543319</c:v>
                </c:pt>
                <c:pt idx="56">
                  <c:v>13.692928676686341</c:v>
                </c:pt>
                <c:pt idx="57">
                  <c:v>13.678987687902486</c:v>
                </c:pt>
                <c:pt idx="58">
                  <c:v>13.66719268705992</c:v>
                </c:pt>
                <c:pt idx="59">
                  <c:v>13.657203692023641</c:v>
                </c:pt>
                <c:pt idx="60">
                  <c:v>13.648736319102238</c:v>
                </c:pt>
                <c:pt idx="61">
                  <c:v>13.641552372211118</c:v>
                </c:pt>
                <c:pt idx="62">
                  <c:v>13.635452084597629</c:v>
                </c:pt>
                <c:pt idx="63">
                  <c:v>13.630267711535847</c:v>
                </c:pt>
                <c:pt idx="64">
                  <c:v>13.62585822966728</c:v>
                </c:pt>
                <c:pt idx="65">
                  <c:v>13.622104944611532</c:v>
                </c:pt>
                <c:pt idx="66">
                  <c:v>13.618907845427644</c:v>
                </c:pt>
                <c:pt idx="67">
                  <c:v>13.616182574303133</c:v>
                </c:pt>
                <c:pt idx="68">
                  <c:v>13.613857903926771</c:v>
                </c:pt>
                <c:pt idx="69">
                  <c:v>13.61187363450351</c:v>
                </c:pt>
                <c:pt idx="70">
                  <c:v>13.610178838199721</c:v>
                </c:pt>
                <c:pt idx="71">
                  <c:v>13.60873039168265</c:v>
                </c:pt>
                <c:pt idx="72">
                  <c:v>13.6074917479121</c:v>
                </c:pt>
                <c:pt idx="73">
                  <c:v>13.606431906912078</c:v>
                </c:pt>
                <c:pt idx="74">
                  <c:v>13.605524552261791</c:v>
                </c:pt>
                <c:pt idx="75">
                  <c:v>13.604747325792454</c:v>
                </c:pt>
                <c:pt idx="76">
                  <c:v>13.604081217695617</c:v>
                </c:pt>
                <c:pt idx="77">
                  <c:v>13.603510053130339</c:v>
                </c:pt>
                <c:pt idx="78">
                  <c:v>13.603020059614684</c:v>
                </c:pt>
                <c:pt idx="79">
                  <c:v>13.602599502126139</c:v>
                </c:pt>
                <c:pt idx="80">
                  <c:v>13.602238375016944</c:v>
                </c:pt>
                <c:pt idx="81">
                  <c:v>13.601928141655819</c:v>
                </c:pt>
                <c:pt idx="82">
                  <c:v>13.601661514204466</c:v>
                </c:pt>
                <c:pt idx="83">
                  <c:v>13.601432267179677</c:v>
                </c:pt>
                <c:pt idx="84">
                  <c:v>13.601235079484869</c:v>
                </c:pt>
              </c:numCache>
            </c:numRef>
          </c:yVal>
          <c:smooth val="1"/>
          <c:extLst>
            <c:ext xmlns:c16="http://schemas.microsoft.com/office/drawing/2014/chart" uri="{C3380CC4-5D6E-409C-BE32-E72D297353CC}">
              <c16:uniqueId val="{00000000-6DBF-FF48-B12D-8F575B69AFAF}"/>
            </c:ext>
          </c:extLst>
        </c:ser>
        <c:ser>
          <c:idx val="1"/>
          <c:order val="1"/>
          <c:tx>
            <c:v>Threshold Moisture Content: Start Irrigating</c:v>
          </c:tx>
          <c:spPr>
            <a:ln w="38100">
              <a:solidFill>
                <a:srgbClr val="FFC0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Worksheet'!$J$6:$J$90</c:f>
              <c:numCache>
                <c:formatCode>General</c:formatCode>
                <c:ptCount val="85"/>
                <c:pt idx="0">
                  <c:v>22.42</c:v>
                </c:pt>
                <c:pt idx="1">
                  <c:v>22.42</c:v>
                </c:pt>
                <c:pt idx="2">
                  <c:v>22.42</c:v>
                </c:pt>
                <c:pt idx="3">
                  <c:v>22.42</c:v>
                </c:pt>
                <c:pt idx="4">
                  <c:v>22.42</c:v>
                </c:pt>
                <c:pt idx="5">
                  <c:v>22.42</c:v>
                </c:pt>
                <c:pt idx="6">
                  <c:v>22.42</c:v>
                </c:pt>
                <c:pt idx="7">
                  <c:v>22.42</c:v>
                </c:pt>
                <c:pt idx="8">
                  <c:v>22.42</c:v>
                </c:pt>
                <c:pt idx="9">
                  <c:v>22.42</c:v>
                </c:pt>
                <c:pt idx="10">
                  <c:v>22.42</c:v>
                </c:pt>
                <c:pt idx="11">
                  <c:v>22.42</c:v>
                </c:pt>
                <c:pt idx="12">
                  <c:v>22.42</c:v>
                </c:pt>
                <c:pt idx="13">
                  <c:v>22.42</c:v>
                </c:pt>
                <c:pt idx="14">
                  <c:v>22.42</c:v>
                </c:pt>
                <c:pt idx="15">
                  <c:v>22.42</c:v>
                </c:pt>
                <c:pt idx="16">
                  <c:v>22.42</c:v>
                </c:pt>
                <c:pt idx="17">
                  <c:v>22.42</c:v>
                </c:pt>
                <c:pt idx="18">
                  <c:v>22.42</c:v>
                </c:pt>
                <c:pt idx="19">
                  <c:v>22.42</c:v>
                </c:pt>
                <c:pt idx="20">
                  <c:v>22.42</c:v>
                </c:pt>
                <c:pt idx="21">
                  <c:v>22.42</c:v>
                </c:pt>
                <c:pt idx="22">
                  <c:v>22.42</c:v>
                </c:pt>
                <c:pt idx="23">
                  <c:v>22.42</c:v>
                </c:pt>
                <c:pt idx="24">
                  <c:v>22.42</c:v>
                </c:pt>
                <c:pt idx="25">
                  <c:v>22.42</c:v>
                </c:pt>
                <c:pt idx="26">
                  <c:v>22.42</c:v>
                </c:pt>
                <c:pt idx="27">
                  <c:v>22.42</c:v>
                </c:pt>
                <c:pt idx="28">
                  <c:v>22.42</c:v>
                </c:pt>
                <c:pt idx="29">
                  <c:v>22.42</c:v>
                </c:pt>
                <c:pt idx="30">
                  <c:v>22.42</c:v>
                </c:pt>
                <c:pt idx="31">
                  <c:v>22.42</c:v>
                </c:pt>
                <c:pt idx="32">
                  <c:v>22.42</c:v>
                </c:pt>
                <c:pt idx="33">
                  <c:v>22.42</c:v>
                </c:pt>
                <c:pt idx="34">
                  <c:v>22.42</c:v>
                </c:pt>
                <c:pt idx="35">
                  <c:v>22.42</c:v>
                </c:pt>
                <c:pt idx="36">
                  <c:v>22.42</c:v>
                </c:pt>
                <c:pt idx="37">
                  <c:v>22.42</c:v>
                </c:pt>
                <c:pt idx="38">
                  <c:v>22.42</c:v>
                </c:pt>
                <c:pt idx="39">
                  <c:v>22.42</c:v>
                </c:pt>
                <c:pt idx="40">
                  <c:v>22.42</c:v>
                </c:pt>
                <c:pt idx="41">
                  <c:v>22.42</c:v>
                </c:pt>
                <c:pt idx="42">
                  <c:v>22.42</c:v>
                </c:pt>
                <c:pt idx="43">
                  <c:v>22.42</c:v>
                </c:pt>
                <c:pt idx="44">
                  <c:v>22.42</c:v>
                </c:pt>
                <c:pt idx="45">
                  <c:v>22.42</c:v>
                </c:pt>
                <c:pt idx="46">
                  <c:v>22.42</c:v>
                </c:pt>
                <c:pt idx="47">
                  <c:v>22.42</c:v>
                </c:pt>
                <c:pt idx="48">
                  <c:v>22.42</c:v>
                </c:pt>
                <c:pt idx="49">
                  <c:v>22.42</c:v>
                </c:pt>
                <c:pt idx="50">
                  <c:v>22.42</c:v>
                </c:pt>
                <c:pt idx="51">
                  <c:v>22.42</c:v>
                </c:pt>
                <c:pt idx="52">
                  <c:v>22.42</c:v>
                </c:pt>
                <c:pt idx="53">
                  <c:v>22.42</c:v>
                </c:pt>
                <c:pt idx="54">
                  <c:v>22.42</c:v>
                </c:pt>
                <c:pt idx="55">
                  <c:v>22.42</c:v>
                </c:pt>
                <c:pt idx="56">
                  <c:v>22.42</c:v>
                </c:pt>
                <c:pt idx="57">
                  <c:v>22.42</c:v>
                </c:pt>
                <c:pt idx="58">
                  <c:v>22.42</c:v>
                </c:pt>
                <c:pt idx="59">
                  <c:v>22.42</c:v>
                </c:pt>
                <c:pt idx="60">
                  <c:v>22.42</c:v>
                </c:pt>
                <c:pt idx="61">
                  <c:v>22.42</c:v>
                </c:pt>
                <c:pt idx="62">
                  <c:v>22.42</c:v>
                </c:pt>
                <c:pt idx="63">
                  <c:v>22.42</c:v>
                </c:pt>
                <c:pt idx="64">
                  <c:v>22.42</c:v>
                </c:pt>
                <c:pt idx="65">
                  <c:v>22.42</c:v>
                </c:pt>
                <c:pt idx="66">
                  <c:v>22.42</c:v>
                </c:pt>
                <c:pt idx="67">
                  <c:v>22.42</c:v>
                </c:pt>
                <c:pt idx="68">
                  <c:v>22.42</c:v>
                </c:pt>
                <c:pt idx="69">
                  <c:v>22.42</c:v>
                </c:pt>
                <c:pt idx="70">
                  <c:v>22.42</c:v>
                </c:pt>
                <c:pt idx="71">
                  <c:v>22.42</c:v>
                </c:pt>
                <c:pt idx="72">
                  <c:v>22.42</c:v>
                </c:pt>
                <c:pt idx="73">
                  <c:v>22.42</c:v>
                </c:pt>
                <c:pt idx="74">
                  <c:v>22.42</c:v>
                </c:pt>
                <c:pt idx="75">
                  <c:v>22.42</c:v>
                </c:pt>
                <c:pt idx="76">
                  <c:v>22.42</c:v>
                </c:pt>
                <c:pt idx="77">
                  <c:v>22.42</c:v>
                </c:pt>
                <c:pt idx="78">
                  <c:v>22.42</c:v>
                </c:pt>
                <c:pt idx="79">
                  <c:v>22.42</c:v>
                </c:pt>
                <c:pt idx="80">
                  <c:v>22.42</c:v>
                </c:pt>
                <c:pt idx="81">
                  <c:v>22.42</c:v>
                </c:pt>
                <c:pt idx="82">
                  <c:v>22.42</c:v>
                </c:pt>
                <c:pt idx="83">
                  <c:v>22.42</c:v>
                </c:pt>
                <c:pt idx="84">
                  <c:v>22.42</c:v>
                </c:pt>
              </c:numCache>
            </c:numRef>
          </c:yVal>
          <c:smooth val="1"/>
          <c:extLst>
            <c:ext xmlns:c16="http://schemas.microsoft.com/office/drawing/2014/chart" uri="{C3380CC4-5D6E-409C-BE32-E72D297353CC}">
              <c16:uniqueId val="{00000001-6DBF-FF48-B12D-8F575B69AFAF}"/>
            </c:ext>
          </c:extLst>
        </c:ser>
        <c:ser>
          <c:idx val="2"/>
          <c:order val="2"/>
          <c:tx>
            <c:v>Soil Field Capacity: Stop Irrigating</c:v>
          </c:tx>
          <c:spPr>
            <a:ln w="38100">
              <a:solidFill>
                <a:srgbClr val="92D05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Worksheet'!$C$6:$C$90</c:f>
              <c:numCache>
                <c:formatCode>General</c:formatCode>
                <c:ptCount val="85"/>
                <c:pt idx="0">
                  <c:v>28.3</c:v>
                </c:pt>
                <c:pt idx="1">
                  <c:v>28.3</c:v>
                </c:pt>
                <c:pt idx="2">
                  <c:v>28.3</c:v>
                </c:pt>
                <c:pt idx="3">
                  <c:v>28.3</c:v>
                </c:pt>
                <c:pt idx="4">
                  <c:v>28.3</c:v>
                </c:pt>
                <c:pt idx="5">
                  <c:v>28.3</c:v>
                </c:pt>
                <c:pt idx="6">
                  <c:v>28.3</c:v>
                </c:pt>
                <c:pt idx="7">
                  <c:v>28.3</c:v>
                </c:pt>
                <c:pt idx="8">
                  <c:v>28.3</c:v>
                </c:pt>
                <c:pt idx="9">
                  <c:v>28.3</c:v>
                </c:pt>
                <c:pt idx="10">
                  <c:v>28.3</c:v>
                </c:pt>
                <c:pt idx="11">
                  <c:v>28.3</c:v>
                </c:pt>
                <c:pt idx="12">
                  <c:v>28.3</c:v>
                </c:pt>
                <c:pt idx="13">
                  <c:v>28.3</c:v>
                </c:pt>
                <c:pt idx="14">
                  <c:v>28.3</c:v>
                </c:pt>
                <c:pt idx="15">
                  <c:v>28.3</c:v>
                </c:pt>
                <c:pt idx="16">
                  <c:v>28.3</c:v>
                </c:pt>
                <c:pt idx="17">
                  <c:v>28.3</c:v>
                </c:pt>
                <c:pt idx="18">
                  <c:v>28.3</c:v>
                </c:pt>
                <c:pt idx="19">
                  <c:v>28.3</c:v>
                </c:pt>
                <c:pt idx="20">
                  <c:v>28.3</c:v>
                </c:pt>
                <c:pt idx="21">
                  <c:v>28.3</c:v>
                </c:pt>
                <c:pt idx="22">
                  <c:v>28.3</c:v>
                </c:pt>
                <c:pt idx="23">
                  <c:v>28.3</c:v>
                </c:pt>
                <c:pt idx="24">
                  <c:v>28.3</c:v>
                </c:pt>
                <c:pt idx="25">
                  <c:v>28.3</c:v>
                </c:pt>
                <c:pt idx="26">
                  <c:v>28.3</c:v>
                </c:pt>
                <c:pt idx="27">
                  <c:v>28.3</c:v>
                </c:pt>
                <c:pt idx="28">
                  <c:v>28.3</c:v>
                </c:pt>
                <c:pt idx="29">
                  <c:v>28.3</c:v>
                </c:pt>
                <c:pt idx="30">
                  <c:v>28.3</c:v>
                </c:pt>
                <c:pt idx="31">
                  <c:v>28.3</c:v>
                </c:pt>
                <c:pt idx="32">
                  <c:v>28.3</c:v>
                </c:pt>
                <c:pt idx="33">
                  <c:v>28.3</c:v>
                </c:pt>
                <c:pt idx="34">
                  <c:v>28.3</c:v>
                </c:pt>
                <c:pt idx="35">
                  <c:v>28.3</c:v>
                </c:pt>
                <c:pt idx="36">
                  <c:v>28.3</c:v>
                </c:pt>
                <c:pt idx="37">
                  <c:v>28.3</c:v>
                </c:pt>
                <c:pt idx="38">
                  <c:v>28.3</c:v>
                </c:pt>
                <c:pt idx="39">
                  <c:v>28.3</c:v>
                </c:pt>
                <c:pt idx="40">
                  <c:v>28.3</c:v>
                </c:pt>
                <c:pt idx="41">
                  <c:v>28.3</c:v>
                </c:pt>
                <c:pt idx="42">
                  <c:v>28.3</c:v>
                </c:pt>
                <c:pt idx="43">
                  <c:v>28.3</c:v>
                </c:pt>
                <c:pt idx="44">
                  <c:v>28.3</c:v>
                </c:pt>
                <c:pt idx="45">
                  <c:v>28.3</c:v>
                </c:pt>
                <c:pt idx="46">
                  <c:v>28.3</c:v>
                </c:pt>
                <c:pt idx="47">
                  <c:v>28.3</c:v>
                </c:pt>
                <c:pt idx="48">
                  <c:v>28.3</c:v>
                </c:pt>
                <c:pt idx="49">
                  <c:v>28.3</c:v>
                </c:pt>
                <c:pt idx="50">
                  <c:v>28.3</c:v>
                </c:pt>
                <c:pt idx="51">
                  <c:v>28.3</c:v>
                </c:pt>
                <c:pt idx="52">
                  <c:v>28.3</c:v>
                </c:pt>
                <c:pt idx="53">
                  <c:v>28.3</c:v>
                </c:pt>
                <c:pt idx="54">
                  <c:v>28.3</c:v>
                </c:pt>
                <c:pt idx="55">
                  <c:v>28.3</c:v>
                </c:pt>
                <c:pt idx="56">
                  <c:v>28.3</c:v>
                </c:pt>
                <c:pt idx="57">
                  <c:v>28.3</c:v>
                </c:pt>
                <c:pt idx="58">
                  <c:v>28.3</c:v>
                </c:pt>
                <c:pt idx="59">
                  <c:v>28.3</c:v>
                </c:pt>
                <c:pt idx="60">
                  <c:v>28.3</c:v>
                </c:pt>
                <c:pt idx="61">
                  <c:v>28.3</c:v>
                </c:pt>
                <c:pt idx="62">
                  <c:v>28.3</c:v>
                </c:pt>
                <c:pt idx="63">
                  <c:v>28.3</c:v>
                </c:pt>
                <c:pt idx="64">
                  <c:v>28.3</c:v>
                </c:pt>
                <c:pt idx="65">
                  <c:v>28.3</c:v>
                </c:pt>
                <c:pt idx="66">
                  <c:v>28.3</c:v>
                </c:pt>
                <c:pt idx="67">
                  <c:v>28.3</c:v>
                </c:pt>
                <c:pt idx="68">
                  <c:v>28.3</c:v>
                </c:pt>
                <c:pt idx="69">
                  <c:v>28.3</c:v>
                </c:pt>
                <c:pt idx="70">
                  <c:v>28.3</c:v>
                </c:pt>
                <c:pt idx="71">
                  <c:v>28.3</c:v>
                </c:pt>
                <c:pt idx="72">
                  <c:v>28.3</c:v>
                </c:pt>
                <c:pt idx="73">
                  <c:v>28.3</c:v>
                </c:pt>
                <c:pt idx="74">
                  <c:v>28.3</c:v>
                </c:pt>
                <c:pt idx="75">
                  <c:v>28.3</c:v>
                </c:pt>
                <c:pt idx="76">
                  <c:v>28.3</c:v>
                </c:pt>
                <c:pt idx="77">
                  <c:v>28.3</c:v>
                </c:pt>
                <c:pt idx="78">
                  <c:v>28.3</c:v>
                </c:pt>
                <c:pt idx="79">
                  <c:v>28.3</c:v>
                </c:pt>
                <c:pt idx="80">
                  <c:v>28.3</c:v>
                </c:pt>
                <c:pt idx="81">
                  <c:v>28.3</c:v>
                </c:pt>
                <c:pt idx="82">
                  <c:v>28.3</c:v>
                </c:pt>
                <c:pt idx="83">
                  <c:v>28.3</c:v>
                </c:pt>
                <c:pt idx="84">
                  <c:v>28.3</c:v>
                </c:pt>
              </c:numCache>
            </c:numRef>
          </c:yVal>
          <c:smooth val="1"/>
          <c:extLst>
            <c:ext xmlns:c16="http://schemas.microsoft.com/office/drawing/2014/chart" uri="{C3380CC4-5D6E-409C-BE32-E72D297353CC}">
              <c16:uniqueId val="{00000002-6DBF-FF48-B12D-8F575B69AFAF}"/>
            </c:ext>
          </c:extLst>
        </c:ser>
        <c:ser>
          <c:idx val="3"/>
          <c:order val="3"/>
          <c:tx>
            <c:v>Wilting Point</c:v>
          </c:tx>
          <c:spPr>
            <a:ln>
              <a:solidFill>
                <a:srgbClr val="FF0000"/>
              </a:solidFill>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Worksheet'!$D$6:$D$90</c:f>
              <c:numCache>
                <c:formatCode>General</c:formatCode>
                <c:ptCount val="85"/>
                <c:pt idx="0">
                  <c:v>13.6</c:v>
                </c:pt>
                <c:pt idx="1">
                  <c:v>13.6</c:v>
                </c:pt>
                <c:pt idx="2">
                  <c:v>13.6</c:v>
                </c:pt>
                <c:pt idx="3">
                  <c:v>13.6</c:v>
                </c:pt>
                <c:pt idx="4">
                  <c:v>13.6</c:v>
                </c:pt>
                <c:pt idx="5">
                  <c:v>13.6</c:v>
                </c:pt>
                <c:pt idx="6">
                  <c:v>13.6</c:v>
                </c:pt>
                <c:pt idx="7">
                  <c:v>13.6</c:v>
                </c:pt>
                <c:pt idx="8">
                  <c:v>13.6</c:v>
                </c:pt>
                <c:pt idx="9">
                  <c:v>13.6</c:v>
                </c:pt>
                <c:pt idx="10">
                  <c:v>13.6</c:v>
                </c:pt>
                <c:pt idx="11">
                  <c:v>13.6</c:v>
                </c:pt>
                <c:pt idx="12">
                  <c:v>13.6</c:v>
                </c:pt>
                <c:pt idx="13">
                  <c:v>13.6</c:v>
                </c:pt>
                <c:pt idx="14">
                  <c:v>13.6</c:v>
                </c:pt>
                <c:pt idx="15">
                  <c:v>13.6</c:v>
                </c:pt>
                <c:pt idx="16">
                  <c:v>13.6</c:v>
                </c:pt>
                <c:pt idx="17">
                  <c:v>13.6</c:v>
                </c:pt>
                <c:pt idx="18">
                  <c:v>13.6</c:v>
                </c:pt>
                <c:pt idx="19">
                  <c:v>13.6</c:v>
                </c:pt>
                <c:pt idx="20">
                  <c:v>13.6</c:v>
                </c:pt>
                <c:pt idx="21">
                  <c:v>13.6</c:v>
                </c:pt>
                <c:pt idx="22">
                  <c:v>13.6</c:v>
                </c:pt>
                <c:pt idx="23">
                  <c:v>13.6</c:v>
                </c:pt>
                <c:pt idx="24">
                  <c:v>13.6</c:v>
                </c:pt>
                <c:pt idx="25">
                  <c:v>13.6</c:v>
                </c:pt>
                <c:pt idx="26">
                  <c:v>13.6</c:v>
                </c:pt>
                <c:pt idx="27">
                  <c:v>13.6</c:v>
                </c:pt>
                <c:pt idx="28">
                  <c:v>13.6</c:v>
                </c:pt>
                <c:pt idx="29">
                  <c:v>13.6</c:v>
                </c:pt>
                <c:pt idx="30">
                  <c:v>13.6</c:v>
                </c:pt>
                <c:pt idx="31">
                  <c:v>13.6</c:v>
                </c:pt>
                <c:pt idx="32">
                  <c:v>13.6</c:v>
                </c:pt>
                <c:pt idx="33">
                  <c:v>13.6</c:v>
                </c:pt>
                <c:pt idx="34">
                  <c:v>13.6</c:v>
                </c:pt>
                <c:pt idx="35">
                  <c:v>13.6</c:v>
                </c:pt>
                <c:pt idx="36">
                  <c:v>13.6</c:v>
                </c:pt>
                <c:pt idx="37">
                  <c:v>13.6</c:v>
                </c:pt>
                <c:pt idx="38">
                  <c:v>13.6</c:v>
                </c:pt>
                <c:pt idx="39">
                  <c:v>13.6</c:v>
                </c:pt>
                <c:pt idx="40">
                  <c:v>13.6</c:v>
                </c:pt>
                <c:pt idx="41">
                  <c:v>13.6</c:v>
                </c:pt>
                <c:pt idx="42">
                  <c:v>13.6</c:v>
                </c:pt>
                <c:pt idx="43">
                  <c:v>13.6</c:v>
                </c:pt>
                <c:pt idx="44">
                  <c:v>13.6</c:v>
                </c:pt>
                <c:pt idx="45">
                  <c:v>13.6</c:v>
                </c:pt>
                <c:pt idx="46">
                  <c:v>13.6</c:v>
                </c:pt>
                <c:pt idx="47">
                  <c:v>13.6</c:v>
                </c:pt>
                <c:pt idx="48">
                  <c:v>13.6</c:v>
                </c:pt>
                <c:pt idx="49">
                  <c:v>13.6</c:v>
                </c:pt>
                <c:pt idx="50">
                  <c:v>13.6</c:v>
                </c:pt>
                <c:pt idx="51">
                  <c:v>13.6</c:v>
                </c:pt>
                <c:pt idx="52">
                  <c:v>13.6</c:v>
                </c:pt>
                <c:pt idx="53">
                  <c:v>13.6</c:v>
                </c:pt>
                <c:pt idx="54">
                  <c:v>13.6</c:v>
                </c:pt>
                <c:pt idx="55">
                  <c:v>13.6</c:v>
                </c:pt>
                <c:pt idx="56">
                  <c:v>13.6</c:v>
                </c:pt>
                <c:pt idx="57">
                  <c:v>13.6</c:v>
                </c:pt>
                <c:pt idx="58">
                  <c:v>13.6</c:v>
                </c:pt>
                <c:pt idx="59">
                  <c:v>13.6</c:v>
                </c:pt>
                <c:pt idx="60">
                  <c:v>13.6</c:v>
                </c:pt>
                <c:pt idx="61">
                  <c:v>13.6</c:v>
                </c:pt>
                <c:pt idx="62">
                  <c:v>13.6</c:v>
                </c:pt>
                <c:pt idx="63">
                  <c:v>13.6</c:v>
                </c:pt>
                <c:pt idx="64">
                  <c:v>13.6</c:v>
                </c:pt>
                <c:pt idx="65">
                  <c:v>13.6</c:v>
                </c:pt>
                <c:pt idx="66">
                  <c:v>13.6</c:v>
                </c:pt>
                <c:pt idx="67">
                  <c:v>13.6</c:v>
                </c:pt>
                <c:pt idx="68">
                  <c:v>13.6</c:v>
                </c:pt>
                <c:pt idx="69">
                  <c:v>13.6</c:v>
                </c:pt>
                <c:pt idx="70">
                  <c:v>13.6</c:v>
                </c:pt>
                <c:pt idx="71">
                  <c:v>13.6</c:v>
                </c:pt>
                <c:pt idx="72">
                  <c:v>13.6</c:v>
                </c:pt>
                <c:pt idx="73">
                  <c:v>13.6</c:v>
                </c:pt>
                <c:pt idx="74">
                  <c:v>13.6</c:v>
                </c:pt>
                <c:pt idx="75">
                  <c:v>13.6</c:v>
                </c:pt>
                <c:pt idx="76">
                  <c:v>13.6</c:v>
                </c:pt>
                <c:pt idx="77">
                  <c:v>13.6</c:v>
                </c:pt>
                <c:pt idx="78">
                  <c:v>13.6</c:v>
                </c:pt>
                <c:pt idx="79">
                  <c:v>13.6</c:v>
                </c:pt>
                <c:pt idx="80">
                  <c:v>13.6</c:v>
                </c:pt>
                <c:pt idx="81">
                  <c:v>13.6</c:v>
                </c:pt>
                <c:pt idx="82">
                  <c:v>13.6</c:v>
                </c:pt>
                <c:pt idx="83">
                  <c:v>13.6</c:v>
                </c:pt>
                <c:pt idx="84">
                  <c:v>13.6</c:v>
                </c:pt>
              </c:numCache>
            </c:numRef>
          </c:yVal>
          <c:smooth val="1"/>
          <c:extLst>
            <c:ext xmlns:c16="http://schemas.microsoft.com/office/drawing/2014/chart" uri="{C3380CC4-5D6E-409C-BE32-E72D297353CC}">
              <c16:uniqueId val="{00000003-6DBF-FF48-B12D-8F575B69AFAF}"/>
            </c:ext>
          </c:extLst>
        </c:ser>
        <c:dLbls>
          <c:showLegendKey val="0"/>
          <c:showVal val="0"/>
          <c:showCatName val="0"/>
          <c:showSerName val="0"/>
          <c:showPercent val="0"/>
          <c:showBubbleSize val="0"/>
        </c:dLbls>
        <c:axId val="1177224800"/>
        <c:axId val="1"/>
      </c:scatterChart>
      <c:valAx>
        <c:axId val="11772248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Moisture Cotent (%)</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24800"/>
        <c:crosses val="autoZero"/>
        <c:crossBetween val="midCat"/>
      </c:valAx>
      <c:spPr>
        <a:solidFill>
          <a:srgbClr val="F4E9E9"/>
        </a:solidFill>
        <a:ln w="25400">
          <a:noFill/>
        </a:ln>
      </c:spPr>
    </c:plotArea>
    <c:legend>
      <c:legendPos val="r"/>
      <c:layout>
        <c:manualLayout>
          <c:xMode val="edge"/>
          <c:yMode val="edge"/>
          <c:x val="0.67479666794699444"/>
          <c:y val="0.2613486932810441"/>
          <c:w val="0.29471552717495686"/>
          <c:h val="0.4455479640920371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2160" b="1" i="0" u="none" strike="noStrike" baseline="0">
                <a:solidFill>
                  <a:srgbClr val="000000"/>
                </a:solidFill>
                <a:latin typeface="Calibri"/>
                <a:ea typeface="Calibri"/>
                <a:cs typeface="Calibri"/>
              </a:defRPr>
            </a:pPr>
            <a:r>
              <a:rPr lang="en-US"/>
              <a:t>Crop Evapotranspiration (ETc)</a:t>
            </a:r>
            <a:r>
              <a:rPr lang="en-US" baseline="0"/>
              <a:t> </a:t>
            </a:r>
            <a:r>
              <a:rPr lang="en-US"/>
              <a:t>and Adjusted Crop Evapotranspiration (ETcadj) for Limited Water Conditions Vs. Time</a:t>
            </a:r>
          </a:p>
        </c:rich>
      </c:tx>
      <c:layout>
        <c:manualLayout>
          <c:xMode val="edge"/>
          <c:yMode val="edge"/>
          <c:x val="0.13262838720502401"/>
          <c:y val="1.3157746104521743E-2"/>
        </c:manualLayout>
      </c:layout>
      <c:overlay val="0"/>
      <c:spPr>
        <a:noFill/>
        <a:ln w="25400">
          <a:noFill/>
        </a:ln>
      </c:spPr>
    </c:title>
    <c:autoTitleDeleted val="0"/>
    <c:plotArea>
      <c:layout>
        <c:manualLayout>
          <c:layoutTarget val="inner"/>
          <c:xMode val="edge"/>
          <c:yMode val="edge"/>
          <c:x val="0.13104411606083485"/>
          <c:y val="0.16396092893451611"/>
          <c:w val="0.70228925293323174"/>
          <c:h val="0.68651018306256018"/>
        </c:manualLayout>
      </c:layout>
      <c:scatterChart>
        <c:scatterStyle val="smoothMarker"/>
        <c:varyColors val="0"/>
        <c:ser>
          <c:idx val="0"/>
          <c:order val="0"/>
          <c:tx>
            <c:v>ETcadj</c:v>
          </c:tx>
          <c:spPr>
            <a:ln w="38100">
              <a:solidFill>
                <a:srgbClr val="666699"/>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Worksheet'!$T$6:$T$90</c:f>
              <c:numCache>
                <c:formatCode>0.00</c:formatCode>
                <c:ptCount val="85"/>
                <c:pt idx="0">
                  <c:v>3.6845973249185446</c:v>
                </c:pt>
                <c:pt idx="1">
                  <c:v>3.885651320620533</c:v>
                </c:pt>
                <c:pt idx="2">
                  <c:v>3.4595891851197438</c:v>
                </c:pt>
                <c:pt idx="3">
                  <c:v>2.9336092319247342</c:v>
                </c:pt>
                <c:pt idx="4">
                  <c:v>2.6754703165008045</c:v>
                </c:pt>
                <c:pt idx="5">
                  <c:v>2.1874800733216224</c:v>
                </c:pt>
                <c:pt idx="6">
                  <c:v>1.8137879476059318</c:v>
                </c:pt>
                <c:pt idx="7">
                  <c:v>2.9336092319247342</c:v>
                </c:pt>
                <c:pt idx="8">
                  <c:v>2.6842385065044856</c:v>
                </c:pt>
                <c:pt idx="9">
                  <c:v>2.2953528499977223</c:v>
                </c:pt>
                <c:pt idx="10">
                  <c:v>1.9779422646083535</c:v>
                </c:pt>
                <c:pt idx="11">
                  <c:v>2.9336092319247342</c:v>
                </c:pt>
                <c:pt idx="12">
                  <c:v>2.9336092319247342</c:v>
                </c:pt>
                <c:pt idx="13">
                  <c:v>2.8374489713890312</c:v>
                </c:pt>
                <c:pt idx="14">
                  <c:v>2.5017955040633413</c:v>
                </c:pt>
                <c:pt idx="15">
                  <c:v>2.9336092319247342</c:v>
                </c:pt>
                <c:pt idx="16">
                  <c:v>2.9336092319247342</c:v>
                </c:pt>
                <c:pt idx="17">
                  <c:v>2.9336092319247342</c:v>
                </c:pt>
                <c:pt idx="18">
                  <c:v>2.9336092319247342</c:v>
                </c:pt>
                <c:pt idx="19">
                  <c:v>2.9336092319247342</c:v>
                </c:pt>
                <c:pt idx="20">
                  <c:v>2.9336092319247342</c:v>
                </c:pt>
                <c:pt idx="21">
                  <c:v>2.6775308046015764</c:v>
                </c:pt>
                <c:pt idx="22">
                  <c:v>2.422494883922703</c:v>
                </c:pt>
                <c:pt idx="23">
                  <c:v>2.1965470079237264</c:v>
                </c:pt>
                <c:pt idx="24">
                  <c:v>1.9957240092350188</c:v>
                </c:pt>
                <c:pt idx="25">
                  <c:v>1.898447886348847</c:v>
                </c:pt>
                <c:pt idx="26">
                  <c:v>1.7952621730618188</c:v>
                </c:pt>
                <c:pt idx="27">
                  <c:v>1.6909111593863968</c:v>
                </c:pt>
                <c:pt idx="28">
                  <c:v>1.5864966996986061</c:v>
                </c:pt>
                <c:pt idx="29">
                  <c:v>1.4829884629082544</c:v>
                </c:pt>
                <c:pt idx="30">
                  <c:v>1.3812276135381214</c:v>
                </c:pt>
                <c:pt idx="31">
                  <c:v>1.2819319763255745</c:v>
                </c:pt>
                <c:pt idx="32">
                  <c:v>1.1857023809973672</c:v>
                </c:pt>
                <c:pt idx="33">
                  <c:v>1.0930299111848913</c:v>
                </c:pt>
                <c:pt idx="34">
                  <c:v>1.0043038085233065</c:v>
                </c:pt>
                <c:pt idx="35">
                  <c:v>0.91981980961119625</c:v>
                </c:pt>
                <c:pt idx="36">
                  <c:v>0.83978871949177514</c:v>
                </c:pt>
                <c:pt idx="37">
                  <c:v>0.7643450504517395</c:v>
                </c:pt>
                <c:pt idx="38">
                  <c:v>0.69355557903279097</c:v>
                </c:pt>
                <c:pt idx="39">
                  <c:v>0.62742769704530721</c:v>
                </c:pt>
                <c:pt idx="40">
                  <c:v>0.56591745391844672</c:v>
                </c:pt>
                <c:pt idx="41">
                  <c:v>0.50893720779639728</c:v>
                </c:pt>
                <c:pt idx="42">
                  <c:v>0.45636282130402994</c:v>
                </c:pt>
                <c:pt idx="43">
                  <c:v>0.4080403547922184</c:v>
                </c:pt>
                <c:pt idx="44">
                  <c:v>0.36379222509609171</c:v>
                </c:pt>
                <c:pt idx="45">
                  <c:v>0.32342281138765416</c:v>
                </c:pt>
                <c:pt idx="46">
                  <c:v>0.286723501591367</c:v>
                </c:pt>
                <c:pt idx="47">
                  <c:v>0.25347718309394929</c:v>
                </c:pt>
                <c:pt idx="48">
                  <c:v>0.22351376275995974</c:v>
                </c:pt>
                <c:pt idx="49">
                  <c:v>0.19661317465824948</c:v>
                </c:pt>
                <c:pt idx="50">
                  <c:v>0.17245191141886085</c:v>
                </c:pt>
                <c:pt idx="51">
                  <c:v>0.15082566308987666</c:v>
                </c:pt>
                <c:pt idx="52">
                  <c:v>0.13153414649853892</c:v>
                </c:pt>
                <c:pt idx="53">
                  <c:v>0.1143830002636405</c:v>
                </c:pt>
                <c:pt idx="54">
                  <c:v>9.918530620891354E-2</c:v>
                </c:pt>
                <c:pt idx="55">
                  <c:v>8.4045321937884637E-2</c:v>
                </c:pt>
                <c:pt idx="56">
                  <c:v>7.1409085563240354E-2</c:v>
                </c:pt>
                <c:pt idx="57">
                  <c:v>6.0722772611269592E-2</c:v>
                </c:pt>
                <c:pt idx="58">
                  <c:v>5.1676580401137678E-2</c:v>
                </c:pt>
                <c:pt idx="59">
                  <c:v>4.4011541289423591E-2</c:v>
                </c:pt>
                <c:pt idx="60">
                  <c:v>3.7510883319446041E-2</c:v>
                </c:pt>
                <c:pt idx="61">
                  <c:v>3.1992915190877005E-2</c:v>
                </c:pt>
                <c:pt idx="62">
                  <c:v>2.7305155824365605E-2</c:v>
                </c:pt>
                <c:pt idx="63">
                  <c:v>2.3319482245459478E-2</c:v>
                </c:pt>
                <c:pt idx="64">
                  <c:v>1.9928112322064585E-2</c:v>
                </c:pt>
                <c:pt idx="65">
                  <c:v>1.7040273266269168E-2</c:v>
                </c:pt>
                <c:pt idx="66">
                  <c:v>1.457943448426992E-2</c:v>
                </c:pt>
                <c:pt idx="67">
                  <c:v>1.2481005688171213E-2</c:v>
                </c:pt>
                <c:pt idx="68">
                  <c:v>1.0690419243673423E-2</c:v>
                </c:pt>
                <c:pt idx="69">
                  <c:v>9.1615303673531889E-3</c:v>
                </c:pt>
                <c:pt idx="70">
                  <c:v>7.8552806796949211E-3</c:v>
                </c:pt>
                <c:pt idx="71">
                  <c:v>6.7385803010849782E-3</c:v>
                </c:pt>
                <c:pt idx="72">
                  <c:v>5.7833715746219766E-3</c:v>
                </c:pt>
                <c:pt idx="73">
                  <c:v>4.965843953345081E-3</c:v>
                </c:pt>
                <c:pt idx="74">
                  <c:v>4.2657748739616218E-3</c:v>
                </c:pt>
                <c:pt idx="75">
                  <c:v>3.6659757740164695E-3</c:v>
                </c:pt>
                <c:pt idx="76">
                  <c:v>3.1518259716986018E-3</c:v>
                </c:pt>
                <c:pt idx="77">
                  <c:v>2.7108800598012344E-3</c:v>
                </c:pt>
                <c:pt idx="78">
                  <c:v>2.3325368830663011E-3</c:v>
                </c:pt>
                <c:pt idx="79">
                  <c:v>2.0077601648381136E-3</c:v>
                </c:pt>
                <c:pt idx="80">
                  <c:v>1.7288425004805712E-3</c:v>
                </c:pt>
                <c:pt idx="81">
                  <c:v>1.489205802988957E-3</c:v>
                </c:pt>
                <c:pt idx="82">
                  <c:v>1.2832324211599271E-3</c:v>
                </c:pt>
                <c:pt idx="83">
                  <c:v>1.10612209342119E-3</c:v>
                </c:pt>
                <c:pt idx="84">
                  <c:v>9.5377068471265121E-4</c:v>
                </c:pt>
              </c:numCache>
            </c:numRef>
          </c:yVal>
          <c:smooth val="1"/>
          <c:extLst>
            <c:ext xmlns:c16="http://schemas.microsoft.com/office/drawing/2014/chart" uri="{C3380CC4-5D6E-409C-BE32-E72D297353CC}">
              <c16:uniqueId val="{00000000-2EC4-154E-9178-95D85335DE25}"/>
            </c:ext>
          </c:extLst>
        </c:ser>
        <c:ser>
          <c:idx val="1"/>
          <c:order val="1"/>
          <c:tx>
            <c:v>ETc</c:v>
          </c:tx>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Worksheet'!$S$6:$S$90</c:f>
              <c:numCache>
                <c:formatCode>0.00</c:formatCode>
                <c:ptCount val="85"/>
                <c:pt idx="0">
                  <c:v>3.6845973249185446</c:v>
                </c:pt>
                <c:pt idx="1">
                  <c:v>3.885651320620533</c:v>
                </c:pt>
                <c:pt idx="2">
                  <c:v>3.4595891851197438</c:v>
                </c:pt>
                <c:pt idx="3">
                  <c:v>2.9336092319247342</c:v>
                </c:pt>
                <c:pt idx="4">
                  <c:v>2.9336092319247342</c:v>
                </c:pt>
                <c:pt idx="5">
                  <c:v>2.9336092319247342</c:v>
                </c:pt>
                <c:pt idx="6">
                  <c:v>2.9336092319247342</c:v>
                </c:pt>
                <c:pt idx="7">
                  <c:v>2.9336092319247342</c:v>
                </c:pt>
                <c:pt idx="8">
                  <c:v>2.9336092319247342</c:v>
                </c:pt>
                <c:pt idx="9">
                  <c:v>2.9336092319247342</c:v>
                </c:pt>
                <c:pt idx="10">
                  <c:v>2.9336092319247342</c:v>
                </c:pt>
                <c:pt idx="11">
                  <c:v>2.9336092319247342</c:v>
                </c:pt>
                <c:pt idx="12">
                  <c:v>2.9336092319247342</c:v>
                </c:pt>
                <c:pt idx="13">
                  <c:v>2.9336092319247342</c:v>
                </c:pt>
                <c:pt idx="14">
                  <c:v>2.9336092319247342</c:v>
                </c:pt>
                <c:pt idx="15">
                  <c:v>2.9336092319247342</c:v>
                </c:pt>
                <c:pt idx="16">
                  <c:v>2.9336092319247342</c:v>
                </c:pt>
                <c:pt idx="17">
                  <c:v>2.9336092319247342</c:v>
                </c:pt>
                <c:pt idx="18">
                  <c:v>2.9336092319247342</c:v>
                </c:pt>
                <c:pt idx="19">
                  <c:v>2.9336092319247342</c:v>
                </c:pt>
                <c:pt idx="20">
                  <c:v>2.9336092319247342</c:v>
                </c:pt>
                <c:pt idx="21">
                  <c:v>2.9336092319247342</c:v>
                </c:pt>
                <c:pt idx="22">
                  <c:v>2.9336092319247342</c:v>
                </c:pt>
                <c:pt idx="23">
                  <c:v>2.9336092319247342</c:v>
                </c:pt>
                <c:pt idx="24">
                  <c:v>2.9336092319247342</c:v>
                </c:pt>
                <c:pt idx="25">
                  <c:v>3.0656216473613478</c:v>
                </c:pt>
                <c:pt idx="26">
                  <c:v>3.1929402880268807</c:v>
                </c:pt>
                <c:pt idx="27">
                  <c:v>3.3202589286924145</c:v>
                </c:pt>
                <c:pt idx="28">
                  <c:v>3.4475775693579478</c:v>
                </c:pt>
                <c:pt idx="29">
                  <c:v>3.5748962100234816</c:v>
                </c:pt>
                <c:pt idx="30">
                  <c:v>3.7022148506890145</c:v>
                </c:pt>
                <c:pt idx="31">
                  <c:v>3.8295334913545482</c:v>
                </c:pt>
                <c:pt idx="32">
                  <c:v>3.956852132020082</c:v>
                </c:pt>
                <c:pt idx="33">
                  <c:v>4.0841707726856153</c:v>
                </c:pt>
                <c:pt idx="34">
                  <c:v>4.2114894133511491</c:v>
                </c:pt>
                <c:pt idx="35">
                  <c:v>4.338808054016682</c:v>
                </c:pt>
                <c:pt idx="36">
                  <c:v>4.4661266946822158</c:v>
                </c:pt>
                <c:pt idx="37">
                  <c:v>4.5934453353477487</c:v>
                </c:pt>
                <c:pt idx="38">
                  <c:v>4.7207639760132825</c:v>
                </c:pt>
                <c:pt idx="39">
                  <c:v>4.8480826166788162</c:v>
                </c:pt>
                <c:pt idx="40">
                  <c:v>4.97540125734435</c:v>
                </c:pt>
                <c:pt idx="41">
                  <c:v>5.1027198980098829</c:v>
                </c:pt>
                <c:pt idx="42">
                  <c:v>5.2300385386754167</c:v>
                </c:pt>
                <c:pt idx="43">
                  <c:v>5.3573571793409496</c:v>
                </c:pt>
                <c:pt idx="44">
                  <c:v>5.4846758200064833</c:v>
                </c:pt>
                <c:pt idx="45">
                  <c:v>5.6119944606720162</c:v>
                </c:pt>
                <c:pt idx="46">
                  <c:v>5.73931310133755</c:v>
                </c:pt>
                <c:pt idx="47">
                  <c:v>5.8666317420030838</c:v>
                </c:pt>
                <c:pt idx="48">
                  <c:v>5.9953337196785625</c:v>
                </c:pt>
                <c:pt idx="49">
                  <c:v>6.1264033634299926</c:v>
                </c:pt>
                <c:pt idx="50">
                  <c:v>6.2574877394837509</c:v>
                </c:pt>
                <c:pt idx="51">
                  <c:v>6.3885800926864107</c:v>
                </c:pt>
                <c:pt idx="52">
                  <c:v>6.5196737466186825</c:v>
                </c:pt>
                <c:pt idx="53">
                  <c:v>6.6507620977359947</c:v>
                </c:pt>
                <c:pt idx="54">
                  <c:v>6.7818386095826053</c:v>
                </c:pt>
                <c:pt idx="55">
                  <c:v>6.7744621458372949</c:v>
                </c:pt>
                <c:pt idx="56">
                  <c:v>6.777543349655307</c:v>
                </c:pt>
                <c:pt idx="57">
                  <c:v>6.7804852712309565</c:v>
                </c:pt>
                <c:pt idx="58">
                  <c:v>6.7832893590276768</c:v>
                </c:pt>
                <c:pt idx="59">
                  <c:v>6.7859569975358749</c:v>
                </c:pt>
                <c:pt idx="60">
                  <c:v>6.7884895078652718</c:v>
                </c:pt>
                <c:pt idx="61">
                  <c:v>6.7908881483313159</c:v>
                </c:pt>
                <c:pt idx="62">
                  <c:v>6.7931541150336221</c:v>
                </c:pt>
                <c:pt idx="63">
                  <c:v>6.795288542424359</c:v>
                </c:pt>
                <c:pt idx="64">
                  <c:v>6.7972925038645648</c:v>
                </c:pt>
                <c:pt idx="65">
                  <c:v>6.7991670121663077</c:v>
                </c:pt>
                <c:pt idx="66">
                  <c:v>6.8009130201187178</c:v>
                </c:pt>
                <c:pt idx="67">
                  <c:v>6.8025314209958703</c:v>
                </c:pt>
                <c:pt idx="68">
                  <c:v>6.8040230490445932</c:v>
                </c:pt>
                <c:pt idx="69">
                  <c:v>6.805388679950271</c:v>
                </c:pt>
                <c:pt idx="70">
                  <c:v>6.8066290312788089</c:v>
                </c:pt>
                <c:pt idx="71">
                  <c:v>6.8077447628930079</c:v>
                </c:pt>
                <c:pt idx="72">
                  <c:v>6.8087364773416033</c:v>
                </c:pt>
                <c:pt idx="73">
                  <c:v>6.8096047202193848</c:v>
                </c:pt>
                <c:pt idx="74">
                  <c:v>6.8103499804969072</c:v>
                </c:pt>
                <c:pt idx="75">
                  <c:v>6.8109726908183701</c:v>
                </c:pt>
                <c:pt idx="76">
                  <c:v>6.8114732277663812</c:v>
                </c:pt>
                <c:pt idx="77">
                  <c:v>6.8118519120924841</c:v>
                </c:pt>
                <c:pt idx="78">
                  <c:v>6.8121090089124179</c:v>
                </c:pt>
                <c:pt idx="79">
                  <c:v>6.8122447278652416</c:v>
                </c:pt>
                <c:pt idx="80">
                  <c:v>6.8122592232356078</c:v>
                </c:pt>
                <c:pt idx="81">
                  <c:v>6.8121525940386638</c:v>
                </c:pt>
                <c:pt idx="82">
                  <c:v>6.8119248840670972</c:v>
                </c:pt>
                <c:pt idx="83">
                  <c:v>6.8115760819001885</c:v>
                </c:pt>
                <c:pt idx="84">
                  <c:v>6.8111061208747437</c:v>
                </c:pt>
              </c:numCache>
            </c:numRef>
          </c:yVal>
          <c:smooth val="1"/>
          <c:extLst>
            <c:ext xmlns:c16="http://schemas.microsoft.com/office/drawing/2014/chart" uri="{C3380CC4-5D6E-409C-BE32-E72D297353CC}">
              <c16:uniqueId val="{00000001-2EC4-154E-9178-95D85335DE25}"/>
            </c:ext>
          </c:extLst>
        </c:ser>
        <c:dLbls>
          <c:showLegendKey val="0"/>
          <c:showVal val="0"/>
          <c:showCatName val="0"/>
          <c:showSerName val="0"/>
          <c:showPercent val="0"/>
          <c:showBubbleSize val="0"/>
        </c:dLbls>
        <c:axId val="1176764400"/>
        <c:axId val="1"/>
      </c:scatterChart>
      <c:valAx>
        <c:axId val="11767644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ETc and ETc adj (mm)</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6764400"/>
        <c:crosses val="autoZero"/>
        <c:crossBetween val="midCat"/>
      </c:valAx>
      <c:spPr>
        <a:solidFill>
          <a:srgbClr val="E7E7E7"/>
        </a:solidFill>
        <a:ln w="25400">
          <a:noFill/>
        </a:ln>
      </c:spPr>
    </c:plotArea>
    <c:legend>
      <c:legendPos val="r"/>
      <c:layout>
        <c:manualLayout>
          <c:xMode val="edge"/>
          <c:yMode val="edge"/>
          <c:x val="0.86400224184345698"/>
          <c:y val="0.44115983919731555"/>
          <c:w val="9.0490173559110251E-2"/>
          <c:h val="0.11711053523372869"/>
        </c:manualLayout>
      </c:layout>
      <c:overlay val="0"/>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78" l="0.70000000000000062" r="0.70000000000000062" t="0.75000000000000078"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2160" b="1" i="0" u="none" strike="noStrike" baseline="0">
                <a:solidFill>
                  <a:srgbClr val="000000"/>
                </a:solidFill>
                <a:latin typeface="Calibri"/>
                <a:ea typeface="Calibri"/>
                <a:cs typeface="Calibri"/>
              </a:defRPr>
            </a:pPr>
            <a:r>
              <a:rPr lang="en-US"/>
              <a:t>Crop Stress Factor (Ks) Vs. Time</a:t>
            </a:r>
          </a:p>
        </c:rich>
      </c:tx>
      <c:overlay val="0"/>
      <c:spPr>
        <a:noFill/>
        <a:ln w="25400">
          <a:noFill/>
        </a:ln>
      </c:spPr>
    </c:title>
    <c:autoTitleDeleted val="0"/>
    <c:plotArea>
      <c:layout/>
      <c:scatterChart>
        <c:scatterStyle val="smoothMarker"/>
        <c:varyColors val="0"/>
        <c:ser>
          <c:idx val="0"/>
          <c:order val="0"/>
          <c:spPr>
            <a:ln w="38100">
              <a:solidFill>
                <a:srgbClr val="FF99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Worksheet'!$O$6:$O$90</c:f>
              <c:numCache>
                <c:formatCode>0.00</c:formatCode>
                <c:ptCount val="85"/>
                <c:pt idx="0">
                  <c:v>1</c:v>
                </c:pt>
                <c:pt idx="1">
                  <c:v>1</c:v>
                </c:pt>
                <c:pt idx="2">
                  <c:v>1</c:v>
                </c:pt>
                <c:pt idx="3">
                  <c:v>1</c:v>
                </c:pt>
                <c:pt idx="4">
                  <c:v>0.91200637337285539</c:v>
                </c:pt>
                <c:pt idx="5">
                  <c:v>0.74566170896811013</c:v>
                </c:pt>
                <c:pt idx="6">
                  <c:v>0.61827864729478976</c:v>
                </c:pt>
                <c:pt idx="7">
                  <c:v>1</c:v>
                </c:pt>
                <c:pt idx="8">
                  <c:v>0.91499524793333253</c:v>
                </c:pt>
                <c:pt idx="9">
                  <c:v>0.78243306061991991</c:v>
                </c:pt>
                <c:pt idx="10">
                  <c:v>0.67423508321543912</c:v>
                </c:pt>
                <c:pt idx="11">
                  <c:v>1</c:v>
                </c:pt>
                <c:pt idx="12">
                  <c:v>1</c:v>
                </c:pt>
                <c:pt idx="13">
                  <c:v>0.96722117605533564</c:v>
                </c:pt>
                <c:pt idx="14">
                  <c:v>0.85280461925118733</c:v>
                </c:pt>
                <c:pt idx="15">
                  <c:v>1</c:v>
                </c:pt>
                <c:pt idx="16">
                  <c:v>1</c:v>
                </c:pt>
                <c:pt idx="17">
                  <c:v>1</c:v>
                </c:pt>
                <c:pt idx="18">
                  <c:v>1</c:v>
                </c:pt>
                <c:pt idx="19">
                  <c:v>1</c:v>
                </c:pt>
                <c:pt idx="20">
                  <c:v>1</c:v>
                </c:pt>
                <c:pt idx="21">
                  <c:v>0.91270874643548039</c:v>
                </c:pt>
                <c:pt idx="22">
                  <c:v>0.82577285943885226</c:v>
                </c:pt>
                <c:pt idx="23">
                  <c:v>0.74875241869980658</c:v>
                </c:pt>
                <c:pt idx="24">
                  <c:v>0.68029647149890815</c:v>
                </c:pt>
                <c:pt idx="25">
                  <c:v>0.61927012029774953</c:v>
                </c:pt>
                <c:pt idx="26">
                  <c:v>0.56225986429931785</c:v>
                </c:pt>
                <c:pt idx="27">
                  <c:v>0.50927087185104325</c:v>
                </c:pt>
                <c:pt idx="28">
                  <c:v>0.4601772310503992</c:v>
                </c:pt>
                <c:pt idx="29">
                  <c:v>0.41483399119397468</c:v>
                </c:pt>
                <c:pt idx="30">
                  <c:v>0.37308143077678568</c:v>
                </c:pt>
                <c:pt idx="31">
                  <c:v>0.33474886150483596</c:v>
                </c:pt>
                <c:pt idx="32">
                  <c:v>0.29965799616374178</c:v>
                </c:pt>
                <c:pt idx="33">
                  <c:v>0.26762590793091423</c:v>
                </c:pt>
                <c:pt idx="34">
                  <c:v>0.23846760847587312</c:v>
                </c:pt>
                <c:pt idx="35">
                  <c:v>0.21199827191241305</c:v>
                </c:pt>
                <c:pt idx="36">
                  <c:v>0.18803513131226335</c:v>
                </c:pt>
                <c:pt idx="37">
                  <c:v>0.1663990740392417</c:v>
                </c:pt>
                <c:pt idx="38">
                  <c:v>0.14691596160215226</c:v>
                </c:pt>
                <c:pt idx="39">
                  <c:v>0.12941769904802636</c:v>
                </c:pt>
                <c:pt idx="40">
                  <c:v>0.11374307812522211</c:v>
                </c:pt>
                <c:pt idx="41">
                  <c:v>9.9738417543727698E-2</c:v>
                </c:pt>
                <c:pt idx="42">
                  <c:v>8.7258022656867551E-2</c:v>
                </c:pt>
                <c:pt idx="43">
                  <c:v>7.6164485796411774E-2</c:v>
                </c:pt>
                <c:pt idx="44">
                  <c:v>6.6328847325686002E-2</c:v>
                </c:pt>
                <c:pt idx="45">
                  <c:v>5.7630636247799405E-2</c:v>
                </c:pt>
                <c:pt idx="46">
                  <c:v>4.9957807934288501E-2</c:v>
                </c:pt>
                <c:pt idx="47">
                  <c:v>4.3206595239162371E-2</c:v>
                </c:pt>
                <c:pt idx="48">
                  <c:v>3.7281287950046482E-2</c:v>
                </c:pt>
                <c:pt idx="49">
                  <c:v>3.2092757037821218E-2</c:v>
                </c:pt>
                <c:pt idx="50">
                  <c:v>2.7559288743103205E-2</c:v>
                </c:pt>
                <c:pt idx="51">
                  <c:v>2.360863617606368E-2</c:v>
                </c:pt>
                <c:pt idx="52">
                  <c:v>2.0174958381430796E-2</c:v>
                </c:pt>
                <c:pt idx="53">
                  <c:v>1.7198480201626509E-2</c:v>
                </c:pt>
                <c:pt idx="54">
                  <c:v>1.4625135146797308E-2</c:v>
                </c:pt>
                <c:pt idx="55">
                  <c:v>1.2406198474299246E-2</c:v>
                </c:pt>
                <c:pt idx="56">
                  <c:v>1.05361311435761E-2</c:v>
                </c:pt>
                <c:pt idx="57">
                  <c:v>8.955520170349951E-3</c:v>
                </c:pt>
                <c:pt idx="58">
                  <c:v>7.6182184875193126E-3</c:v>
                </c:pt>
                <c:pt idx="59">
                  <c:v>6.485679367759789E-3</c:v>
                </c:pt>
                <c:pt idx="60">
                  <c:v>5.5256597621584636E-3</c:v>
                </c:pt>
                <c:pt idx="61">
                  <c:v>4.7111533119181814E-3</c:v>
                </c:pt>
                <c:pt idx="62">
                  <c:v>4.0195107253547802E-3</c:v>
                </c:pt>
                <c:pt idx="63">
                  <c:v>3.4317133260598487E-3</c:v>
                </c:pt>
                <c:pt idx="64">
                  <c:v>2.9317720711201645E-3</c:v>
                </c:pt>
                <c:pt idx="65">
                  <c:v>2.5062295477927821E-3</c:v>
                </c:pt>
                <c:pt idx="66">
                  <c:v>2.1437466471252442E-3</c:v>
                </c:pt>
                <c:pt idx="67">
                  <c:v>1.8347589912850459E-3</c:v>
                </c:pt>
                <c:pt idx="68">
                  <c:v>1.5711909214026765E-3</c:v>
                </c:pt>
                <c:pt idx="69">
                  <c:v>1.3462170638900428E-3</c:v>
                </c:pt>
                <c:pt idx="70">
                  <c:v>1.1540632879502022E-3</c:v>
                </c:pt>
                <c:pt idx="71">
                  <c:v>9.8984032683113732E-4</c:v>
                </c:pt>
                <c:pt idx="72">
                  <c:v>8.4940452518145193E-4</c:v>
                </c:pt>
                <c:pt idx="73">
                  <c:v>7.2924114649419725E-4</c:v>
                </c:pt>
                <c:pt idx="74">
                  <c:v>6.263664695908E-4</c:v>
                </c:pt>
                <c:pt idx="75">
                  <c:v>5.3824555470005642E-4</c:v>
                </c:pt>
                <c:pt idx="76">
                  <c:v>4.6272309474115758E-4</c:v>
                </c:pt>
                <c:pt idx="77">
                  <c:v>3.979652075214446E-4</c:v>
                </c:pt>
                <c:pt idx="78">
                  <c:v>3.4241038715243644E-4</c:v>
                </c:pt>
                <c:pt idx="79">
                  <c:v>2.9472813221542715E-4</c:v>
                </c:pt>
                <c:pt idx="80">
                  <c:v>2.5378401552655916E-4</c:v>
                </c:pt>
                <c:pt idx="81">
                  <c:v>2.1861016505886344E-4</c:v>
                </c:pt>
                <c:pt idx="82">
                  <c:v>1.8838029529089084E-4</c:v>
                </c:pt>
                <c:pt idx="83">
                  <c:v>1.6238856912431654E-4</c:v>
                </c:pt>
                <c:pt idx="84">
                  <c:v>1.400316876269958E-4</c:v>
                </c:pt>
              </c:numCache>
            </c:numRef>
          </c:yVal>
          <c:smooth val="1"/>
          <c:extLst>
            <c:ext xmlns:c16="http://schemas.microsoft.com/office/drawing/2014/chart" uri="{C3380CC4-5D6E-409C-BE32-E72D297353CC}">
              <c16:uniqueId val="{00000000-4E2C-C340-BCB3-3CCE2FEBA6EC}"/>
            </c:ext>
          </c:extLst>
        </c:ser>
        <c:dLbls>
          <c:showLegendKey val="0"/>
          <c:showVal val="0"/>
          <c:showCatName val="0"/>
          <c:showSerName val="0"/>
          <c:showPercent val="0"/>
          <c:showBubbleSize val="0"/>
        </c:dLbls>
        <c:axId val="1177203008"/>
        <c:axId val="1"/>
      </c:scatterChart>
      <c:valAx>
        <c:axId val="1177203008"/>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Crop Stress Factor, Ks</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03008"/>
        <c:crosses val="autoZero"/>
        <c:crossBetween val="midCat"/>
      </c:valAx>
      <c:spPr>
        <a:solidFill>
          <a:srgbClr val="FDEFE9"/>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1" l="0.70000000000000062" r="0.70000000000000062" t="0.75000000000000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60" b="1" i="0" u="none" strike="noStrike" baseline="0">
                <a:solidFill>
                  <a:srgbClr val="000000"/>
                </a:solidFill>
                <a:latin typeface="Calibri"/>
                <a:ea typeface="Calibri"/>
                <a:cs typeface="Calibri"/>
              </a:defRPr>
            </a:pPr>
            <a:r>
              <a:rPr lang="en-US"/>
              <a:t>Cumulative ET vs. Irrigation</a:t>
            </a:r>
          </a:p>
        </c:rich>
      </c:tx>
      <c:overlay val="0"/>
      <c:spPr>
        <a:noFill/>
        <a:ln w="25400">
          <a:noFill/>
        </a:ln>
      </c:spPr>
    </c:title>
    <c:autoTitleDeleted val="0"/>
    <c:plotArea>
      <c:layout/>
      <c:scatterChart>
        <c:scatterStyle val="smoothMarker"/>
        <c:varyColors val="0"/>
        <c:ser>
          <c:idx val="0"/>
          <c:order val="0"/>
          <c:tx>
            <c:v>Cumulative ET</c:v>
          </c:tx>
          <c:spPr>
            <a:ln w="25400">
              <a:solidFill>
                <a:srgbClr val="666699"/>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Irrigation'!$B$2:$B$86</c:f>
              <c:numCache>
                <c:formatCode>0.00</c:formatCode>
                <c:ptCount val="85"/>
                <c:pt idx="0">
                  <c:v>3.6845973249185446</c:v>
                </c:pt>
                <c:pt idx="1">
                  <c:v>7.5702486455390776</c:v>
                </c:pt>
                <c:pt idx="2">
                  <c:v>11.029837830658821</c:v>
                </c:pt>
                <c:pt idx="3">
                  <c:v>13.963447062583555</c:v>
                </c:pt>
                <c:pt idx="4">
                  <c:v>16.897056294508289</c:v>
                </c:pt>
                <c:pt idx="5">
                  <c:v>19.830665526433023</c:v>
                </c:pt>
                <c:pt idx="6">
                  <c:v>22.764274758357757</c:v>
                </c:pt>
                <c:pt idx="7">
                  <c:v>25.697883990282492</c:v>
                </c:pt>
                <c:pt idx="8">
                  <c:v>28.631493222207226</c:v>
                </c:pt>
                <c:pt idx="9">
                  <c:v>31.56510245413196</c:v>
                </c:pt>
                <c:pt idx="10">
                  <c:v>34.498711686056694</c:v>
                </c:pt>
                <c:pt idx="11">
                  <c:v>37.432320917981428</c:v>
                </c:pt>
                <c:pt idx="12">
                  <c:v>40.365930149906163</c:v>
                </c:pt>
                <c:pt idx="13">
                  <c:v>43.299539381830897</c:v>
                </c:pt>
                <c:pt idx="14">
                  <c:v>46.233148613755631</c:v>
                </c:pt>
                <c:pt idx="15">
                  <c:v>49.166757845680365</c:v>
                </c:pt>
                <c:pt idx="16">
                  <c:v>52.1003670776051</c:v>
                </c:pt>
                <c:pt idx="17">
                  <c:v>55.033976309529834</c:v>
                </c:pt>
                <c:pt idx="18">
                  <c:v>57.967585541454568</c:v>
                </c:pt>
                <c:pt idx="19">
                  <c:v>60.901194773379302</c:v>
                </c:pt>
                <c:pt idx="20">
                  <c:v>63.834804005304036</c:v>
                </c:pt>
                <c:pt idx="21">
                  <c:v>66.768413237228771</c:v>
                </c:pt>
                <c:pt idx="22">
                  <c:v>69.702022469153505</c:v>
                </c:pt>
                <c:pt idx="23">
                  <c:v>72.635631701078239</c:v>
                </c:pt>
                <c:pt idx="24">
                  <c:v>75.569240933002973</c:v>
                </c:pt>
                <c:pt idx="25">
                  <c:v>78.634862580364327</c:v>
                </c:pt>
                <c:pt idx="26">
                  <c:v>81.827802868391203</c:v>
                </c:pt>
                <c:pt idx="27">
                  <c:v>85.148061797083614</c:v>
                </c:pt>
                <c:pt idx="28">
                  <c:v>88.59563936644156</c:v>
                </c:pt>
                <c:pt idx="29">
                  <c:v>92.170535576465042</c:v>
                </c:pt>
                <c:pt idx="30">
                  <c:v>95.87275042715406</c:v>
                </c:pt>
                <c:pt idx="31">
                  <c:v>99.702283918508613</c:v>
                </c:pt>
                <c:pt idx="32">
                  <c:v>103.6591360505287</c:v>
                </c:pt>
                <c:pt idx="33">
                  <c:v>107.74330682321431</c:v>
                </c:pt>
                <c:pt idx="34">
                  <c:v>111.95479623656546</c:v>
                </c:pt>
                <c:pt idx="35">
                  <c:v>116.29360429058214</c:v>
                </c:pt>
                <c:pt idx="36">
                  <c:v>120.75973098526435</c:v>
                </c:pt>
                <c:pt idx="37">
                  <c:v>125.35317632061211</c:v>
                </c:pt>
                <c:pt idx="38">
                  <c:v>130.07394029662538</c:v>
                </c:pt>
                <c:pt idx="39">
                  <c:v>134.9220229133042</c:v>
                </c:pt>
                <c:pt idx="40">
                  <c:v>139.89742417064855</c:v>
                </c:pt>
                <c:pt idx="41">
                  <c:v>145.00014406865844</c:v>
                </c:pt>
                <c:pt idx="42">
                  <c:v>150.23018260733386</c:v>
                </c:pt>
                <c:pt idx="43">
                  <c:v>155.5875397866748</c:v>
                </c:pt>
                <c:pt idx="44">
                  <c:v>161.07221560668128</c:v>
                </c:pt>
                <c:pt idx="45">
                  <c:v>166.68421006735329</c:v>
                </c:pt>
                <c:pt idx="46">
                  <c:v>172.42352316869085</c:v>
                </c:pt>
                <c:pt idx="47">
                  <c:v>178.29015491069393</c:v>
                </c:pt>
                <c:pt idx="48">
                  <c:v>184.2854886303725</c:v>
                </c:pt>
                <c:pt idx="49">
                  <c:v>190.4118919938025</c:v>
                </c:pt>
                <c:pt idx="50">
                  <c:v>196.66937973328626</c:v>
                </c:pt>
                <c:pt idx="51">
                  <c:v>203.05795982597266</c:v>
                </c:pt>
                <c:pt idx="52">
                  <c:v>209.57763357259134</c:v>
                </c:pt>
                <c:pt idx="53">
                  <c:v>216.22839567032733</c:v>
                </c:pt>
                <c:pt idx="54">
                  <c:v>223.01023427990992</c:v>
                </c:pt>
                <c:pt idx="55">
                  <c:v>229.78469642574723</c:v>
                </c:pt>
                <c:pt idx="56">
                  <c:v>236.56223977540253</c:v>
                </c:pt>
                <c:pt idx="57">
                  <c:v>243.34272504663349</c:v>
                </c:pt>
                <c:pt idx="58">
                  <c:v>250.12601440566118</c:v>
                </c:pt>
                <c:pt idx="59">
                  <c:v>256.91197140319707</c:v>
                </c:pt>
                <c:pt idx="60">
                  <c:v>263.70046091106235</c:v>
                </c:pt>
                <c:pt idx="61">
                  <c:v>270.49134905939366</c:v>
                </c:pt>
                <c:pt idx="62">
                  <c:v>277.2845031744273</c:v>
                </c:pt>
                <c:pt idx="63">
                  <c:v>284.07979171685167</c:v>
                </c:pt>
                <c:pt idx="64">
                  <c:v>290.87708422071626</c:v>
                </c:pt>
                <c:pt idx="65">
                  <c:v>297.67625123288258</c:v>
                </c:pt>
                <c:pt idx="66">
                  <c:v>304.47716425300132</c:v>
                </c:pt>
                <c:pt idx="67">
                  <c:v>311.2796956739972</c:v>
                </c:pt>
                <c:pt idx="68">
                  <c:v>318.08371872304178</c:v>
                </c:pt>
                <c:pt idx="69">
                  <c:v>324.88910740299207</c:v>
                </c:pt>
                <c:pt idx="70">
                  <c:v>331.69573643427088</c:v>
                </c:pt>
                <c:pt idx="71">
                  <c:v>338.50348119716386</c:v>
                </c:pt>
                <c:pt idx="72">
                  <c:v>345.31221767450546</c:v>
                </c:pt>
                <c:pt idx="73">
                  <c:v>352.12182239472486</c:v>
                </c:pt>
                <c:pt idx="74">
                  <c:v>358.93217237522174</c:v>
                </c:pt>
                <c:pt idx="75">
                  <c:v>365.74314506604009</c:v>
                </c:pt>
                <c:pt idx="76">
                  <c:v>372.55461829380647</c:v>
                </c:pt>
                <c:pt idx="77">
                  <c:v>379.36647020589896</c:v>
                </c:pt>
                <c:pt idx="78">
                  <c:v>386.17857921481141</c:v>
                </c:pt>
                <c:pt idx="79">
                  <c:v>392.99082394267663</c:v>
                </c:pt>
                <c:pt idx="80">
                  <c:v>399.80308316591226</c:v>
                </c:pt>
                <c:pt idx="81">
                  <c:v>406.61523575995091</c:v>
                </c:pt>
                <c:pt idx="82">
                  <c:v>413.42716064401799</c:v>
                </c:pt>
                <c:pt idx="83">
                  <c:v>420.23873672591816</c:v>
                </c:pt>
                <c:pt idx="84">
                  <c:v>427.0498428467929</c:v>
                </c:pt>
              </c:numCache>
            </c:numRef>
          </c:yVal>
          <c:smooth val="1"/>
          <c:extLst>
            <c:ext xmlns:c16="http://schemas.microsoft.com/office/drawing/2014/chart" uri="{C3380CC4-5D6E-409C-BE32-E72D297353CC}">
              <c16:uniqueId val="{00000000-F769-EC43-AD00-8EC606A48D92}"/>
            </c:ext>
          </c:extLst>
        </c:ser>
        <c:ser>
          <c:idx val="1"/>
          <c:order val="1"/>
          <c:tx>
            <c:v>Cumulative Irrigation</c:v>
          </c:tx>
          <c:spPr>
            <a:ln w="25400">
              <a:solidFill>
                <a:srgbClr val="DD0806"/>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Irrigation'!$C$2:$C$86</c:f>
              <c:numCache>
                <c:formatCode>0</c:formatCode>
                <c:ptCount val="85"/>
                <c:pt idx="0">
                  <c:v>0</c:v>
                </c:pt>
                <c:pt idx="1">
                  <c:v>0</c:v>
                </c:pt>
                <c:pt idx="2">
                  <c:v>0</c:v>
                </c:pt>
                <c:pt idx="3">
                  <c:v>0</c:v>
                </c:pt>
                <c:pt idx="4">
                  <c:v>0</c:v>
                </c:pt>
                <c:pt idx="5">
                  <c:v>0</c:v>
                </c:pt>
                <c:pt idx="6">
                  <c:v>0</c:v>
                </c:pt>
                <c:pt idx="7">
                  <c:v>0</c:v>
                </c:pt>
                <c:pt idx="8">
                  <c:v>0</c:v>
                </c:pt>
                <c:pt idx="9">
                  <c:v>0</c:v>
                </c:pt>
                <c:pt idx="10">
                  <c:v>0</c:v>
                </c:pt>
                <c:pt idx="11">
                  <c:v>14</c:v>
                </c:pt>
                <c:pt idx="12">
                  <c:v>14</c:v>
                </c:pt>
                <c:pt idx="13">
                  <c:v>14</c:v>
                </c:pt>
                <c:pt idx="14">
                  <c:v>14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numCache>
            </c:numRef>
          </c:yVal>
          <c:smooth val="1"/>
          <c:extLst>
            <c:ext xmlns:c16="http://schemas.microsoft.com/office/drawing/2014/chart" uri="{C3380CC4-5D6E-409C-BE32-E72D297353CC}">
              <c16:uniqueId val="{00000001-F769-EC43-AD00-8EC606A48D92}"/>
            </c:ext>
          </c:extLst>
        </c:ser>
        <c:dLbls>
          <c:showLegendKey val="0"/>
          <c:showVal val="0"/>
          <c:showCatName val="0"/>
          <c:showSerName val="0"/>
          <c:showPercent val="0"/>
          <c:showBubbleSize val="0"/>
        </c:dLbls>
        <c:axId val="1178773712"/>
        <c:axId val="1"/>
      </c:scatterChart>
      <c:valAx>
        <c:axId val="1178773712"/>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Cumulative ET or Irrigation (mm)</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8773712"/>
        <c:crosses val="autoZero"/>
        <c:crossBetween val="midCat"/>
      </c:valAx>
      <c:spPr>
        <a:solidFill>
          <a:srgbClr val="FFFFFF"/>
        </a:solidFill>
        <a:ln w="25400">
          <a:noFill/>
        </a:ln>
      </c:spPr>
    </c:plotArea>
    <c:legend>
      <c:legendPos val="r"/>
      <c:layout>
        <c:manualLayout>
          <c:xMode val="edge"/>
          <c:yMode val="edge"/>
          <c:x val="0.75813990111701146"/>
          <c:y val="0.44118992973411958"/>
          <c:w val="0.21744195202343894"/>
          <c:h val="8.9775608205924951E-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39</xdr:col>
      <xdr:colOff>928688</xdr:colOff>
      <xdr:row>0</xdr:row>
      <xdr:rowOff>0</xdr:rowOff>
    </xdr:from>
    <xdr:ext cx="5219700" cy="676275"/>
    <xdr:pic>
      <xdr:nvPicPr>
        <xdr:cNvPr id="2" name="image1.png">
          <a:extLst>
            <a:ext uri="{FF2B5EF4-FFF2-40B4-BE49-F238E27FC236}">
              <a16:creationId xmlns:a16="http://schemas.microsoft.com/office/drawing/2014/main" id="{17A9389D-48E3-42BC-8ADB-DB0A2E909A56}"/>
            </a:ext>
          </a:extLst>
        </xdr:cNvPr>
        <xdr:cNvPicPr preferRelativeResize="0"/>
      </xdr:nvPicPr>
      <xdr:blipFill>
        <a:blip xmlns:r="http://schemas.openxmlformats.org/officeDocument/2006/relationships" r:embed="rId1" cstate="print">
          <a:duotone>
            <a:prstClr val="black"/>
            <a:schemeClr val="accent3">
              <a:tint val="45000"/>
              <a:satMod val="400000"/>
            </a:schemeClr>
          </a:duotone>
        </a:blip>
        <a:stretch>
          <a:fillRect/>
        </a:stretch>
      </xdr:blipFill>
      <xdr:spPr>
        <a:xfrm>
          <a:off x="18854738" y="0"/>
          <a:ext cx="5219700" cy="676275"/>
        </a:xfrm>
        <a:prstGeom prst="rect">
          <a:avLst/>
        </a:prstGeom>
        <a:solidFill>
          <a:schemeClr val="tx2">
            <a:lumMod val="20000"/>
            <a:lumOff val="80000"/>
            <a:alpha val="94000"/>
          </a:schemeClr>
        </a:solidFill>
      </xdr:spPr>
    </xdr:pic>
    <xdr:clientData fLocksWithSheet="0"/>
  </xdr:oneCellAnchor>
  <xdr:oneCellAnchor>
    <xdr:from>
      <xdr:col>39</xdr:col>
      <xdr:colOff>923925</xdr:colOff>
      <xdr:row>4</xdr:row>
      <xdr:rowOff>71438</xdr:rowOff>
    </xdr:from>
    <xdr:ext cx="2047875" cy="409575"/>
    <xdr:pic>
      <xdr:nvPicPr>
        <xdr:cNvPr id="3" name="image2.png">
          <a:extLst>
            <a:ext uri="{FF2B5EF4-FFF2-40B4-BE49-F238E27FC236}">
              <a16:creationId xmlns:a16="http://schemas.microsoft.com/office/drawing/2014/main" id="{D61E9569-DDEF-4F3F-AF76-7C3E17F153E4}"/>
            </a:ext>
          </a:extLst>
        </xdr:cNvPr>
        <xdr:cNvPicPr preferRelativeResize="0"/>
      </xdr:nvPicPr>
      <xdr:blipFill>
        <a:blip xmlns:r="http://schemas.openxmlformats.org/officeDocument/2006/relationships" r:embed="rId2" cstate="print">
          <a:duotone>
            <a:prstClr val="black"/>
            <a:schemeClr val="accent3">
              <a:tint val="45000"/>
              <a:satMod val="400000"/>
            </a:schemeClr>
          </a:duotone>
        </a:blip>
        <a:stretch>
          <a:fillRect/>
        </a:stretch>
      </xdr:blipFill>
      <xdr:spPr>
        <a:xfrm>
          <a:off x="18849975" y="852488"/>
          <a:ext cx="2047875" cy="409575"/>
        </a:xfrm>
        <a:prstGeom prst="rect">
          <a:avLst/>
        </a:prstGeom>
        <a:noFill/>
      </xdr:spPr>
    </xdr:pic>
    <xdr:clientData fLocksWithSheet="0"/>
  </xdr:oneCellAnchor>
  <xdr:oneCellAnchor>
    <xdr:from>
      <xdr:col>39</xdr:col>
      <xdr:colOff>809625</xdr:colOff>
      <xdr:row>7</xdr:row>
      <xdr:rowOff>52388</xdr:rowOff>
    </xdr:from>
    <xdr:ext cx="4733925" cy="657225"/>
    <xdr:pic>
      <xdr:nvPicPr>
        <xdr:cNvPr id="4" name="image3.png">
          <a:extLst>
            <a:ext uri="{FF2B5EF4-FFF2-40B4-BE49-F238E27FC236}">
              <a16:creationId xmlns:a16="http://schemas.microsoft.com/office/drawing/2014/main" id="{E944FF09-44D3-4B7D-8BDD-0345322292FD}"/>
            </a:ext>
          </a:extLst>
        </xdr:cNvPr>
        <xdr:cNvPicPr preferRelativeResize="0"/>
      </xdr:nvPicPr>
      <xdr:blipFill>
        <a:blip xmlns:r="http://schemas.openxmlformats.org/officeDocument/2006/relationships" r:embed="rId3" cstate="print">
          <a:duotone>
            <a:prstClr val="black"/>
            <a:schemeClr val="accent3">
              <a:tint val="45000"/>
              <a:satMod val="400000"/>
            </a:schemeClr>
          </a:duotone>
        </a:blip>
        <a:stretch>
          <a:fillRect/>
        </a:stretch>
      </xdr:blipFill>
      <xdr:spPr>
        <a:xfrm>
          <a:off x="18735675" y="1395413"/>
          <a:ext cx="4733925" cy="657225"/>
        </a:xfrm>
        <a:prstGeom prst="rect">
          <a:avLst/>
        </a:prstGeom>
        <a:noFill/>
      </xdr:spPr>
    </xdr:pic>
    <xdr:clientData fLocksWithSheet="0"/>
  </xdr:oneCellAnchor>
  <xdr:oneCellAnchor>
    <xdr:from>
      <xdr:col>39</xdr:col>
      <xdr:colOff>857250</xdr:colOff>
      <xdr:row>11</xdr:row>
      <xdr:rowOff>128588</xdr:rowOff>
    </xdr:from>
    <xdr:ext cx="5524500" cy="409575"/>
    <xdr:pic>
      <xdr:nvPicPr>
        <xdr:cNvPr id="5" name="image4.png">
          <a:extLst>
            <a:ext uri="{FF2B5EF4-FFF2-40B4-BE49-F238E27FC236}">
              <a16:creationId xmlns:a16="http://schemas.microsoft.com/office/drawing/2014/main" id="{240B4258-8A61-4495-9A98-AE32911FA73C}"/>
            </a:ext>
          </a:extLst>
        </xdr:cNvPr>
        <xdr:cNvPicPr preferRelativeResize="0"/>
      </xdr:nvPicPr>
      <xdr:blipFill>
        <a:blip xmlns:r="http://schemas.openxmlformats.org/officeDocument/2006/relationships" r:embed="rId4" cstate="print">
          <a:duotone>
            <a:prstClr val="black"/>
            <a:schemeClr val="accent3">
              <a:tint val="45000"/>
              <a:satMod val="400000"/>
            </a:schemeClr>
          </a:duotone>
        </a:blip>
        <a:stretch>
          <a:fillRect/>
        </a:stretch>
      </xdr:blipFill>
      <xdr:spPr>
        <a:xfrm>
          <a:off x="18783300" y="2233613"/>
          <a:ext cx="5524500" cy="409575"/>
        </a:xfrm>
        <a:prstGeom prst="rect">
          <a:avLst/>
        </a:prstGeom>
        <a:noFill/>
      </xdr:spPr>
    </xdr:pic>
    <xdr:clientData fLocksWithSheet="0"/>
  </xdr:oneCellAnchor>
  <xdr:oneCellAnchor>
    <xdr:from>
      <xdr:col>43</xdr:col>
      <xdr:colOff>152400</xdr:colOff>
      <xdr:row>3</xdr:row>
      <xdr:rowOff>100013</xdr:rowOff>
    </xdr:from>
    <xdr:ext cx="914400" cy="666750"/>
    <xdr:pic>
      <xdr:nvPicPr>
        <xdr:cNvPr id="6" name="image5.png">
          <a:extLst>
            <a:ext uri="{FF2B5EF4-FFF2-40B4-BE49-F238E27FC236}">
              <a16:creationId xmlns:a16="http://schemas.microsoft.com/office/drawing/2014/main" id="{7C135DE9-C2FC-43A5-99D7-BB018A43C47B}"/>
            </a:ext>
          </a:extLst>
        </xdr:cNvPr>
        <xdr:cNvPicPr preferRelativeResize="0"/>
      </xdr:nvPicPr>
      <xdr:blipFill>
        <a:blip xmlns:r="http://schemas.openxmlformats.org/officeDocument/2006/relationships" r:embed="rId5" cstate="print">
          <a:duotone>
            <a:prstClr val="black"/>
            <a:schemeClr val="accent3">
              <a:tint val="45000"/>
              <a:satMod val="400000"/>
            </a:schemeClr>
          </a:duotone>
        </a:blip>
        <a:stretch>
          <a:fillRect/>
        </a:stretch>
      </xdr:blipFill>
      <xdr:spPr>
        <a:xfrm>
          <a:off x="22212300" y="700088"/>
          <a:ext cx="914400" cy="666750"/>
        </a:xfrm>
        <a:prstGeom prst="rect">
          <a:avLst/>
        </a:prstGeom>
        <a:noFill/>
      </xdr:spPr>
    </xdr:pic>
    <xdr:clientData fLocksWithSheet="0"/>
  </xdr:oneCellAnchor>
  <xdr:oneCellAnchor>
    <xdr:from>
      <xdr:col>39</xdr:col>
      <xdr:colOff>847725</xdr:colOff>
      <xdr:row>15</xdr:row>
      <xdr:rowOff>109538</xdr:rowOff>
    </xdr:from>
    <xdr:ext cx="2295525" cy="790575"/>
    <xdr:pic>
      <xdr:nvPicPr>
        <xdr:cNvPr id="7" name="image6.png">
          <a:extLst>
            <a:ext uri="{FF2B5EF4-FFF2-40B4-BE49-F238E27FC236}">
              <a16:creationId xmlns:a16="http://schemas.microsoft.com/office/drawing/2014/main" id="{AC5F8D91-5464-4B12-AE6D-6A46911F7666}"/>
            </a:ext>
          </a:extLst>
        </xdr:cNvPr>
        <xdr:cNvPicPr preferRelativeResize="0"/>
      </xdr:nvPicPr>
      <xdr:blipFill>
        <a:blip xmlns:r="http://schemas.openxmlformats.org/officeDocument/2006/relationships" r:embed="rId6" cstate="print">
          <a:duotone>
            <a:prstClr val="black"/>
            <a:schemeClr val="accent3">
              <a:tint val="45000"/>
              <a:satMod val="400000"/>
            </a:schemeClr>
          </a:duotone>
        </a:blip>
        <a:stretch>
          <a:fillRect/>
        </a:stretch>
      </xdr:blipFill>
      <xdr:spPr>
        <a:xfrm>
          <a:off x="18773775" y="2967038"/>
          <a:ext cx="2295525" cy="790575"/>
        </a:xfrm>
        <a:prstGeom prst="rect">
          <a:avLst/>
        </a:prstGeom>
        <a:noFill/>
      </xdr:spPr>
    </xdr:pic>
    <xdr:clientData fLocksWithSheet="0"/>
  </xdr:oneCellAnchor>
  <xdr:oneCellAnchor>
    <xdr:from>
      <xdr:col>45</xdr:col>
      <xdr:colOff>728663</xdr:colOff>
      <xdr:row>0</xdr:row>
      <xdr:rowOff>52388</xdr:rowOff>
    </xdr:from>
    <xdr:ext cx="1952625" cy="561975"/>
    <xdr:pic>
      <xdr:nvPicPr>
        <xdr:cNvPr id="8" name="image7.png">
          <a:extLst>
            <a:ext uri="{FF2B5EF4-FFF2-40B4-BE49-F238E27FC236}">
              <a16:creationId xmlns:a16="http://schemas.microsoft.com/office/drawing/2014/main" id="{B74EEC92-CE3A-42AB-A25D-0957A549CC7E}"/>
            </a:ext>
          </a:extLst>
        </xdr:cNvPr>
        <xdr:cNvPicPr preferRelativeResize="0"/>
      </xdr:nvPicPr>
      <xdr:blipFill>
        <a:blip xmlns:r="http://schemas.openxmlformats.org/officeDocument/2006/relationships" r:embed="rId7" cstate="print">
          <a:duotone>
            <a:prstClr val="black"/>
            <a:schemeClr val="accent3">
              <a:tint val="45000"/>
              <a:satMod val="400000"/>
            </a:schemeClr>
          </a:duotone>
        </a:blip>
        <a:stretch>
          <a:fillRect/>
        </a:stretch>
      </xdr:blipFill>
      <xdr:spPr>
        <a:xfrm>
          <a:off x="24855488" y="52388"/>
          <a:ext cx="1952625" cy="561975"/>
        </a:xfrm>
        <a:prstGeom prst="rect">
          <a:avLst/>
        </a:prstGeom>
        <a:noFill/>
      </xdr:spPr>
    </xdr:pic>
    <xdr:clientData fLocksWithSheet="0"/>
  </xdr:oneCellAnchor>
  <xdr:oneCellAnchor>
    <xdr:from>
      <xdr:col>45</xdr:col>
      <xdr:colOff>557213</xdr:colOff>
      <xdr:row>3</xdr:row>
      <xdr:rowOff>166688</xdr:rowOff>
    </xdr:from>
    <xdr:ext cx="2724150" cy="619125"/>
    <xdr:pic>
      <xdr:nvPicPr>
        <xdr:cNvPr id="9" name="image8.png">
          <a:extLst>
            <a:ext uri="{FF2B5EF4-FFF2-40B4-BE49-F238E27FC236}">
              <a16:creationId xmlns:a16="http://schemas.microsoft.com/office/drawing/2014/main" id="{849320BC-F414-477D-AD5B-96804F109C7B}"/>
            </a:ext>
          </a:extLst>
        </xdr:cNvPr>
        <xdr:cNvPicPr preferRelativeResize="0"/>
      </xdr:nvPicPr>
      <xdr:blipFill>
        <a:blip xmlns:r="http://schemas.openxmlformats.org/officeDocument/2006/relationships" r:embed="rId8" cstate="print">
          <a:duotone>
            <a:prstClr val="black"/>
            <a:schemeClr val="accent3">
              <a:tint val="45000"/>
              <a:satMod val="400000"/>
            </a:schemeClr>
          </a:duotone>
        </a:blip>
        <a:stretch>
          <a:fillRect/>
        </a:stretch>
      </xdr:blipFill>
      <xdr:spPr>
        <a:xfrm>
          <a:off x="24684038" y="766763"/>
          <a:ext cx="2724150" cy="619125"/>
        </a:xfrm>
        <a:prstGeom prst="rect">
          <a:avLst/>
        </a:prstGeom>
        <a:noFill/>
      </xdr:spPr>
    </xdr:pic>
    <xdr:clientData fLocksWithSheet="0"/>
  </xdr:oneCellAnchor>
  <xdr:oneCellAnchor>
    <xdr:from>
      <xdr:col>45</xdr:col>
      <xdr:colOff>242888</xdr:colOff>
      <xdr:row>7</xdr:row>
      <xdr:rowOff>157163</xdr:rowOff>
    </xdr:from>
    <xdr:ext cx="5419725" cy="638175"/>
    <xdr:pic>
      <xdr:nvPicPr>
        <xdr:cNvPr id="10" name="image9.png">
          <a:extLst>
            <a:ext uri="{FF2B5EF4-FFF2-40B4-BE49-F238E27FC236}">
              <a16:creationId xmlns:a16="http://schemas.microsoft.com/office/drawing/2014/main" id="{A15D4C4B-5B7C-40F6-9B3C-71E3EC29CB19}"/>
            </a:ext>
          </a:extLst>
        </xdr:cNvPr>
        <xdr:cNvPicPr preferRelativeResize="0"/>
      </xdr:nvPicPr>
      <xdr:blipFill>
        <a:blip xmlns:r="http://schemas.openxmlformats.org/officeDocument/2006/relationships" r:embed="rId9" cstate="print">
          <a:duotone>
            <a:prstClr val="black"/>
            <a:schemeClr val="accent3">
              <a:tint val="45000"/>
              <a:satMod val="400000"/>
            </a:schemeClr>
          </a:duotone>
        </a:blip>
        <a:stretch>
          <a:fillRect/>
        </a:stretch>
      </xdr:blipFill>
      <xdr:spPr>
        <a:xfrm>
          <a:off x="24369713" y="1500188"/>
          <a:ext cx="5419725" cy="638175"/>
        </a:xfrm>
        <a:prstGeom prst="rect">
          <a:avLst/>
        </a:prstGeom>
        <a:noFill/>
      </xdr:spPr>
    </xdr:pic>
    <xdr:clientData fLocksWithSheet="0"/>
  </xdr:oneCellAnchor>
  <xdr:oneCellAnchor>
    <xdr:from>
      <xdr:col>39</xdr:col>
      <xdr:colOff>723900</xdr:colOff>
      <xdr:row>21</xdr:row>
      <xdr:rowOff>14288</xdr:rowOff>
    </xdr:from>
    <xdr:ext cx="5324475" cy="771525"/>
    <xdr:pic>
      <xdr:nvPicPr>
        <xdr:cNvPr id="11" name="image11.png">
          <a:extLst>
            <a:ext uri="{FF2B5EF4-FFF2-40B4-BE49-F238E27FC236}">
              <a16:creationId xmlns:a16="http://schemas.microsoft.com/office/drawing/2014/main" id="{95F591CD-3B53-49CC-8900-0119BA62E8B6}"/>
            </a:ext>
          </a:extLst>
        </xdr:cNvPr>
        <xdr:cNvPicPr preferRelativeResize="0"/>
      </xdr:nvPicPr>
      <xdr:blipFill>
        <a:blip xmlns:r="http://schemas.openxmlformats.org/officeDocument/2006/relationships" r:embed="rId10" cstate="print">
          <a:duotone>
            <a:prstClr val="black"/>
            <a:schemeClr val="accent3">
              <a:tint val="45000"/>
              <a:satMod val="400000"/>
            </a:schemeClr>
          </a:duotone>
        </a:blip>
        <a:stretch>
          <a:fillRect/>
        </a:stretch>
      </xdr:blipFill>
      <xdr:spPr>
        <a:xfrm>
          <a:off x="18649950" y="4024313"/>
          <a:ext cx="5324475" cy="771525"/>
        </a:xfrm>
        <a:prstGeom prst="rect">
          <a:avLst/>
        </a:prstGeom>
        <a:noFill/>
      </xdr:spPr>
    </xdr:pic>
    <xdr:clientData fLocksWithSheet="0"/>
  </xdr:oneCellAnchor>
  <xdr:oneCellAnchor>
    <xdr:from>
      <xdr:col>40</xdr:col>
      <xdr:colOff>566737</xdr:colOff>
      <xdr:row>25</xdr:row>
      <xdr:rowOff>80963</xdr:rowOff>
    </xdr:from>
    <xdr:ext cx="2724150" cy="457200"/>
    <xdr:pic>
      <xdr:nvPicPr>
        <xdr:cNvPr id="12" name="image10.png">
          <a:extLst>
            <a:ext uri="{FF2B5EF4-FFF2-40B4-BE49-F238E27FC236}">
              <a16:creationId xmlns:a16="http://schemas.microsoft.com/office/drawing/2014/main" id="{1A55A43C-64F8-4541-AF2C-942511D86328}"/>
            </a:ext>
          </a:extLst>
        </xdr:cNvPr>
        <xdr:cNvPicPr preferRelativeResize="0"/>
      </xdr:nvPicPr>
      <xdr:blipFill>
        <a:blip xmlns:r="http://schemas.openxmlformats.org/officeDocument/2006/relationships" r:embed="rId11" cstate="print">
          <a:duotone>
            <a:prstClr val="black"/>
            <a:schemeClr val="accent3">
              <a:tint val="45000"/>
              <a:satMod val="400000"/>
            </a:schemeClr>
          </a:duotone>
        </a:blip>
        <a:stretch>
          <a:fillRect/>
        </a:stretch>
      </xdr:blipFill>
      <xdr:spPr>
        <a:xfrm>
          <a:off x="19526250" y="4891088"/>
          <a:ext cx="2724150" cy="457200"/>
        </a:xfrm>
        <a:prstGeom prst="rect">
          <a:avLst/>
        </a:prstGeom>
        <a:noFill/>
      </xdr:spPr>
    </xdr:pic>
    <xdr:clientData fLocksWithSheet="0"/>
  </xdr:oneCellAnchor>
  <xdr:oneCellAnchor>
    <xdr:from>
      <xdr:col>46</xdr:col>
      <xdr:colOff>533400</xdr:colOff>
      <xdr:row>13</xdr:row>
      <xdr:rowOff>33338</xdr:rowOff>
    </xdr:from>
    <xdr:ext cx="6867525" cy="1533525"/>
    <xdr:pic>
      <xdr:nvPicPr>
        <xdr:cNvPr id="13" name="image13.png">
          <a:extLst>
            <a:ext uri="{FF2B5EF4-FFF2-40B4-BE49-F238E27FC236}">
              <a16:creationId xmlns:a16="http://schemas.microsoft.com/office/drawing/2014/main" id="{83E4A52D-78AB-44D8-A027-4077BB00CC4F}"/>
            </a:ext>
          </a:extLst>
        </xdr:cNvPr>
        <xdr:cNvPicPr preferRelativeResize="0"/>
      </xdr:nvPicPr>
      <xdr:blipFill>
        <a:blip xmlns:r="http://schemas.openxmlformats.org/officeDocument/2006/relationships" r:embed="rId12" cstate="print">
          <a:duotone>
            <a:prstClr val="black"/>
            <a:schemeClr val="accent6">
              <a:tint val="45000"/>
              <a:satMod val="400000"/>
            </a:schemeClr>
          </a:duotone>
        </a:blip>
        <a:stretch>
          <a:fillRect/>
        </a:stretch>
      </xdr:blipFill>
      <xdr:spPr>
        <a:xfrm>
          <a:off x="25693688" y="2509838"/>
          <a:ext cx="6867525" cy="1533525"/>
        </a:xfrm>
        <a:prstGeom prst="rect">
          <a:avLst/>
        </a:prstGeom>
        <a:noFill/>
      </xdr:spPr>
    </xdr:pic>
    <xdr:clientData fLocksWithSheet="0"/>
  </xdr:oneCellAnchor>
  <xdr:oneCellAnchor>
    <xdr:from>
      <xdr:col>53</xdr:col>
      <xdr:colOff>138113</xdr:colOff>
      <xdr:row>24</xdr:row>
      <xdr:rowOff>23813</xdr:rowOff>
    </xdr:from>
    <xdr:ext cx="2962275" cy="647700"/>
    <xdr:pic>
      <xdr:nvPicPr>
        <xdr:cNvPr id="14" name="image12.png">
          <a:extLst>
            <a:ext uri="{FF2B5EF4-FFF2-40B4-BE49-F238E27FC236}">
              <a16:creationId xmlns:a16="http://schemas.microsoft.com/office/drawing/2014/main" id="{1D9F7C17-6A25-4768-82AE-90650D9B18AC}"/>
            </a:ext>
          </a:extLst>
        </xdr:cNvPr>
        <xdr:cNvPicPr preferRelativeResize="0"/>
      </xdr:nvPicPr>
      <xdr:blipFill>
        <a:blip xmlns:r="http://schemas.openxmlformats.org/officeDocument/2006/relationships" r:embed="rId13" cstate="print">
          <a:duotone>
            <a:prstClr val="black"/>
            <a:schemeClr val="accent3">
              <a:tint val="45000"/>
              <a:satMod val="400000"/>
            </a:schemeClr>
          </a:duotone>
        </a:blip>
        <a:stretch>
          <a:fillRect/>
        </a:stretch>
      </xdr:blipFill>
      <xdr:spPr>
        <a:xfrm>
          <a:off x="32532638" y="4633913"/>
          <a:ext cx="2962275" cy="647700"/>
        </a:xfrm>
        <a:prstGeom prst="rect">
          <a:avLst/>
        </a:prstGeom>
        <a:noFill/>
      </xdr:spPr>
    </xdr:pic>
    <xdr:clientData fLocksWithSheet="0"/>
  </xdr:oneCellAnchor>
  <xdr:oneCellAnchor>
    <xdr:from>
      <xdr:col>51</xdr:col>
      <xdr:colOff>933450</xdr:colOff>
      <xdr:row>7</xdr:row>
      <xdr:rowOff>176213</xdr:rowOff>
    </xdr:from>
    <xdr:ext cx="4943475" cy="638175"/>
    <xdr:pic>
      <xdr:nvPicPr>
        <xdr:cNvPr id="15" name="image15.png">
          <a:extLst>
            <a:ext uri="{FF2B5EF4-FFF2-40B4-BE49-F238E27FC236}">
              <a16:creationId xmlns:a16="http://schemas.microsoft.com/office/drawing/2014/main" id="{F3865654-54B0-4DB6-8F3F-A85310B10D85}"/>
            </a:ext>
          </a:extLst>
        </xdr:cNvPr>
        <xdr:cNvPicPr preferRelativeResize="0"/>
      </xdr:nvPicPr>
      <xdr:blipFill>
        <a:blip xmlns:r="http://schemas.openxmlformats.org/officeDocument/2006/relationships" r:embed="rId14" cstate="print">
          <a:duotone>
            <a:prstClr val="black"/>
            <a:schemeClr val="accent3">
              <a:tint val="45000"/>
              <a:satMod val="400000"/>
            </a:schemeClr>
          </a:duotone>
        </a:blip>
        <a:stretch>
          <a:fillRect/>
        </a:stretch>
      </xdr:blipFill>
      <xdr:spPr>
        <a:xfrm>
          <a:off x="31261050" y="1519238"/>
          <a:ext cx="4943475" cy="638175"/>
        </a:xfrm>
        <a:prstGeom prst="rect">
          <a:avLst/>
        </a:prstGeom>
        <a:noFill/>
      </xdr:spPr>
    </xdr:pic>
    <xdr:clientData fLocksWithSheet="0"/>
  </xdr:oneCellAnchor>
  <xdr:oneCellAnchor>
    <xdr:from>
      <xdr:col>48</xdr:col>
      <xdr:colOff>114300</xdr:colOff>
      <xdr:row>0</xdr:row>
      <xdr:rowOff>33338</xdr:rowOff>
    </xdr:from>
    <xdr:ext cx="2009775" cy="542925"/>
    <xdr:pic>
      <xdr:nvPicPr>
        <xdr:cNvPr id="16" name="image14.png">
          <a:extLst>
            <a:ext uri="{FF2B5EF4-FFF2-40B4-BE49-F238E27FC236}">
              <a16:creationId xmlns:a16="http://schemas.microsoft.com/office/drawing/2014/main" id="{8E49E9AC-9855-40F4-AECE-1992FD1DBF18}"/>
            </a:ext>
          </a:extLst>
        </xdr:cNvPr>
        <xdr:cNvPicPr preferRelativeResize="0"/>
      </xdr:nvPicPr>
      <xdr:blipFill>
        <a:blip xmlns:r="http://schemas.openxmlformats.org/officeDocument/2006/relationships" r:embed="rId15" cstate="print">
          <a:duotone>
            <a:prstClr val="black"/>
            <a:schemeClr val="accent3">
              <a:tint val="45000"/>
              <a:satMod val="400000"/>
            </a:schemeClr>
          </a:duotone>
        </a:blip>
        <a:stretch>
          <a:fillRect/>
        </a:stretch>
      </xdr:blipFill>
      <xdr:spPr>
        <a:xfrm>
          <a:off x="27341513" y="33338"/>
          <a:ext cx="2009775" cy="542925"/>
        </a:xfrm>
        <a:prstGeom prst="rect">
          <a:avLst/>
        </a:prstGeom>
        <a:noFill/>
      </xdr:spPr>
    </xdr:pic>
    <xdr:clientData fLocksWithSheet="0"/>
  </xdr:oneCellAnchor>
  <xdr:oneCellAnchor>
    <xdr:from>
      <xdr:col>45</xdr:col>
      <xdr:colOff>614363</xdr:colOff>
      <xdr:row>23</xdr:row>
      <xdr:rowOff>147638</xdr:rowOff>
    </xdr:from>
    <xdr:ext cx="5314950" cy="800100"/>
    <xdr:pic>
      <xdr:nvPicPr>
        <xdr:cNvPr id="17" name="image16.png">
          <a:extLst>
            <a:ext uri="{FF2B5EF4-FFF2-40B4-BE49-F238E27FC236}">
              <a16:creationId xmlns:a16="http://schemas.microsoft.com/office/drawing/2014/main" id="{9C4ADBC6-CE65-4F35-B6D2-1707195B90C7}"/>
            </a:ext>
          </a:extLst>
        </xdr:cNvPr>
        <xdr:cNvPicPr preferRelativeResize="0"/>
      </xdr:nvPicPr>
      <xdr:blipFill>
        <a:blip xmlns:r="http://schemas.openxmlformats.org/officeDocument/2006/relationships" r:embed="rId16" cstate="print">
          <a:duotone>
            <a:prstClr val="black"/>
            <a:schemeClr val="accent3">
              <a:tint val="45000"/>
              <a:satMod val="400000"/>
            </a:schemeClr>
          </a:duotone>
        </a:blip>
        <a:stretch>
          <a:fillRect/>
        </a:stretch>
      </xdr:blipFill>
      <xdr:spPr>
        <a:xfrm>
          <a:off x="24741188" y="4557713"/>
          <a:ext cx="5314950"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141386</xdr:colOff>
      <xdr:row>11</xdr:row>
      <xdr:rowOff>15793</xdr:rowOff>
    </xdr:from>
    <xdr:to>
      <xdr:col>4</xdr:col>
      <xdr:colOff>388971</xdr:colOff>
      <xdr:row>22</xdr:row>
      <xdr:rowOff>5660</xdr:rowOff>
    </xdr:to>
    <xdr:pic>
      <xdr:nvPicPr>
        <xdr:cNvPr id="3" name="Picture 2">
          <a:extLst>
            <a:ext uri="{FF2B5EF4-FFF2-40B4-BE49-F238E27FC236}">
              <a16:creationId xmlns:a16="http://schemas.microsoft.com/office/drawing/2014/main" id="{A64FAB8E-970E-040C-6CC7-1DC5C3F125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4102" y="3848118"/>
          <a:ext cx="2866960" cy="19543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95249</xdr:colOff>
      <xdr:row>3</xdr:row>
      <xdr:rowOff>85725</xdr:rowOff>
    </xdr:from>
    <xdr:to>
      <xdr:col>21</xdr:col>
      <xdr:colOff>471487</xdr:colOff>
      <xdr:row>14</xdr:row>
      <xdr:rowOff>128589</xdr:rowOff>
    </xdr:to>
    <xdr:graphicFrame macro="">
      <xdr:nvGraphicFramePr>
        <xdr:cNvPr id="3" name="Chart 2">
          <a:extLst>
            <a:ext uri="{FF2B5EF4-FFF2-40B4-BE49-F238E27FC236}">
              <a16:creationId xmlns:a16="http://schemas.microsoft.com/office/drawing/2014/main" id="{2EB72E4E-74D0-49B7-9DC4-181BFCDA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64</xdr:row>
      <xdr:rowOff>138113</xdr:rowOff>
    </xdr:from>
    <xdr:to>
      <xdr:col>13</xdr:col>
      <xdr:colOff>490538</xdr:colOff>
      <xdr:row>82</xdr:row>
      <xdr:rowOff>47625</xdr:rowOff>
    </xdr:to>
    <xdr:graphicFrame macro="">
      <xdr:nvGraphicFramePr>
        <xdr:cNvPr id="4" name="Chart 3">
          <a:extLst>
            <a:ext uri="{FF2B5EF4-FFF2-40B4-BE49-F238E27FC236}">
              <a16:creationId xmlns:a16="http://schemas.microsoft.com/office/drawing/2014/main" id="{703F7CEB-CE10-4379-B944-7BBEBD3FD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78</xdr:row>
      <xdr:rowOff>166687</xdr:rowOff>
    </xdr:from>
    <xdr:to>
      <xdr:col>22</xdr:col>
      <xdr:colOff>128587</xdr:colOff>
      <xdr:row>93</xdr:row>
      <xdr:rowOff>61912</xdr:rowOff>
    </xdr:to>
    <xdr:graphicFrame macro="">
      <xdr:nvGraphicFramePr>
        <xdr:cNvPr id="6" name="Chart 5">
          <a:extLst>
            <a:ext uri="{FF2B5EF4-FFF2-40B4-BE49-F238E27FC236}">
              <a16:creationId xmlns:a16="http://schemas.microsoft.com/office/drawing/2014/main" id="{E78EFCF6-9E3D-49E6-A003-274576EA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139700</xdr:colOff>
      <xdr:row>0</xdr:row>
      <xdr:rowOff>127000</xdr:rowOff>
    </xdr:from>
    <xdr:to>
      <xdr:col>17</xdr:col>
      <xdr:colOff>469900</xdr:colOff>
      <xdr:row>33</xdr:row>
      <xdr:rowOff>139700</xdr:rowOff>
    </xdr:to>
    <xdr:graphicFrame macro="">
      <xdr:nvGraphicFramePr>
        <xdr:cNvPr id="2092" name="Chart 1">
          <a:extLst>
            <a:ext uri="{FF2B5EF4-FFF2-40B4-BE49-F238E27FC236}">
              <a16:creationId xmlns:a16="http://schemas.microsoft.com/office/drawing/2014/main" id="{CC647B74-E514-CD4D-AA1B-9D402D9D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101600</xdr:rowOff>
    </xdr:from>
    <xdr:to>
      <xdr:col>19</xdr:col>
      <xdr:colOff>152400</xdr:colOff>
      <xdr:row>32</xdr:row>
      <xdr:rowOff>25400</xdr:rowOff>
    </xdr:to>
    <xdr:graphicFrame macro="">
      <xdr:nvGraphicFramePr>
        <xdr:cNvPr id="4140" name="Chart 1">
          <a:extLst>
            <a:ext uri="{FF2B5EF4-FFF2-40B4-BE49-F238E27FC236}">
              <a16:creationId xmlns:a16="http://schemas.microsoft.com/office/drawing/2014/main" id="{C88CFFA7-14B5-C247-8F9D-26A1371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76199</xdr:colOff>
      <xdr:row>1</xdr:row>
      <xdr:rowOff>25400</xdr:rowOff>
    </xdr:from>
    <xdr:to>
      <xdr:col>20</xdr:col>
      <xdr:colOff>519113</xdr:colOff>
      <xdr:row>29</xdr:row>
      <xdr:rowOff>76200</xdr:rowOff>
    </xdr:to>
    <xdr:graphicFrame macro="">
      <xdr:nvGraphicFramePr>
        <xdr:cNvPr id="6188" name="Chart 1">
          <a:extLst>
            <a:ext uri="{FF2B5EF4-FFF2-40B4-BE49-F238E27FC236}">
              <a16:creationId xmlns:a16="http://schemas.microsoft.com/office/drawing/2014/main" id="{467B2629-E328-DC40-99F0-9472A956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101599</xdr:colOff>
      <xdr:row>0</xdr:row>
      <xdr:rowOff>190500</xdr:rowOff>
    </xdr:from>
    <xdr:to>
      <xdr:col>22</xdr:col>
      <xdr:colOff>333374</xdr:colOff>
      <xdr:row>29</xdr:row>
      <xdr:rowOff>114300</xdr:rowOff>
    </xdr:to>
    <xdr:graphicFrame macro="">
      <xdr:nvGraphicFramePr>
        <xdr:cNvPr id="17448" name="Chart 1">
          <a:extLst>
            <a:ext uri="{FF2B5EF4-FFF2-40B4-BE49-F238E27FC236}">
              <a16:creationId xmlns:a16="http://schemas.microsoft.com/office/drawing/2014/main" id="{FAB319B4-3F29-9F49-AC17-4B6B8BE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1827-47AD-4040-BAEA-F91CE2B415C5}">
  <dimension ref="A1:AM1000"/>
  <sheetViews>
    <sheetView topLeftCell="B1" workbookViewId="0">
      <selection activeCell="K14" sqref="K14"/>
    </sheetView>
  </sheetViews>
  <sheetFormatPr defaultColWidth="14.46484375" defaultRowHeight="15" customHeight="1" x14ac:dyDescent="0.45"/>
  <cols>
    <col min="1" max="4" width="14.46484375" style="41"/>
    <col min="5" max="5" width="4.73046875" style="41" customWidth="1"/>
    <col min="6" max="6" width="5.796875" style="41" customWidth="1"/>
    <col min="7" max="7" width="5.19921875" style="41" customWidth="1"/>
    <col min="8" max="8" width="6.265625" style="41" customWidth="1"/>
    <col min="9" max="9" width="3.796875" style="41" customWidth="1"/>
    <col min="10" max="10" width="4.46484375" style="41" customWidth="1"/>
    <col min="11" max="11" width="4.73046875" style="41" customWidth="1"/>
    <col min="12" max="12" width="9.19921875" style="41" customWidth="1"/>
    <col min="13" max="13" width="5.265625" style="41" customWidth="1"/>
    <col min="14" max="14" width="5.73046875" style="41" customWidth="1"/>
    <col min="15" max="15" width="4.73046875" style="41" customWidth="1"/>
    <col min="16" max="16" width="4.796875" style="41" customWidth="1"/>
    <col min="17" max="17" width="9" style="41" customWidth="1"/>
    <col min="18" max="18" width="4.46484375" style="41" customWidth="1"/>
    <col min="19" max="19" width="4.796875" style="41" customWidth="1"/>
    <col min="20" max="22" width="6" style="41" customWidth="1"/>
    <col min="23" max="23" width="5.796875" style="41" customWidth="1"/>
    <col min="24" max="24" width="6.53125" style="41" customWidth="1"/>
    <col min="25" max="25" width="7" style="41" customWidth="1"/>
    <col min="26" max="26" width="8.796875" style="41" customWidth="1"/>
    <col min="27" max="27" width="9.19921875" style="41" customWidth="1"/>
    <col min="28" max="28" width="8.19921875" style="41" customWidth="1"/>
    <col min="29" max="30" width="8" style="41" customWidth="1"/>
    <col min="31" max="31" width="7.9296875" style="41" customWidth="1"/>
    <col min="32" max="32" width="8.53125" style="41" hidden="1" customWidth="1"/>
    <col min="33" max="33" width="10.73046875" style="41" hidden="1" customWidth="1"/>
    <col min="34" max="34" width="13.46484375" style="41" hidden="1" customWidth="1"/>
    <col min="35" max="35" width="8.73046875" style="41" customWidth="1"/>
    <col min="36" max="36" width="11.265625" style="41" customWidth="1"/>
    <col min="37" max="37" width="10.73046875" style="41" customWidth="1"/>
    <col min="38" max="38" width="9.19921875" style="41" customWidth="1"/>
    <col min="39" max="39" width="8.19921875" style="41" customWidth="1"/>
    <col min="40" max="16384" width="14.46484375" style="41"/>
  </cols>
  <sheetData>
    <row r="1" spans="1:39" ht="15.75" x14ac:dyDescent="0.45">
      <c r="A1" s="80" t="s">
        <v>147</v>
      </c>
      <c r="B1" s="81" t="s">
        <v>148</v>
      </c>
      <c r="C1" s="81" t="s">
        <v>149</v>
      </c>
      <c r="D1" s="81" t="s">
        <v>150</v>
      </c>
      <c r="E1" s="61" t="s">
        <v>85</v>
      </c>
      <c r="F1" s="62" t="s">
        <v>86</v>
      </c>
      <c r="G1" s="62" t="s">
        <v>87</v>
      </c>
      <c r="H1" s="62" t="s">
        <v>88</v>
      </c>
      <c r="I1" s="62" t="s">
        <v>89</v>
      </c>
      <c r="J1" s="62" t="s">
        <v>90</v>
      </c>
      <c r="K1" s="62" t="s">
        <v>91</v>
      </c>
      <c r="L1" s="62" t="s">
        <v>92</v>
      </c>
      <c r="M1" s="63" t="s">
        <v>93</v>
      </c>
      <c r="N1" s="63" t="s">
        <v>93</v>
      </c>
      <c r="O1" s="64" t="s">
        <v>94</v>
      </c>
      <c r="P1" s="64" t="s">
        <v>95</v>
      </c>
      <c r="Q1" s="63" t="s">
        <v>96</v>
      </c>
      <c r="R1" s="63" t="s">
        <v>97</v>
      </c>
      <c r="S1" s="63" t="s">
        <v>98</v>
      </c>
      <c r="T1" s="63" t="s">
        <v>99</v>
      </c>
      <c r="U1" s="63" t="s">
        <v>99</v>
      </c>
      <c r="V1" s="63" t="s">
        <v>100</v>
      </c>
      <c r="W1" s="63" t="s">
        <v>100</v>
      </c>
      <c r="X1" s="63" t="s">
        <v>101</v>
      </c>
      <c r="Y1" s="64" t="s">
        <v>102</v>
      </c>
      <c r="Z1" s="64" t="s">
        <v>103</v>
      </c>
      <c r="AA1" s="64" t="s">
        <v>104</v>
      </c>
      <c r="AB1" s="63" t="s">
        <v>99</v>
      </c>
      <c r="AC1" s="63" t="s">
        <v>105</v>
      </c>
      <c r="AD1" s="63" t="s">
        <v>106</v>
      </c>
      <c r="AE1" s="63" t="s">
        <v>107</v>
      </c>
      <c r="AF1" s="65" t="s">
        <v>108</v>
      </c>
      <c r="AG1" s="65" t="s">
        <v>108</v>
      </c>
      <c r="AH1" s="65" t="s">
        <v>108</v>
      </c>
      <c r="AI1" s="66" t="s">
        <v>109</v>
      </c>
    </row>
    <row r="2" spans="1:39" ht="15.75" x14ac:dyDescent="0.45">
      <c r="A2" s="80"/>
      <c r="B2" s="81"/>
      <c r="C2" s="81"/>
      <c r="D2" s="81"/>
      <c r="E2" s="61"/>
      <c r="F2" s="62"/>
      <c r="G2" s="62"/>
      <c r="H2" s="62"/>
      <c r="I2" s="62"/>
      <c r="J2" s="62"/>
      <c r="K2" s="62"/>
      <c r="L2" s="62"/>
      <c r="M2" s="63"/>
      <c r="N2" s="63"/>
      <c r="O2" s="63"/>
      <c r="P2" s="63"/>
      <c r="Q2" s="63"/>
      <c r="R2" s="63"/>
      <c r="S2" s="63"/>
      <c r="T2" s="63" t="s">
        <v>110</v>
      </c>
      <c r="U2" s="63" t="s">
        <v>111</v>
      </c>
      <c r="V2" s="63" t="s">
        <v>110</v>
      </c>
      <c r="W2" s="63" t="s">
        <v>111</v>
      </c>
      <c r="X2" s="63"/>
      <c r="Y2" s="63"/>
      <c r="Z2" s="63"/>
      <c r="AA2" s="63"/>
      <c r="AB2" s="63" t="s">
        <v>112</v>
      </c>
      <c r="AC2" s="63" t="s">
        <v>112</v>
      </c>
      <c r="AD2" s="64"/>
      <c r="AE2" s="64"/>
      <c r="AF2" s="67" t="s">
        <v>113</v>
      </c>
      <c r="AG2" s="67" t="s">
        <v>114</v>
      </c>
      <c r="AH2" s="67" t="s">
        <v>115</v>
      </c>
      <c r="AI2" s="66" t="s">
        <v>116</v>
      </c>
      <c r="AK2" s="78" t="s">
        <v>117</v>
      </c>
      <c r="AL2" s="79"/>
      <c r="AM2" s="42" t="s">
        <v>118</v>
      </c>
    </row>
    <row r="3" spans="1:39" ht="15.75" x14ac:dyDescent="0.45">
      <c r="A3" s="80"/>
      <c r="B3" s="81"/>
      <c r="C3" s="81"/>
      <c r="D3" s="81"/>
      <c r="E3" s="68" t="s">
        <v>119</v>
      </c>
      <c r="F3" s="63" t="s">
        <v>120</v>
      </c>
      <c r="G3" s="63" t="s">
        <v>120</v>
      </c>
      <c r="H3" s="63" t="s">
        <v>120</v>
      </c>
      <c r="I3" s="63" t="s">
        <v>19</v>
      </c>
      <c r="J3" s="63" t="s">
        <v>19</v>
      </c>
      <c r="K3" s="63" t="s">
        <v>121</v>
      </c>
      <c r="L3" s="69" t="s">
        <v>122</v>
      </c>
      <c r="M3" s="63" t="s">
        <v>123</v>
      </c>
      <c r="N3" s="63" t="s">
        <v>124</v>
      </c>
      <c r="O3" s="63" t="s">
        <v>124</v>
      </c>
      <c r="P3" s="63" t="s">
        <v>119</v>
      </c>
      <c r="Q3" s="69" t="s">
        <v>122</v>
      </c>
      <c r="R3" s="63" t="s">
        <v>119</v>
      </c>
      <c r="S3" s="63" t="s">
        <v>125</v>
      </c>
      <c r="T3" s="63" t="s">
        <v>126</v>
      </c>
      <c r="U3" s="63" t="s">
        <v>126</v>
      </c>
      <c r="V3" s="63" t="s">
        <v>126</v>
      </c>
      <c r="W3" s="63" t="s">
        <v>126</v>
      </c>
      <c r="X3" s="63" t="s">
        <v>126</v>
      </c>
      <c r="Y3" s="63" t="s">
        <v>126</v>
      </c>
      <c r="Z3" s="69" t="s">
        <v>122</v>
      </c>
      <c r="AA3" s="69" t="s">
        <v>122</v>
      </c>
      <c r="AB3" s="63" t="s">
        <v>126</v>
      </c>
      <c r="AC3" s="63" t="s">
        <v>127</v>
      </c>
      <c r="AD3" s="67" t="s">
        <v>128</v>
      </c>
      <c r="AE3" s="63" t="s">
        <v>129</v>
      </c>
      <c r="AF3" s="67" t="s">
        <v>130</v>
      </c>
      <c r="AG3" s="67" t="s">
        <v>130</v>
      </c>
      <c r="AH3" s="67" t="s">
        <v>130</v>
      </c>
      <c r="AI3" s="66" t="s">
        <v>130</v>
      </c>
      <c r="AK3" s="42" t="s">
        <v>131</v>
      </c>
      <c r="AL3" s="43">
        <f>AK15</f>
        <v>0.23</v>
      </c>
      <c r="AM3" s="42" t="s">
        <v>119</v>
      </c>
    </row>
    <row r="4" spans="1:39" ht="14.25" x14ac:dyDescent="0.45">
      <c r="A4" s="59">
        <f t="shared" ref="A4:A67" si="0">DATE(B4,C4,D4)</f>
        <v>45748</v>
      </c>
      <c r="B4" s="60">
        <v>2025</v>
      </c>
      <c r="C4" s="60">
        <v>4</v>
      </c>
      <c r="D4" s="60">
        <v>1</v>
      </c>
      <c r="E4" s="61">
        <v>91</v>
      </c>
      <c r="F4" s="62">
        <v>35</v>
      </c>
      <c r="G4" s="62">
        <v>15</v>
      </c>
      <c r="H4" s="70">
        <f t="shared" ref="H4:H67" si="1">(F4+G4)/2</f>
        <v>25</v>
      </c>
      <c r="I4" s="62">
        <v>70</v>
      </c>
      <c r="J4" s="62">
        <v>30</v>
      </c>
      <c r="K4" s="62">
        <v>2</v>
      </c>
      <c r="L4" s="62">
        <v>30</v>
      </c>
      <c r="M4" s="71">
        <f t="shared" ref="M4:M67" si="2">23.45*COS(2*3.1416/365*(E4-172))</f>
        <v>4.116138176473755</v>
      </c>
      <c r="N4" s="72">
        <f t="shared" ref="N4:N67" si="3">M4*3.1416/180</f>
        <v>7.1840331640055266E-2</v>
      </c>
      <c r="O4" s="72">
        <f>ACOS(-TAN($AL$7*3.1416/180)*TAN(N4))</f>
        <v>1.6288139241917998</v>
      </c>
      <c r="P4" s="72">
        <f t="shared" ref="P4:P7" si="4">1+0.033*COS(2*3.1416/365*E4)</f>
        <v>1.000141895881224</v>
      </c>
      <c r="Q4" s="71">
        <f>37.4*P4*(SIN($AL$7*3.1416/180)*SIN(N4)*O4+COS($AL$7*3.1416/180)*COS(N4)*SIN(O4))</f>
        <v>31.746604469467233</v>
      </c>
      <c r="R4" s="72">
        <f t="shared" ref="R4:R7" si="5">MIN(1,MAX(0,2*(L4/Q4-0.25)))</f>
        <v>1</v>
      </c>
      <c r="S4" s="71">
        <f t="shared" ref="S4:S7" si="6">O4*2*12/3.1416</f>
        <v>12.44319269818029</v>
      </c>
      <c r="T4" s="72">
        <f t="shared" ref="T4:U7" si="7">0.6108*EXP(17.27*F4/(237.3+F4))</f>
        <v>5.6226812384961216</v>
      </c>
      <c r="U4" s="72">
        <f t="shared" si="7"/>
        <v>1.7053462321157722</v>
      </c>
      <c r="V4" s="72">
        <f t="shared" ref="V4:V7" si="8">T4*J4/100</f>
        <v>1.6868043715488363</v>
      </c>
      <c r="W4" s="72">
        <f t="shared" ref="W4:W7" si="9">U4*I4/100</f>
        <v>1.1937423624810406</v>
      </c>
      <c r="X4" s="72">
        <f t="shared" ref="X4:X7" si="10">0.5*(V4+W4)</f>
        <v>1.4402733670149384</v>
      </c>
      <c r="Y4" s="72">
        <f t="shared" ref="Y4:Y7" si="11">0.5*(T4+U4)-X4</f>
        <v>2.2237403682910086</v>
      </c>
      <c r="Z4" s="72">
        <f t="shared" ref="Z4:Z7" si="12">(0.1+0.9*R4)*(0.34-0.14*SQRT(X4))*0.0000000049*(273+H4)^4</f>
        <v>6.6458313965169982</v>
      </c>
      <c r="AA4" s="72">
        <f>(1-$AL$3)*L4-Z4</f>
        <v>16.454168603483005</v>
      </c>
      <c r="AB4" s="72">
        <f t="shared" ref="AB4:AB7" si="13">0.6108*EXP(17.27*H4/(237.3+H4))</f>
        <v>3.1677777175068473</v>
      </c>
      <c r="AC4" s="72">
        <f t="shared" ref="AC4:AC7" si="14">4098*AB4/(237.3+H4)^2</f>
        <v>0.18868182684282603</v>
      </c>
      <c r="AD4" s="73">
        <f>29000*$AL$9/8.31/(H4+273)*(1.01+0.622*X4/($AL$9-X4))</f>
        <v>1194.6480418658741</v>
      </c>
      <c r="AE4" s="71">
        <f>LN(($AL$6-0.65*$AL$4)/0.13/$AL$4)*LN(($AL$6-0.65*$AL$4)/0.13/$AL$4/0.2)/0.4^2/K4</f>
        <v>96.627350329458736</v>
      </c>
      <c r="AF4" s="74">
        <f>(AC4*AA4+0.5*Y4*K4)/2.45/(AC4+0.067*(1+0.33*K4))</f>
        <v>7.2518193168301277</v>
      </c>
      <c r="AG4" s="75">
        <f>0.00552*Q4*(H4+17.8)*SQRT(F4-G4)*$AL$11</f>
        <v>5.3667962591547145</v>
      </c>
      <c r="AH4" s="76">
        <f>0.68/2.45*AC4/(0.067+AC4)*0.7*L4</f>
        <v>4.3012267184041919</v>
      </c>
      <c r="AI4" s="77">
        <f>(AC4*AA4+0.0864*AD4*Y4/AE4)/(AC4+0.067*(1+$AL$5/AE4))/2.45</f>
        <v>7.3691946498370893</v>
      </c>
      <c r="AJ4" s="44"/>
      <c r="AK4" s="42" t="s">
        <v>132</v>
      </c>
      <c r="AL4" s="43">
        <f>AK16</f>
        <v>0.12</v>
      </c>
      <c r="AM4" s="42" t="s">
        <v>20</v>
      </c>
    </row>
    <row r="5" spans="1:39" ht="15.75" x14ac:dyDescent="0.55000000000000004">
      <c r="A5" s="59">
        <f t="shared" si="0"/>
        <v>45749</v>
      </c>
      <c r="B5" s="60">
        <v>2025</v>
      </c>
      <c r="C5" s="60">
        <v>4</v>
      </c>
      <c r="D5" s="60">
        <v>2</v>
      </c>
      <c r="E5" s="61">
        <v>92</v>
      </c>
      <c r="F5" s="62">
        <v>35</v>
      </c>
      <c r="G5" s="62">
        <v>15</v>
      </c>
      <c r="H5" s="70">
        <f t="shared" si="1"/>
        <v>25</v>
      </c>
      <c r="I5" s="62">
        <v>80</v>
      </c>
      <c r="J5" s="62">
        <v>40</v>
      </c>
      <c r="K5" s="62">
        <v>3</v>
      </c>
      <c r="L5" s="62">
        <v>30</v>
      </c>
      <c r="M5" s="71">
        <f t="shared" si="2"/>
        <v>4.5129154918016834</v>
      </c>
      <c r="N5" s="72">
        <f t="shared" si="3"/>
        <v>7.8765418383578714E-2</v>
      </c>
      <c r="O5" s="72">
        <f>ACOS(-TAN($AL$7*3.1416/180)*TAN(N5))</f>
        <v>1.6344359940139024</v>
      </c>
      <c r="P5" s="72">
        <f t="shared" si="4"/>
        <v>0.99957383802765054</v>
      </c>
      <c r="Q5" s="71">
        <f>37.4*P5*(SIN($AL$7*3.1416/180)*SIN(N5)*O5+COS($AL$7*3.1416/180)*COS(N5)*SIN(O5))</f>
        <v>31.977711004650448</v>
      </c>
      <c r="R5" s="72">
        <f t="shared" si="5"/>
        <v>1</v>
      </c>
      <c r="S5" s="71">
        <f t="shared" si="6"/>
        <v>12.486142047470608</v>
      </c>
      <c r="T5" s="72">
        <f t="shared" si="7"/>
        <v>5.6226812384961216</v>
      </c>
      <c r="U5" s="72">
        <f t="shared" si="7"/>
        <v>1.7053462321157722</v>
      </c>
      <c r="V5" s="72">
        <f t="shared" si="8"/>
        <v>2.2490724953984484</v>
      </c>
      <c r="W5" s="72">
        <f t="shared" si="9"/>
        <v>1.3642769856926176</v>
      </c>
      <c r="X5" s="72">
        <f t="shared" si="10"/>
        <v>1.806674740545533</v>
      </c>
      <c r="Y5" s="72">
        <f t="shared" si="11"/>
        <v>1.857338994760414</v>
      </c>
      <c r="Z5" s="72">
        <f t="shared" si="12"/>
        <v>5.8667403668187008</v>
      </c>
      <c r="AA5" s="72">
        <f>(1-$AL$3)*L5-Z5</f>
        <v>17.233259633181301</v>
      </c>
      <c r="AB5" s="72">
        <f t="shared" si="13"/>
        <v>3.1677777175068473</v>
      </c>
      <c r="AC5" s="72">
        <f t="shared" si="14"/>
        <v>0.18868182684282603</v>
      </c>
      <c r="AD5" s="73">
        <f>29000*$AL$9/8.31/(H5+273)*(1.01+0.622*X5/($AL$9-X5))</f>
        <v>1197.4056455306306</v>
      </c>
      <c r="AE5" s="71">
        <f t="shared" ref="AE5:AE8" si="15">LN(($AL$6-0.65*$AL$4)/0.13/$AL$4)*LN(($AL$6-0.65*$AL$4)/0.13/$AL$4/0.2)/0.4^2/K5</f>
        <v>64.418233552972495</v>
      </c>
      <c r="AF5" s="74">
        <f t="shared" ref="AF5:AF8" si="16">(AC5*AA5+0.5*Y5*K5)/2.45/(AC5+0.067*(1+0.33*K5))</f>
        <v>7.652921349899839</v>
      </c>
      <c r="AG5" s="75">
        <f t="shared" ref="AG5:AG8" si="17">0.00552*Q5*(H5+17.8)*SQRT(F5-G5)*$AL$11</f>
        <v>5.4058650575101534</v>
      </c>
      <c r="AH5" s="76">
        <f t="shared" ref="AH5:AH8" si="18">0.68/2.45*AC5/(0.067+AC5)*0.7*L5</f>
        <v>4.3012267184041919</v>
      </c>
      <c r="AI5" s="77">
        <f>(AC5*AA5+0.0864*AD5*Y5/AE5)/(AC5+0.067*(1+$AL$5/AE5))/2.45</f>
        <v>7.771302641241066</v>
      </c>
      <c r="AJ5" s="44"/>
      <c r="AK5" s="42" t="s">
        <v>133</v>
      </c>
      <c r="AL5" s="43">
        <f>AK17</f>
        <v>69</v>
      </c>
      <c r="AM5" s="42" t="s">
        <v>129</v>
      </c>
    </row>
    <row r="6" spans="1:39" ht="14.25" x14ac:dyDescent="0.45">
      <c r="A6" s="59">
        <f t="shared" si="0"/>
        <v>45750</v>
      </c>
      <c r="B6" s="60">
        <v>2025</v>
      </c>
      <c r="C6" s="60">
        <v>4</v>
      </c>
      <c r="D6" s="60">
        <v>3</v>
      </c>
      <c r="E6" s="61">
        <v>93</v>
      </c>
      <c r="F6" s="62">
        <v>35</v>
      </c>
      <c r="G6" s="62">
        <v>15</v>
      </c>
      <c r="H6" s="70">
        <f t="shared" si="1"/>
        <v>25</v>
      </c>
      <c r="I6" s="62">
        <v>98</v>
      </c>
      <c r="J6" s="62">
        <v>60</v>
      </c>
      <c r="K6" s="62">
        <v>4</v>
      </c>
      <c r="L6" s="62">
        <v>30</v>
      </c>
      <c r="M6" s="71">
        <f t="shared" si="2"/>
        <v>4.9083555266185854</v>
      </c>
      <c r="N6" s="72">
        <f t="shared" si="3"/>
        <v>8.5667165124583042E-2</v>
      </c>
      <c r="O6" s="72">
        <f>ACOS(-TAN($AL$7*3.1416/180)*TAN(N6))</f>
        <v>1.6400472411090248</v>
      </c>
      <c r="P6" s="72">
        <f t="shared" si="4"/>
        <v>0.99900590645565734</v>
      </c>
      <c r="Q6" s="71">
        <f>37.4*P6*(SIN($AL$7*3.1416/180)*SIN(N6)*O6+COS($AL$7*3.1416/180)*COS(N6)*SIN(O6))</f>
        <v>32.207085864188834</v>
      </c>
      <c r="R6" s="72">
        <f t="shared" si="5"/>
        <v>1</v>
      </c>
      <c r="S6" s="71">
        <f t="shared" si="6"/>
        <v>12.529008717410425</v>
      </c>
      <c r="T6" s="72">
        <f t="shared" si="7"/>
        <v>5.6226812384961216</v>
      </c>
      <c r="U6" s="72">
        <f t="shared" si="7"/>
        <v>1.7053462321157722</v>
      </c>
      <c r="V6" s="72">
        <f t="shared" si="8"/>
        <v>3.3736087430976727</v>
      </c>
      <c r="W6" s="72">
        <f t="shared" si="9"/>
        <v>1.6712393074734566</v>
      </c>
      <c r="X6" s="72">
        <f t="shared" si="10"/>
        <v>2.5224240252855648</v>
      </c>
      <c r="Y6" s="72">
        <f t="shared" si="11"/>
        <v>1.1415897100203822</v>
      </c>
      <c r="Z6" s="72">
        <f t="shared" si="12"/>
        <v>4.5462484309305999</v>
      </c>
      <c r="AA6" s="72">
        <f>(1-$AL$3)*L6-Z6</f>
        <v>18.553751569069401</v>
      </c>
      <c r="AB6" s="72">
        <f t="shared" si="13"/>
        <v>3.1677777175068473</v>
      </c>
      <c r="AC6" s="72">
        <f t="shared" si="14"/>
        <v>0.18868182684282603</v>
      </c>
      <c r="AD6" s="73">
        <f>29000*$AL$9/8.31/(H6+273)*(1.01+0.622*X6/($AL$9-X6))</f>
        <v>1202.8522441146122</v>
      </c>
      <c r="AE6" s="71">
        <f t="shared" si="15"/>
        <v>48.313675164729368</v>
      </c>
      <c r="AF6" s="74">
        <f t="shared" si="16"/>
        <v>6.8603316541796584</v>
      </c>
      <c r="AG6" s="75">
        <f t="shared" si="17"/>
        <v>5.444641114310139</v>
      </c>
      <c r="AH6" s="76">
        <f t="shared" si="18"/>
        <v>4.3012267184041919</v>
      </c>
      <c r="AI6" s="77">
        <f t="shared" ref="AI6:AI9" si="19">(AC6*AA6+0.0864*AD6*Y6/AE6)/(AC6+0.067*(1+$AL$5/AE6))/2.45</f>
        <v>6.9191783702394876</v>
      </c>
      <c r="AJ6" s="44"/>
      <c r="AK6" s="42" t="s">
        <v>134</v>
      </c>
      <c r="AL6" s="45">
        <v>2</v>
      </c>
      <c r="AM6" s="42" t="s">
        <v>20</v>
      </c>
    </row>
    <row r="7" spans="1:39" ht="14.25" x14ac:dyDescent="0.45">
      <c r="A7" s="59">
        <f t="shared" si="0"/>
        <v>45751</v>
      </c>
      <c r="B7" s="60">
        <v>2025</v>
      </c>
      <c r="C7" s="60">
        <v>4</v>
      </c>
      <c r="D7" s="60">
        <v>4</v>
      </c>
      <c r="E7" s="61">
        <v>94</v>
      </c>
      <c r="F7" s="62">
        <v>35</v>
      </c>
      <c r="G7" s="62">
        <v>15</v>
      </c>
      <c r="H7" s="70">
        <f t="shared" si="1"/>
        <v>25</v>
      </c>
      <c r="I7" s="62">
        <v>98</v>
      </c>
      <c r="J7" s="62">
        <v>75</v>
      </c>
      <c r="K7" s="62">
        <v>1</v>
      </c>
      <c r="L7" s="62">
        <v>30</v>
      </c>
      <c r="M7" s="71">
        <f t="shared" si="2"/>
        <v>5.3023411029598471</v>
      </c>
      <c r="N7" s="72">
        <f t="shared" si="3"/>
        <v>9.2543526716992536E-2</v>
      </c>
      <c r="O7" s="72">
        <f>ACOS(-TAN($AL$7*3.1416/180)*TAN(N7))</f>
        <v>1.6456466444149545</v>
      </c>
      <c r="P7" s="72">
        <f t="shared" si="4"/>
        <v>0.99843826945641323</v>
      </c>
      <c r="Q7" s="71">
        <f>37.4*P7*(SIN($AL$7*3.1416/180)*SIN(N7)*O7+COS($AL$7*3.1416/180)*COS(N7)*SIN(O7))</f>
        <v>32.434660419010832</v>
      </c>
      <c r="R7" s="72">
        <f t="shared" si="5"/>
        <v>1</v>
      </c>
      <c r="S7" s="71">
        <f t="shared" si="6"/>
        <v>12.571784907677269</v>
      </c>
      <c r="T7" s="72">
        <f t="shared" si="7"/>
        <v>5.6226812384961216</v>
      </c>
      <c r="U7" s="72">
        <f t="shared" si="7"/>
        <v>1.7053462321157722</v>
      </c>
      <c r="V7" s="72">
        <f t="shared" si="8"/>
        <v>4.2170109288720914</v>
      </c>
      <c r="W7" s="72">
        <f t="shared" si="9"/>
        <v>1.6712393074734566</v>
      </c>
      <c r="X7" s="72">
        <f t="shared" si="10"/>
        <v>2.9441251181727739</v>
      </c>
      <c r="Y7" s="72">
        <f t="shared" si="11"/>
        <v>0.71988861713317309</v>
      </c>
      <c r="Z7" s="72">
        <f t="shared" si="12"/>
        <v>3.8557764635098803</v>
      </c>
      <c r="AA7" s="72">
        <f>(1-$AL$3)*L7-Z7</f>
        <v>19.244223536490122</v>
      </c>
      <c r="AB7" s="72">
        <f t="shared" si="13"/>
        <v>3.1677777175068473</v>
      </c>
      <c r="AC7" s="72">
        <f t="shared" si="14"/>
        <v>0.18868182684282603</v>
      </c>
      <c r="AD7" s="73">
        <f>29000*$AL$9/8.31/(H7+273)*(1.01+0.622*X7/($AL$9-X7))</f>
        <v>1206.0988078320233</v>
      </c>
      <c r="AE7" s="71">
        <f t="shared" si="15"/>
        <v>193.25470065891747</v>
      </c>
      <c r="AF7" s="74">
        <f t="shared" si="16"/>
        <v>5.8639999173037172</v>
      </c>
      <c r="AG7" s="75">
        <f t="shared" si="17"/>
        <v>5.4831128277392756</v>
      </c>
      <c r="AH7" s="76">
        <f t="shared" si="18"/>
        <v>4.3012267184041919</v>
      </c>
      <c r="AI7" s="77">
        <f t="shared" si="19"/>
        <v>5.8672184638494684</v>
      </c>
      <c r="AJ7" s="44"/>
      <c r="AK7" s="46" t="s">
        <v>135</v>
      </c>
      <c r="AL7" s="53">
        <v>38.86</v>
      </c>
      <c r="AM7" s="46" t="s">
        <v>136</v>
      </c>
    </row>
    <row r="8" spans="1:39" ht="14.25" x14ac:dyDescent="0.45">
      <c r="A8" s="59">
        <f t="shared" si="0"/>
        <v>45752</v>
      </c>
      <c r="B8" s="60">
        <v>2025</v>
      </c>
      <c r="C8" s="60">
        <v>4</v>
      </c>
      <c r="D8" s="60">
        <v>5</v>
      </c>
      <c r="E8" s="61">
        <v>95</v>
      </c>
      <c r="F8" s="62">
        <v>35</v>
      </c>
      <c r="G8" s="62">
        <v>15</v>
      </c>
      <c r="H8" s="70">
        <f t="shared" si="1"/>
        <v>25</v>
      </c>
      <c r="I8" s="62">
        <v>98</v>
      </c>
      <c r="J8" s="62">
        <v>75</v>
      </c>
      <c r="K8" s="62">
        <v>1</v>
      </c>
      <c r="L8" s="62">
        <v>30</v>
      </c>
      <c r="M8" s="71">
        <f t="shared" si="2"/>
        <v>5.6947554738502868</v>
      </c>
      <c r="N8" s="72">
        <f t="shared" si="3"/>
        <v>9.9392465536933663E-2</v>
      </c>
      <c r="O8" s="72">
        <f t="shared" ref="O8:O71" si="20">ACOS(-TAN($AL$7*3.1416/180)*TAN(N8))</f>
        <v>1.6512331680529722</v>
      </c>
      <c r="P8" s="72">
        <f t="shared" ref="P8:P71" si="21">1+0.033*COS(2*3.1416/365*E8)</f>
        <v>0.99787109523379836</v>
      </c>
      <c r="Q8" s="71">
        <f t="shared" ref="Q8:Q71" si="22">37.4*P8*(SIN($AL$7*3.1416/180)*SIN(N8)*O8+COS($AL$7*3.1416/180)*COS(N8)*SIN(O8))</f>
        <v>32.660367761035907</v>
      </c>
      <c r="R8" s="72">
        <f t="shared" ref="R8:R71" si="23">MIN(1,MAX(0,2*(L8/Q8-0.25)))</f>
        <v>1</v>
      </c>
      <c r="S8" s="71">
        <f t="shared" ref="S8:S71" si="24">O8*2*12/3.1416</f>
        <v>12.614462704759147</v>
      </c>
      <c r="T8" s="72">
        <f t="shared" ref="T8:T71" si="25">0.6108*EXP(17.27*F8/(237.3+F8))</f>
        <v>5.6226812384961216</v>
      </c>
      <c r="U8" s="72">
        <f t="shared" ref="U8:U71" si="26">0.6108*EXP(17.27*G8/(237.3+G8))</f>
        <v>1.7053462321157722</v>
      </c>
      <c r="V8" s="72">
        <f t="shared" ref="V8:V71" si="27">T8*J8/100</f>
        <v>4.2170109288720914</v>
      </c>
      <c r="W8" s="72">
        <f t="shared" ref="W8:W71" si="28">U8*I8/100</f>
        <v>1.6712393074734566</v>
      </c>
      <c r="X8" s="72">
        <f t="shared" ref="X8:X71" si="29">0.5*(V8+W8)</f>
        <v>2.9441251181727739</v>
      </c>
      <c r="Y8" s="72">
        <f t="shared" ref="Y8:Y71" si="30">0.5*(T8+U8)-X8</f>
        <v>0.71988861713317309</v>
      </c>
      <c r="Z8" s="72">
        <f t="shared" ref="Z8:Z71" si="31">(0.1+0.9*R8)*(0.34-0.14*SQRT(X8))*0.0000000049*(273+H8)^4</f>
        <v>3.8557764635098803</v>
      </c>
      <c r="AA8" s="72">
        <f t="shared" ref="AA8:AA71" si="32">(1-$AL$3)*L8-Z8</f>
        <v>19.244223536490122</v>
      </c>
      <c r="AB8" s="72">
        <f t="shared" ref="AB8:AB71" si="33">0.6108*EXP(17.27*H8/(237.3+H8))</f>
        <v>3.1677777175068473</v>
      </c>
      <c r="AC8" s="72">
        <f t="shared" ref="AC8:AC71" si="34">4098*AB8/(237.3+H8)^2</f>
        <v>0.18868182684282603</v>
      </c>
      <c r="AD8" s="73">
        <f t="shared" ref="AD8:AD71" si="35">29000*$AL$9/8.31/(H8+273)*(1.01+0.622*X8/($AL$9-X8))</f>
        <v>1206.0988078320233</v>
      </c>
      <c r="AE8" s="71">
        <f t="shared" si="15"/>
        <v>193.25470065891747</v>
      </c>
      <c r="AF8" s="74">
        <f t="shared" si="16"/>
        <v>5.8639999173037172</v>
      </c>
      <c r="AG8" s="75">
        <f t="shared" si="17"/>
        <v>5.5212688869174782</v>
      </c>
      <c r="AH8" s="76">
        <f t="shared" si="18"/>
        <v>4.3012267184041919</v>
      </c>
      <c r="AI8" s="77">
        <f t="shared" si="19"/>
        <v>5.8672184638494684</v>
      </c>
      <c r="AJ8" s="44"/>
      <c r="AK8" s="46" t="s">
        <v>137</v>
      </c>
      <c r="AL8" s="46">
        <v>100</v>
      </c>
      <c r="AM8" s="46" t="s">
        <v>20</v>
      </c>
    </row>
    <row r="9" spans="1:39" ht="15" customHeight="1" x14ac:dyDescent="0.55000000000000004">
      <c r="A9" s="59">
        <f t="shared" si="0"/>
        <v>45753</v>
      </c>
      <c r="B9" s="60">
        <v>2025</v>
      </c>
      <c r="C9" s="60">
        <v>4</v>
      </c>
      <c r="D9" s="60">
        <v>6</v>
      </c>
      <c r="E9" s="61">
        <v>96</v>
      </c>
      <c r="F9" s="62">
        <v>35</v>
      </c>
      <c r="G9" s="62">
        <v>15</v>
      </c>
      <c r="H9" s="70">
        <f t="shared" si="1"/>
        <v>25</v>
      </c>
      <c r="I9" s="62">
        <v>98</v>
      </c>
      <c r="J9" s="62">
        <v>75</v>
      </c>
      <c r="K9" s="62">
        <v>1</v>
      </c>
      <c r="L9" s="62">
        <v>30</v>
      </c>
      <c r="M9" s="71">
        <f t="shared" si="2"/>
        <v>6.0854823578990018</v>
      </c>
      <c r="N9" s="72">
        <f t="shared" si="3"/>
        <v>0.10621195208653057</v>
      </c>
      <c r="O9" s="72">
        <f t="shared" si="20"/>
        <v>1.6568057602242068</v>
      </c>
      <c r="P9" s="72">
        <f t="shared" si="21"/>
        <v>0.99730455185456146</v>
      </c>
      <c r="Q9" s="71">
        <f t="shared" si="22"/>
        <v>32.884142726293142</v>
      </c>
      <c r="R9" s="72">
        <f t="shared" si="23"/>
        <v>1</v>
      </c>
      <c r="S9" s="71">
        <f t="shared" si="24"/>
        <v>12.657034073523352</v>
      </c>
      <c r="T9" s="72">
        <f t="shared" si="25"/>
        <v>5.6226812384961216</v>
      </c>
      <c r="U9" s="72">
        <f t="shared" si="26"/>
        <v>1.7053462321157722</v>
      </c>
      <c r="V9" s="72">
        <f t="shared" si="27"/>
        <v>4.2170109288720914</v>
      </c>
      <c r="W9" s="72">
        <f t="shared" si="28"/>
        <v>1.6712393074734566</v>
      </c>
      <c r="X9" s="72">
        <f t="shared" si="29"/>
        <v>2.9441251181727739</v>
      </c>
      <c r="Y9" s="72">
        <f t="shared" si="30"/>
        <v>0.71988861713317309</v>
      </c>
      <c r="Z9" s="72">
        <f t="shared" si="31"/>
        <v>3.8557764635098803</v>
      </c>
      <c r="AA9" s="72">
        <f t="shared" si="32"/>
        <v>19.244223536490122</v>
      </c>
      <c r="AB9" s="72">
        <f t="shared" si="33"/>
        <v>3.1677777175068473</v>
      </c>
      <c r="AC9" s="72">
        <f t="shared" si="34"/>
        <v>0.18868182684282603</v>
      </c>
      <c r="AD9" s="73">
        <f t="shared" si="35"/>
        <v>1206.0988078320233</v>
      </c>
      <c r="AE9" s="71">
        <f t="shared" ref="AE9:AE72" si="36">LN(($AL$6-0.65*$AL$4)/0.13/$AL$4)*LN(($AL$6-0.65*$AL$4)/0.13/$AL$4/0.2)/0.4^2/K9</f>
        <v>193.25470065891747</v>
      </c>
      <c r="AF9" s="74">
        <f t="shared" ref="AF9:AF72" si="37">(AC9*AA9+0.5*Y9*K9)/2.45/(AC9+0.067*(1+0.33*K9))</f>
        <v>5.8639999173037172</v>
      </c>
      <c r="AG9" s="75">
        <f t="shared" ref="AG9:AG72" si="38">0.00552*Q9*(H9+17.8)*SQRT(F9-G9)*$AL$11</f>
        <v>5.5590982758081866</v>
      </c>
      <c r="AH9" s="76">
        <f t="shared" ref="AH9:AH72" si="39">0.68/2.45*AC9/(0.067+AC9)*0.7*L9</f>
        <v>4.3012267184041919</v>
      </c>
      <c r="AI9" s="77">
        <f t="shared" si="19"/>
        <v>5.8672184638494684</v>
      </c>
      <c r="AK9" s="47" t="s">
        <v>138</v>
      </c>
      <c r="AL9" s="48">
        <f>101.3*(1-AL8/44308)^5.2568</f>
        <v>100.10391330946584</v>
      </c>
      <c r="AM9" s="49" t="s">
        <v>126</v>
      </c>
    </row>
    <row r="10" spans="1:39" ht="15" customHeight="1" x14ac:dyDescent="0.45">
      <c r="A10" s="59">
        <f t="shared" si="0"/>
        <v>45754</v>
      </c>
      <c r="B10" s="60">
        <v>2025</v>
      </c>
      <c r="C10" s="60">
        <v>4</v>
      </c>
      <c r="D10" s="60">
        <v>7</v>
      </c>
      <c r="E10" s="61">
        <v>97</v>
      </c>
      <c r="F10" s="62">
        <v>35</v>
      </c>
      <c r="G10" s="62">
        <v>15</v>
      </c>
      <c r="H10" s="70">
        <f t="shared" si="1"/>
        <v>25</v>
      </c>
      <c r="I10" s="62">
        <v>98</v>
      </c>
      <c r="J10" s="62">
        <v>75</v>
      </c>
      <c r="K10" s="62">
        <v>1</v>
      </c>
      <c r="L10" s="62">
        <v>30</v>
      </c>
      <c r="M10" s="71">
        <f t="shared" si="2"/>
        <v>6.4744059737561921</v>
      </c>
      <c r="N10" s="72">
        <f t="shared" si="3"/>
        <v>0.11299996559529141</v>
      </c>
      <c r="O10" s="72">
        <f t="shared" si="20"/>
        <v>1.662363352132167</v>
      </c>
      <c r="P10" s="72">
        <f t="shared" si="21"/>
        <v>0.99673880719851815</v>
      </c>
      <c r="Q10" s="71">
        <f t="shared" si="22"/>
        <v>33.105921914875175</v>
      </c>
      <c r="R10" s="72">
        <f t="shared" si="23"/>
        <v>1</v>
      </c>
      <c r="S10" s="71">
        <f t="shared" si="24"/>
        <v>12.699490848985233</v>
      </c>
      <c r="T10" s="72">
        <f t="shared" si="25"/>
        <v>5.6226812384961216</v>
      </c>
      <c r="U10" s="72">
        <f t="shared" si="26"/>
        <v>1.7053462321157722</v>
      </c>
      <c r="V10" s="72">
        <f t="shared" si="27"/>
        <v>4.2170109288720914</v>
      </c>
      <c r="W10" s="72">
        <f t="shared" si="28"/>
        <v>1.6712393074734566</v>
      </c>
      <c r="X10" s="72">
        <f t="shared" si="29"/>
        <v>2.9441251181727739</v>
      </c>
      <c r="Y10" s="72">
        <f t="shared" si="30"/>
        <v>0.71988861713317309</v>
      </c>
      <c r="Z10" s="72">
        <f t="shared" si="31"/>
        <v>3.8557764635098803</v>
      </c>
      <c r="AA10" s="72">
        <f t="shared" si="32"/>
        <v>19.244223536490122</v>
      </c>
      <c r="AB10" s="72">
        <f t="shared" si="33"/>
        <v>3.1677777175068473</v>
      </c>
      <c r="AC10" s="72">
        <f t="shared" si="34"/>
        <v>0.18868182684282603</v>
      </c>
      <c r="AD10" s="73">
        <f t="shared" si="35"/>
        <v>1206.0988078320233</v>
      </c>
      <c r="AE10" s="71">
        <f t="shared" si="36"/>
        <v>193.25470065891747</v>
      </c>
      <c r="AF10" s="74">
        <f t="shared" si="37"/>
        <v>5.8639999173037172</v>
      </c>
      <c r="AG10" s="75">
        <f t="shared" si="38"/>
        <v>5.5965902765916136</v>
      </c>
      <c r="AH10" s="76">
        <f t="shared" si="39"/>
        <v>4.3012267184041919</v>
      </c>
      <c r="AI10" s="77">
        <f t="shared" ref="AI10:AI73" si="40">(AC10*AA10+0.0864*AD10*Y10/AE10)/(AC10+0.067*(1+$AL$5/AE10))/2.45</f>
        <v>5.8672184638494684</v>
      </c>
    </row>
    <row r="11" spans="1:39" ht="15.75" x14ac:dyDescent="0.55000000000000004">
      <c r="A11" s="59">
        <f t="shared" si="0"/>
        <v>45755</v>
      </c>
      <c r="B11" s="60">
        <v>2025</v>
      </c>
      <c r="C11" s="60">
        <v>4</v>
      </c>
      <c r="D11" s="60">
        <v>8</v>
      </c>
      <c r="E11" s="61">
        <v>98</v>
      </c>
      <c r="F11" s="62">
        <v>35</v>
      </c>
      <c r="G11" s="62">
        <v>15</v>
      </c>
      <c r="H11" s="70">
        <f t="shared" si="1"/>
        <v>25</v>
      </c>
      <c r="I11" s="62">
        <v>98</v>
      </c>
      <c r="J11" s="62">
        <v>75</v>
      </c>
      <c r="K11" s="62">
        <v>1</v>
      </c>
      <c r="L11" s="62">
        <v>30</v>
      </c>
      <c r="M11" s="71">
        <f t="shared" si="2"/>
        <v>6.8614110744218406</v>
      </c>
      <c r="N11" s="72">
        <f t="shared" si="3"/>
        <v>0.11975449461890919</v>
      </c>
      <c r="O11" s="72">
        <f t="shared" si="20"/>
        <v>1.6679048569338875</v>
      </c>
      <c r="P11" s="72">
        <f t="shared" si="21"/>
        <v>0.99617402890880358</v>
      </c>
      <c r="Q11" s="71">
        <f t="shared" si="22"/>
        <v>33.325643707726044</v>
      </c>
      <c r="R11" s="72">
        <f t="shared" si="23"/>
        <v>1</v>
      </c>
      <c r="S11" s="71">
        <f t="shared" si="24"/>
        <v>12.741824728295549</v>
      </c>
      <c r="T11" s="72">
        <f t="shared" si="25"/>
        <v>5.6226812384961216</v>
      </c>
      <c r="U11" s="72">
        <f t="shared" si="26"/>
        <v>1.7053462321157722</v>
      </c>
      <c r="V11" s="72">
        <f t="shared" si="27"/>
        <v>4.2170109288720914</v>
      </c>
      <c r="W11" s="72">
        <f t="shared" si="28"/>
        <v>1.6712393074734566</v>
      </c>
      <c r="X11" s="72">
        <f t="shared" si="29"/>
        <v>2.9441251181727739</v>
      </c>
      <c r="Y11" s="72">
        <f t="shared" si="30"/>
        <v>0.71988861713317309</v>
      </c>
      <c r="Z11" s="72">
        <f t="shared" si="31"/>
        <v>3.8557764635098803</v>
      </c>
      <c r="AA11" s="72">
        <f t="shared" si="32"/>
        <v>19.244223536490122</v>
      </c>
      <c r="AB11" s="72">
        <f t="shared" si="33"/>
        <v>3.1677777175068473</v>
      </c>
      <c r="AC11" s="72">
        <f t="shared" si="34"/>
        <v>0.18868182684282603</v>
      </c>
      <c r="AD11" s="73">
        <f t="shared" si="35"/>
        <v>1206.0988078320233</v>
      </c>
      <c r="AE11" s="71">
        <f t="shared" si="36"/>
        <v>193.25470065891747</v>
      </c>
      <c r="AF11" s="74">
        <f t="shared" si="37"/>
        <v>5.8639999173037172</v>
      </c>
      <c r="AG11" s="75">
        <f t="shared" si="38"/>
        <v>5.633734472502737</v>
      </c>
      <c r="AH11" s="76">
        <f t="shared" si="39"/>
        <v>4.3012267184041919</v>
      </c>
      <c r="AI11" s="77">
        <f t="shared" si="40"/>
        <v>5.8672184638494684</v>
      </c>
      <c r="AK11" s="50" t="s">
        <v>139</v>
      </c>
      <c r="AL11" s="51">
        <v>0.16</v>
      </c>
      <c r="AM11" s="42" t="s">
        <v>119</v>
      </c>
    </row>
    <row r="12" spans="1:39" ht="15" customHeight="1" x14ac:dyDescent="0.45">
      <c r="A12" s="59">
        <f t="shared" si="0"/>
        <v>45756</v>
      </c>
      <c r="B12" s="60">
        <v>2025</v>
      </c>
      <c r="C12" s="60">
        <v>4</v>
      </c>
      <c r="D12" s="60">
        <v>9</v>
      </c>
      <c r="E12" s="61">
        <v>99</v>
      </c>
      <c r="F12" s="62">
        <v>35</v>
      </c>
      <c r="G12" s="62">
        <v>15</v>
      </c>
      <c r="H12" s="70">
        <f t="shared" si="1"/>
        <v>25</v>
      </c>
      <c r="I12" s="62">
        <v>98</v>
      </c>
      <c r="J12" s="62">
        <v>75</v>
      </c>
      <c r="K12" s="62">
        <v>1</v>
      </c>
      <c r="L12" s="62">
        <v>30</v>
      </c>
      <c r="M12" s="71">
        <f t="shared" si="2"/>
        <v>7.246382981396045</v>
      </c>
      <c r="N12" s="72">
        <f t="shared" si="3"/>
        <v>0.12647353763529895</v>
      </c>
      <c r="O12" s="72">
        <f t="shared" si="20"/>
        <v>1.6734291687222207</v>
      </c>
      <c r="P12" s="72">
        <f t="shared" si="21"/>
        <v>0.99561038434219673</v>
      </c>
      <c r="Q12" s="71">
        <f t="shared" si="22"/>
        <v>33.543248280269559</v>
      </c>
      <c r="R12" s="72">
        <f t="shared" si="23"/>
        <v>1</v>
      </c>
      <c r="S12" s="71">
        <f t="shared" si="24"/>
        <v>12.784027262965781</v>
      </c>
      <c r="T12" s="72">
        <f t="shared" si="25"/>
        <v>5.6226812384961216</v>
      </c>
      <c r="U12" s="72">
        <f t="shared" si="26"/>
        <v>1.7053462321157722</v>
      </c>
      <c r="V12" s="72">
        <f t="shared" si="27"/>
        <v>4.2170109288720914</v>
      </c>
      <c r="W12" s="72">
        <f t="shared" si="28"/>
        <v>1.6712393074734566</v>
      </c>
      <c r="X12" s="72">
        <f t="shared" si="29"/>
        <v>2.9441251181727739</v>
      </c>
      <c r="Y12" s="72">
        <f t="shared" si="30"/>
        <v>0.71988861713317309</v>
      </c>
      <c r="Z12" s="72">
        <f t="shared" si="31"/>
        <v>3.8557764635098803</v>
      </c>
      <c r="AA12" s="72">
        <f t="shared" si="32"/>
        <v>19.244223536490122</v>
      </c>
      <c r="AB12" s="72">
        <f t="shared" si="33"/>
        <v>3.1677777175068473</v>
      </c>
      <c r="AC12" s="72">
        <f t="shared" si="34"/>
        <v>0.18868182684282603</v>
      </c>
      <c r="AD12" s="73">
        <f t="shared" si="35"/>
        <v>1206.0988078320233</v>
      </c>
      <c r="AE12" s="71">
        <f t="shared" si="36"/>
        <v>193.25470065891747</v>
      </c>
      <c r="AF12" s="74">
        <f t="shared" si="37"/>
        <v>5.8639999173037172</v>
      </c>
      <c r="AG12" s="75">
        <f t="shared" si="38"/>
        <v>5.6705207501351893</v>
      </c>
      <c r="AH12" s="76">
        <f t="shared" si="39"/>
        <v>4.3012267184041919</v>
      </c>
      <c r="AI12" s="77">
        <f t="shared" si="40"/>
        <v>5.8672184638494684</v>
      </c>
    </row>
    <row r="13" spans="1:39" ht="14.25" x14ac:dyDescent="0.45">
      <c r="A13" s="59">
        <f t="shared" si="0"/>
        <v>45757</v>
      </c>
      <c r="B13" s="60">
        <v>2025</v>
      </c>
      <c r="C13" s="60">
        <v>4</v>
      </c>
      <c r="D13" s="60">
        <v>10</v>
      </c>
      <c r="E13" s="61">
        <v>100</v>
      </c>
      <c r="F13" s="62">
        <v>35</v>
      </c>
      <c r="G13" s="62">
        <v>15</v>
      </c>
      <c r="H13" s="70">
        <f t="shared" si="1"/>
        <v>25</v>
      </c>
      <c r="I13" s="62">
        <v>98</v>
      </c>
      <c r="J13" s="62">
        <v>75</v>
      </c>
      <c r="K13" s="62">
        <v>1</v>
      </c>
      <c r="L13" s="62">
        <v>30</v>
      </c>
      <c r="M13" s="71">
        <f t="shared" si="2"/>
        <v>7.629207618660895</v>
      </c>
      <c r="N13" s="72">
        <f t="shared" si="3"/>
        <v>0.13315510363769481</v>
      </c>
      <c r="O13" s="72">
        <f t="shared" si="20"/>
        <v>1.6789351615418948</v>
      </c>
      <c r="P13" s="72">
        <f t="shared" si="21"/>
        <v>0.99504804051952811</v>
      </c>
      <c r="Q13" s="71">
        <f t="shared" si="22"/>
        <v>33.758677612893059</v>
      </c>
      <c r="R13" s="72">
        <f t="shared" si="23"/>
        <v>1</v>
      </c>
      <c r="S13" s="71">
        <f t="shared" si="24"/>
        <v>12.826089851351375</v>
      </c>
      <c r="T13" s="72">
        <f t="shared" si="25"/>
        <v>5.6226812384961216</v>
      </c>
      <c r="U13" s="72">
        <f t="shared" si="26"/>
        <v>1.7053462321157722</v>
      </c>
      <c r="V13" s="72">
        <f t="shared" si="27"/>
        <v>4.2170109288720914</v>
      </c>
      <c r="W13" s="72">
        <f t="shared" si="28"/>
        <v>1.6712393074734566</v>
      </c>
      <c r="X13" s="72">
        <f t="shared" si="29"/>
        <v>2.9441251181727739</v>
      </c>
      <c r="Y13" s="72">
        <f t="shared" si="30"/>
        <v>0.71988861713317309</v>
      </c>
      <c r="Z13" s="72">
        <f t="shared" si="31"/>
        <v>3.8557764635098803</v>
      </c>
      <c r="AA13" s="72">
        <f t="shared" si="32"/>
        <v>19.244223536490122</v>
      </c>
      <c r="AB13" s="72">
        <f t="shared" si="33"/>
        <v>3.1677777175068473</v>
      </c>
      <c r="AC13" s="72">
        <f t="shared" si="34"/>
        <v>0.18868182684282603</v>
      </c>
      <c r="AD13" s="73">
        <f t="shared" si="35"/>
        <v>1206.0988078320233</v>
      </c>
      <c r="AE13" s="71">
        <f t="shared" si="36"/>
        <v>193.25470065891747</v>
      </c>
      <c r="AF13" s="74">
        <f t="shared" si="37"/>
        <v>5.8639999173037172</v>
      </c>
      <c r="AG13" s="75">
        <f t="shared" si="38"/>
        <v>5.7069393012135565</v>
      </c>
      <c r="AH13" s="76">
        <f t="shared" si="39"/>
        <v>4.3012267184041919</v>
      </c>
      <c r="AI13" s="77">
        <f t="shared" si="40"/>
        <v>5.8672184638494684</v>
      </c>
      <c r="AJ13" s="43"/>
      <c r="AK13" s="43" t="s">
        <v>140</v>
      </c>
      <c r="AL13" s="43" t="s">
        <v>141</v>
      </c>
      <c r="AM13" s="43" t="s">
        <v>142</v>
      </c>
    </row>
    <row r="14" spans="1:39" ht="15" customHeight="1" x14ac:dyDescent="0.45">
      <c r="A14" s="59">
        <f t="shared" si="0"/>
        <v>45758</v>
      </c>
      <c r="B14" s="60">
        <v>2025</v>
      </c>
      <c r="C14" s="60">
        <v>4</v>
      </c>
      <c r="D14" s="60">
        <v>11</v>
      </c>
      <c r="E14" s="61">
        <v>101</v>
      </c>
      <c r="F14" s="62">
        <v>35</v>
      </c>
      <c r="G14" s="62">
        <v>15</v>
      </c>
      <c r="H14" s="70">
        <f t="shared" si="1"/>
        <v>25</v>
      </c>
      <c r="I14" s="62">
        <v>98</v>
      </c>
      <c r="J14" s="62">
        <v>75</v>
      </c>
      <c r="K14" s="62">
        <v>1</v>
      </c>
      <c r="L14" s="62">
        <v>30</v>
      </c>
      <c r="M14" s="71">
        <f t="shared" si="2"/>
        <v>8.0097715464837993</v>
      </c>
      <c r="N14" s="72">
        <f t="shared" si="3"/>
        <v>0.13979721272463055</v>
      </c>
      <c r="O14" s="72">
        <f t="shared" si="20"/>
        <v>1.684421688442062</v>
      </c>
      <c r="P14" s="72">
        <f t="shared" si="21"/>
        <v>0.9944871640761882</v>
      </c>
      <c r="Q14" s="71">
        <f t="shared" si="22"/>
        <v>33.971875498310233</v>
      </c>
      <c r="R14" s="72">
        <f t="shared" si="23"/>
        <v>1</v>
      </c>
      <c r="S14" s="71">
        <f t="shared" si="24"/>
        <v>12.868003731413767</v>
      </c>
      <c r="T14" s="72">
        <f t="shared" si="25"/>
        <v>5.6226812384961216</v>
      </c>
      <c r="U14" s="72">
        <f t="shared" si="26"/>
        <v>1.7053462321157722</v>
      </c>
      <c r="V14" s="72">
        <f t="shared" si="27"/>
        <v>4.2170109288720914</v>
      </c>
      <c r="W14" s="72">
        <f t="shared" si="28"/>
        <v>1.6712393074734566</v>
      </c>
      <c r="X14" s="72">
        <f t="shared" si="29"/>
        <v>2.9441251181727739</v>
      </c>
      <c r="Y14" s="72">
        <f t="shared" si="30"/>
        <v>0.71988861713317309</v>
      </c>
      <c r="Z14" s="72">
        <f t="shared" si="31"/>
        <v>3.8557764635098803</v>
      </c>
      <c r="AA14" s="72">
        <f t="shared" si="32"/>
        <v>19.244223536490122</v>
      </c>
      <c r="AB14" s="72">
        <f t="shared" si="33"/>
        <v>3.1677777175068473</v>
      </c>
      <c r="AC14" s="72">
        <f t="shared" si="34"/>
        <v>0.18868182684282603</v>
      </c>
      <c r="AD14" s="73">
        <f t="shared" si="35"/>
        <v>1206.0988078320233</v>
      </c>
      <c r="AE14" s="71">
        <f t="shared" si="36"/>
        <v>193.25470065891747</v>
      </c>
      <c r="AF14" s="74">
        <f t="shared" si="37"/>
        <v>5.8639999173037172</v>
      </c>
      <c r="AG14" s="75">
        <f t="shared" si="38"/>
        <v>5.7429806238380596</v>
      </c>
      <c r="AH14" s="76">
        <f t="shared" si="39"/>
        <v>4.3012267184041919</v>
      </c>
      <c r="AI14" s="77">
        <f t="shared" si="40"/>
        <v>5.8672184638494684</v>
      </c>
      <c r="AJ14" s="43"/>
      <c r="AK14" s="43"/>
      <c r="AL14" s="43"/>
      <c r="AM14" s="43" t="s">
        <v>143</v>
      </c>
    </row>
    <row r="15" spans="1:39" ht="15" customHeight="1" x14ac:dyDescent="0.45">
      <c r="A15" s="59">
        <f t="shared" si="0"/>
        <v>45759</v>
      </c>
      <c r="B15" s="60">
        <v>2025</v>
      </c>
      <c r="C15" s="60">
        <v>4</v>
      </c>
      <c r="D15" s="60">
        <v>12</v>
      </c>
      <c r="E15" s="61">
        <v>102</v>
      </c>
      <c r="F15" s="62">
        <v>35</v>
      </c>
      <c r="G15" s="62">
        <v>15</v>
      </c>
      <c r="H15" s="70">
        <f t="shared" si="1"/>
        <v>25</v>
      </c>
      <c r="I15" s="62">
        <v>98</v>
      </c>
      <c r="J15" s="62">
        <v>75</v>
      </c>
      <c r="K15" s="62">
        <v>1</v>
      </c>
      <c r="L15" s="62">
        <v>30</v>
      </c>
      <c r="M15" s="71">
        <f t="shared" si="2"/>
        <v>8.3879619950323114</v>
      </c>
      <c r="N15" s="72">
        <f t="shared" si="3"/>
        <v>0.14639789668663061</v>
      </c>
      <c r="O15" s="72">
        <f t="shared" si="20"/>
        <v>1.6898875805681604</v>
      </c>
      <c r="P15" s="72">
        <f t="shared" si="21"/>
        <v>0.99392792121274909</v>
      </c>
      <c r="Q15" s="71">
        <f t="shared" si="22"/>
        <v>34.182787545834465</v>
      </c>
      <c r="R15" s="72">
        <f t="shared" si="23"/>
        <v>1</v>
      </c>
      <c r="S15" s="71">
        <f t="shared" si="24"/>
        <v>12.909759973782737</v>
      </c>
      <c r="T15" s="72">
        <f t="shared" si="25"/>
        <v>5.6226812384961216</v>
      </c>
      <c r="U15" s="72">
        <f t="shared" si="26"/>
        <v>1.7053462321157722</v>
      </c>
      <c r="V15" s="72">
        <f t="shared" si="27"/>
        <v>4.2170109288720914</v>
      </c>
      <c r="W15" s="72">
        <f t="shared" si="28"/>
        <v>1.6712393074734566</v>
      </c>
      <c r="X15" s="72">
        <f t="shared" si="29"/>
        <v>2.9441251181727739</v>
      </c>
      <c r="Y15" s="72">
        <f t="shared" si="30"/>
        <v>0.71988861713317309</v>
      </c>
      <c r="Z15" s="72">
        <f t="shared" si="31"/>
        <v>3.8557764635098803</v>
      </c>
      <c r="AA15" s="72">
        <f t="shared" si="32"/>
        <v>19.244223536490122</v>
      </c>
      <c r="AB15" s="72">
        <f t="shared" si="33"/>
        <v>3.1677777175068473</v>
      </c>
      <c r="AC15" s="72">
        <f t="shared" si="34"/>
        <v>0.18868182684282603</v>
      </c>
      <c r="AD15" s="73">
        <f t="shared" si="35"/>
        <v>1206.0988078320233</v>
      </c>
      <c r="AE15" s="71">
        <f t="shared" si="36"/>
        <v>193.25470065891747</v>
      </c>
      <c r="AF15" s="74">
        <f t="shared" si="37"/>
        <v>5.8639999173037172</v>
      </c>
      <c r="AG15" s="75">
        <f t="shared" si="38"/>
        <v>5.7786355232069786</v>
      </c>
      <c r="AH15" s="76">
        <f t="shared" si="39"/>
        <v>4.3012267184041919</v>
      </c>
      <c r="AI15" s="77">
        <f t="shared" si="40"/>
        <v>5.8672184638494684</v>
      </c>
      <c r="AJ15" s="52" t="s">
        <v>131</v>
      </c>
      <c r="AK15" s="43">
        <v>0.23</v>
      </c>
      <c r="AL15" s="43">
        <v>0.1</v>
      </c>
      <c r="AM15" s="43">
        <v>0.14000000000000001</v>
      </c>
    </row>
    <row r="16" spans="1:39" ht="15" customHeight="1" x14ac:dyDescent="0.45">
      <c r="A16" s="59">
        <f t="shared" si="0"/>
        <v>45760</v>
      </c>
      <c r="B16" s="60">
        <v>2025</v>
      </c>
      <c r="C16" s="60">
        <v>4</v>
      </c>
      <c r="D16" s="60">
        <v>13</v>
      </c>
      <c r="E16" s="61">
        <v>103</v>
      </c>
      <c r="F16" s="62">
        <v>35</v>
      </c>
      <c r="G16" s="62">
        <v>15</v>
      </c>
      <c r="H16" s="70">
        <f t="shared" si="1"/>
        <v>25</v>
      </c>
      <c r="I16" s="62">
        <v>98</v>
      </c>
      <c r="J16" s="62">
        <v>75</v>
      </c>
      <c r="K16" s="62">
        <v>1</v>
      </c>
      <c r="L16" s="62">
        <v>30</v>
      </c>
      <c r="M16" s="71">
        <f t="shared" si="2"/>
        <v>8.7636668977904044</v>
      </c>
      <c r="N16" s="72">
        <f t="shared" si="3"/>
        <v>0.15295519958943518</v>
      </c>
      <c r="O16" s="72">
        <f t="shared" si="20"/>
        <v>1.6953316462960086</v>
      </c>
      <c r="P16" s="72">
        <f t="shared" si="21"/>
        <v>0.99337047764571573</v>
      </c>
      <c r="Q16" s="71">
        <f t="shared" si="22"/>
        <v>34.391361182602445</v>
      </c>
      <c r="R16" s="72">
        <f t="shared" si="23"/>
        <v>1</v>
      </c>
      <c r="S16" s="71">
        <f t="shared" si="24"/>
        <v>12.951349475141397</v>
      </c>
      <c r="T16" s="72">
        <f t="shared" si="25"/>
        <v>5.6226812384961216</v>
      </c>
      <c r="U16" s="72">
        <f t="shared" si="26"/>
        <v>1.7053462321157722</v>
      </c>
      <c r="V16" s="72">
        <f t="shared" si="27"/>
        <v>4.2170109288720914</v>
      </c>
      <c r="W16" s="72">
        <f t="shared" si="28"/>
        <v>1.6712393074734566</v>
      </c>
      <c r="X16" s="72">
        <f t="shared" si="29"/>
        <v>2.9441251181727739</v>
      </c>
      <c r="Y16" s="72">
        <f t="shared" si="30"/>
        <v>0.71988861713317309</v>
      </c>
      <c r="Z16" s="72">
        <f t="shared" si="31"/>
        <v>3.8557764635098803</v>
      </c>
      <c r="AA16" s="72">
        <f t="shared" si="32"/>
        <v>19.244223536490122</v>
      </c>
      <c r="AB16" s="72">
        <f t="shared" si="33"/>
        <v>3.1677777175068473</v>
      </c>
      <c r="AC16" s="72">
        <f t="shared" si="34"/>
        <v>0.18868182684282603</v>
      </c>
      <c r="AD16" s="73">
        <f t="shared" si="35"/>
        <v>1206.0988078320233</v>
      </c>
      <c r="AE16" s="71">
        <f t="shared" si="36"/>
        <v>193.25470065891747</v>
      </c>
      <c r="AF16" s="74">
        <f t="shared" si="37"/>
        <v>5.8639999173037172</v>
      </c>
      <c r="AG16" s="75">
        <f t="shared" si="38"/>
        <v>5.8138951118234949</v>
      </c>
      <c r="AH16" s="76">
        <f t="shared" si="39"/>
        <v>4.3012267184041919</v>
      </c>
      <c r="AI16" s="77">
        <f t="shared" si="40"/>
        <v>5.8672184638494684</v>
      </c>
      <c r="AJ16" s="52" t="s">
        <v>132</v>
      </c>
      <c r="AK16" s="43">
        <v>0.12</v>
      </c>
      <c r="AL16" s="43">
        <v>1.5E-3</v>
      </c>
      <c r="AM16" s="43">
        <v>0.01</v>
      </c>
    </row>
    <row r="17" spans="1:39" ht="15" customHeight="1" x14ac:dyDescent="0.55000000000000004">
      <c r="A17" s="59">
        <f t="shared" si="0"/>
        <v>45761</v>
      </c>
      <c r="B17" s="60">
        <v>2025</v>
      </c>
      <c r="C17" s="60">
        <v>4</v>
      </c>
      <c r="D17" s="60">
        <v>14</v>
      </c>
      <c r="E17" s="61">
        <v>104</v>
      </c>
      <c r="F17" s="62">
        <v>35</v>
      </c>
      <c r="G17" s="62">
        <v>15</v>
      </c>
      <c r="H17" s="70">
        <f t="shared" si="1"/>
        <v>25</v>
      </c>
      <c r="I17" s="62">
        <v>98</v>
      </c>
      <c r="J17" s="62">
        <v>75</v>
      </c>
      <c r="K17" s="62">
        <v>1</v>
      </c>
      <c r="L17" s="62">
        <v>30</v>
      </c>
      <c r="M17" s="71">
        <f t="shared" si="2"/>
        <v>9.1367749247663497</v>
      </c>
      <c r="N17" s="72">
        <f t="shared" si="3"/>
        <v>0.15946717835358867</v>
      </c>
      <c r="O17" s="72">
        <f t="shared" si="20"/>
        <v>1.7007526704111635</v>
      </c>
      <c r="P17" s="72">
        <f t="shared" si="21"/>
        <v>0.99281499855842004</v>
      </c>
      <c r="Q17" s="71">
        <f t="shared" si="22"/>
        <v>34.597545651795663</v>
      </c>
      <c r="R17" s="72">
        <f t="shared" si="23"/>
        <v>1</v>
      </c>
      <c r="S17" s="71">
        <f t="shared" si="24"/>
        <v>12.992762951956941</v>
      </c>
      <c r="T17" s="72">
        <f t="shared" si="25"/>
        <v>5.6226812384961216</v>
      </c>
      <c r="U17" s="72">
        <f t="shared" si="26"/>
        <v>1.7053462321157722</v>
      </c>
      <c r="V17" s="72">
        <f t="shared" si="27"/>
        <v>4.2170109288720914</v>
      </c>
      <c r="W17" s="72">
        <f t="shared" si="28"/>
        <v>1.6712393074734566</v>
      </c>
      <c r="X17" s="72">
        <f t="shared" si="29"/>
        <v>2.9441251181727739</v>
      </c>
      <c r="Y17" s="72">
        <f t="shared" si="30"/>
        <v>0.71988861713317309</v>
      </c>
      <c r="Z17" s="72">
        <f t="shared" si="31"/>
        <v>3.8557764635098803</v>
      </c>
      <c r="AA17" s="72">
        <f t="shared" si="32"/>
        <v>19.244223536490122</v>
      </c>
      <c r="AB17" s="72">
        <f t="shared" si="33"/>
        <v>3.1677777175068473</v>
      </c>
      <c r="AC17" s="72">
        <f t="shared" si="34"/>
        <v>0.18868182684282603</v>
      </c>
      <c r="AD17" s="73">
        <f t="shared" si="35"/>
        <v>1206.0988078320233</v>
      </c>
      <c r="AE17" s="71">
        <f t="shared" si="36"/>
        <v>193.25470065891747</v>
      </c>
      <c r="AF17" s="74">
        <f t="shared" si="37"/>
        <v>5.8639999173037172</v>
      </c>
      <c r="AG17" s="75">
        <f t="shared" si="38"/>
        <v>5.8487508091950433</v>
      </c>
      <c r="AH17" s="76">
        <f t="shared" si="39"/>
        <v>4.3012267184041919</v>
      </c>
      <c r="AI17" s="77">
        <f t="shared" si="40"/>
        <v>5.8672184638494684</v>
      </c>
      <c r="AJ17" s="52" t="s">
        <v>144</v>
      </c>
      <c r="AK17" s="43">
        <v>69</v>
      </c>
      <c r="AL17" s="43">
        <v>0</v>
      </c>
      <c r="AM17" s="43">
        <v>20</v>
      </c>
    </row>
    <row r="18" spans="1:39" ht="15" customHeight="1" x14ac:dyDescent="0.45">
      <c r="A18" s="59">
        <f t="shared" si="0"/>
        <v>45762</v>
      </c>
      <c r="B18" s="60">
        <v>2025</v>
      </c>
      <c r="C18" s="60">
        <v>4</v>
      </c>
      <c r="D18" s="60">
        <v>15</v>
      </c>
      <c r="E18" s="61">
        <v>105</v>
      </c>
      <c r="F18" s="62">
        <v>35</v>
      </c>
      <c r="G18" s="62">
        <v>15</v>
      </c>
      <c r="H18" s="70">
        <f t="shared" si="1"/>
        <v>25</v>
      </c>
      <c r="I18" s="62">
        <v>98</v>
      </c>
      <c r="J18" s="62">
        <v>75</v>
      </c>
      <c r="K18" s="62">
        <v>1</v>
      </c>
      <c r="L18" s="62">
        <v>30</v>
      </c>
      <c r="M18" s="71">
        <f t="shared" si="2"/>
        <v>9.5071755154823645</v>
      </c>
      <c r="N18" s="72">
        <f t="shared" si="3"/>
        <v>0.16593190333021887</v>
      </c>
      <c r="O18" s="72">
        <f t="shared" si="20"/>
        <v>1.7061494133366615</v>
      </c>
      <c r="P18" s="72">
        <f t="shared" si="21"/>
        <v>0.99226164855207366</v>
      </c>
      <c r="Q18" s="71">
        <f t="shared" si="22"/>
        <v>34.801292007915357</v>
      </c>
      <c r="R18" s="72">
        <f t="shared" si="23"/>
        <v>1</v>
      </c>
      <c r="S18" s="71">
        <f t="shared" si="24"/>
        <v>13.033990934581066</v>
      </c>
      <c r="T18" s="72">
        <f t="shared" si="25"/>
        <v>5.6226812384961216</v>
      </c>
      <c r="U18" s="72">
        <f t="shared" si="26"/>
        <v>1.7053462321157722</v>
      </c>
      <c r="V18" s="72">
        <f t="shared" si="27"/>
        <v>4.2170109288720914</v>
      </c>
      <c r="W18" s="72">
        <f t="shared" si="28"/>
        <v>1.6712393074734566</v>
      </c>
      <c r="X18" s="72">
        <f t="shared" si="29"/>
        <v>2.9441251181727739</v>
      </c>
      <c r="Y18" s="72">
        <f t="shared" si="30"/>
        <v>0.71988861713317309</v>
      </c>
      <c r="Z18" s="72">
        <f t="shared" si="31"/>
        <v>3.8557764635098803</v>
      </c>
      <c r="AA18" s="72">
        <f t="shared" si="32"/>
        <v>19.244223536490122</v>
      </c>
      <c r="AB18" s="72">
        <f t="shared" si="33"/>
        <v>3.1677777175068473</v>
      </c>
      <c r="AC18" s="72">
        <f t="shared" si="34"/>
        <v>0.18868182684282603</v>
      </c>
      <c r="AD18" s="73">
        <f t="shared" si="35"/>
        <v>1206.0988078320233</v>
      </c>
      <c r="AE18" s="71">
        <f t="shared" si="36"/>
        <v>193.25470065891747</v>
      </c>
      <c r="AF18" s="74">
        <f t="shared" si="37"/>
        <v>5.8639999173037172</v>
      </c>
      <c r="AG18" s="75">
        <f t="shared" si="38"/>
        <v>5.8831943410345264</v>
      </c>
      <c r="AH18" s="76">
        <f t="shared" si="39"/>
        <v>4.3012267184041919</v>
      </c>
      <c r="AI18" s="77">
        <f t="shared" si="40"/>
        <v>5.8672184638494684</v>
      </c>
    </row>
    <row r="19" spans="1:39" ht="15" customHeight="1" x14ac:dyDescent="0.45">
      <c r="A19" s="59">
        <f t="shared" si="0"/>
        <v>45763</v>
      </c>
      <c r="B19" s="60">
        <v>2025</v>
      </c>
      <c r="C19" s="60">
        <v>4</v>
      </c>
      <c r="D19" s="60">
        <v>16</v>
      </c>
      <c r="E19" s="61">
        <v>106</v>
      </c>
      <c r="F19" s="62">
        <v>35</v>
      </c>
      <c r="G19" s="62">
        <v>15</v>
      </c>
      <c r="H19" s="70">
        <f t="shared" si="1"/>
        <v>25</v>
      </c>
      <c r="I19" s="62">
        <v>98</v>
      </c>
      <c r="J19" s="62">
        <v>75</v>
      </c>
      <c r="K19" s="62">
        <v>1</v>
      </c>
      <c r="L19" s="62">
        <v>30</v>
      </c>
      <c r="M19" s="71">
        <f t="shared" si="2"/>
        <v>9.8747589117362153</v>
      </c>
      <c r="N19" s="72">
        <f t="shared" si="3"/>
        <v>0.17234745887283609</v>
      </c>
      <c r="O19" s="72">
        <f t="shared" si="20"/>
        <v>1.711520610412367</v>
      </c>
      <c r="P19" s="72">
        <f t="shared" si="21"/>
        <v>0.9917105915969926</v>
      </c>
      <c r="Q19" s="71">
        <f t="shared" si="22"/>
        <v>35.002553109173768</v>
      </c>
      <c r="R19" s="72">
        <f t="shared" si="23"/>
        <v>1</v>
      </c>
      <c r="S19" s="71">
        <f t="shared" si="24"/>
        <v>13.075023761744593</v>
      </c>
      <c r="T19" s="72">
        <f t="shared" si="25"/>
        <v>5.6226812384961216</v>
      </c>
      <c r="U19" s="72">
        <f t="shared" si="26"/>
        <v>1.7053462321157722</v>
      </c>
      <c r="V19" s="72">
        <f t="shared" si="27"/>
        <v>4.2170109288720914</v>
      </c>
      <c r="W19" s="72">
        <f t="shared" si="28"/>
        <v>1.6712393074734566</v>
      </c>
      <c r="X19" s="72">
        <f t="shared" si="29"/>
        <v>2.9441251181727739</v>
      </c>
      <c r="Y19" s="72">
        <f t="shared" si="30"/>
        <v>0.71988861713317309</v>
      </c>
      <c r="Z19" s="72">
        <f t="shared" si="31"/>
        <v>3.8557764635098803</v>
      </c>
      <c r="AA19" s="72">
        <f t="shared" si="32"/>
        <v>19.244223536490122</v>
      </c>
      <c r="AB19" s="72">
        <f t="shared" si="33"/>
        <v>3.1677777175068473</v>
      </c>
      <c r="AC19" s="72">
        <f t="shared" si="34"/>
        <v>0.18868182684282603</v>
      </c>
      <c r="AD19" s="73">
        <f t="shared" si="35"/>
        <v>1206.0988078320233</v>
      </c>
      <c r="AE19" s="71">
        <f t="shared" si="36"/>
        <v>193.25470065891747</v>
      </c>
      <c r="AF19" s="74">
        <f t="shared" si="37"/>
        <v>5.8639999173037172</v>
      </c>
      <c r="AG19" s="75">
        <f t="shared" si="38"/>
        <v>5.9172177379740569</v>
      </c>
      <c r="AH19" s="76">
        <f t="shared" si="39"/>
        <v>4.3012267184041919</v>
      </c>
      <c r="AI19" s="77">
        <f t="shared" si="40"/>
        <v>5.8672184638494684</v>
      </c>
    </row>
    <row r="20" spans="1:39" ht="15" customHeight="1" x14ac:dyDescent="0.45">
      <c r="A20" s="59">
        <f t="shared" si="0"/>
        <v>45764</v>
      </c>
      <c r="B20" s="60">
        <v>2025</v>
      </c>
      <c r="C20" s="60">
        <v>4</v>
      </c>
      <c r="D20" s="60">
        <v>17</v>
      </c>
      <c r="E20" s="61">
        <v>107</v>
      </c>
      <c r="F20" s="62">
        <v>35</v>
      </c>
      <c r="G20" s="62">
        <v>15</v>
      </c>
      <c r="H20" s="70">
        <f t="shared" si="1"/>
        <v>25</v>
      </c>
      <c r="I20" s="62">
        <v>98</v>
      </c>
      <c r="J20" s="62">
        <v>75</v>
      </c>
      <c r="K20" s="62">
        <v>1</v>
      </c>
      <c r="L20" s="62">
        <v>30</v>
      </c>
      <c r="M20" s="71">
        <f t="shared" si="2"/>
        <v>10.239416190125075</v>
      </c>
      <c r="N20" s="72">
        <f t="shared" si="3"/>
        <v>0.17871194390498296</v>
      </c>
      <c r="O20" s="72">
        <f t="shared" si="20"/>
        <v>1.7168649712292496</v>
      </c>
      <c r="P20" s="72">
        <f t="shared" si="21"/>
        <v>0.99116199098400914</v>
      </c>
      <c r="Q20" s="71">
        <f t="shared" si="22"/>
        <v>35.201283607072128</v>
      </c>
      <c r="R20" s="72">
        <f t="shared" si="23"/>
        <v>1</v>
      </c>
      <c r="S20" s="71">
        <f t="shared" si="24"/>
        <v>13.115851575471734</v>
      </c>
      <c r="T20" s="72">
        <f t="shared" si="25"/>
        <v>5.6226812384961216</v>
      </c>
      <c r="U20" s="72">
        <f t="shared" si="26"/>
        <v>1.7053462321157722</v>
      </c>
      <c r="V20" s="72">
        <f t="shared" si="27"/>
        <v>4.2170109288720914</v>
      </c>
      <c r="W20" s="72">
        <f t="shared" si="28"/>
        <v>1.6712393074734566</v>
      </c>
      <c r="X20" s="72">
        <f t="shared" si="29"/>
        <v>2.9441251181727739</v>
      </c>
      <c r="Y20" s="72">
        <f t="shared" si="30"/>
        <v>0.71988861713317309</v>
      </c>
      <c r="Z20" s="72">
        <f t="shared" si="31"/>
        <v>3.8557764635098803</v>
      </c>
      <c r="AA20" s="72">
        <f t="shared" si="32"/>
        <v>19.244223536490122</v>
      </c>
      <c r="AB20" s="72">
        <f t="shared" si="33"/>
        <v>3.1677777175068473</v>
      </c>
      <c r="AC20" s="72">
        <f t="shared" si="34"/>
        <v>0.18868182684282603</v>
      </c>
      <c r="AD20" s="73">
        <f t="shared" si="35"/>
        <v>1206.0988078320233</v>
      </c>
      <c r="AE20" s="71">
        <f t="shared" si="36"/>
        <v>193.25470065891747</v>
      </c>
      <c r="AF20" s="74">
        <f t="shared" si="37"/>
        <v>5.8639999173037172</v>
      </c>
      <c r="AG20" s="75">
        <f t="shared" si="38"/>
        <v>5.9508133338031053</v>
      </c>
      <c r="AH20" s="76">
        <f t="shared" si="39"/>
        <v>4.3012267184041919</v>
      </c>
      <c r="AI20" s="77">
        <f t="shared" si="40"/>
        <v>5.8672184638494684</v>
      </c>
    </row>
    <row r="21" spans="1:39" ht="15.75" customHeight="1" x14ac:dyDescent="0.45">
      <c r="A21" s="59">
        <f t="shared" si="0"/>
        <v>45765</v>
      </c>
      <c r="B21" s="60">
        <v>2025</v>
      </c>
      <c r="C21" s="60">
        <v>4</v>
      </c>
      <c r="D21" s="60">
        <v>18</v>
      </c>
      <c r="E21" s="61">
        <v>108</v>
      </c>
      <c r="F21" s="62">
        <v>35</v>
      </c>
      <c r="G21" s="62">
        <v>15</v>
      </c>
      <c r="H21" s="70">
        <f t="shared" si="1"/>
        <v>25</v>
      </c>
      <c r="I21" s="62">
        <v>98</v>
      </c>
      <c r="J21" s="62">
        <v>75</v>
      </c>
      <c r="K21" s="62">
        <v>1</v>
      </c>
      <c r="L21" s="62">
        <v>30</v>
      </c>
      <c r="M21" s="71">
        <f t="shared" si="2"/>
        <v>10.601039294322062</v>
      </c>
      <c r="N21" s="72">
        <f t="shared" si="3"/>
        <v>0.18502347248356771</v>
      </c>
      <c r="O21" s="72">
        <f t="shared" si="20"/>
        <v>1.7221811790219994</v>
      </c>
      <c r="P21" s="72">
        <f t="shared" si="21"/>
        <v>0.99061600927608484</v>
      </c>
      <c r="Q21" s="71">
        <f t="shared" si="22"/>
        <v>35.397439933242893</v>
      </c>
      <c r="R21" s="72">
        <f t="shared" si="23"/>
        <v>1</v>
      </c>
      <c r="S21" s="71">
        <f t="shared" si="24"/>
        <v>13.156464316440026</v>
      </c>
      <c r="T21" s="72">
        <f t="shared" si="25"/>
        <v>5.6226812384961216</v>
      </c>
      <c r="U21" s="72">
        <f t="shared" si="26"/>
        <v>1.7053462321157722</v>
      </c>
      <c r="V21" s="72">
        <f t="shared" si="27"/>
        <v>4.2170109288720914</v>
      </c>
      <c r="W21" s="72">
        <f t="shared" si="28"/>
        <v>1.6712393074734566</v>
      </c>
      <c r="X21" s="72">
        <f t="shared" si="29"/>
        <v>2.9441251181727739</v>
      </c>
      <c r="Y21" s="72">
        <f t="shared" si="30"/>
        <v>0.71988861713317309</v>
      </c>
      <c r="Z21" s="72">
        <f t="shared" si="31"/>
        <v>3.8557764635098803</v>
      </c>
      <c r="AA21" s="72">
        <f t="shared" si="32"/>
        <v>19.244223536490122</v>
      </c>
      <c r="AB21" s="72">
        <f t="shared" si="33"/>
        <v>3.1677777175068473</v>
      </c>
      <c r="AC21" s="72">
        <f t="shared" si="34"/>
        <v>0.18868182684282603</v>
      </c>
      <c r="AD21" s="73">
        <f t="shared" si="35"/>
        <v>1206.0988078320233</v>
      </c>
      <c r="AE21" s="71">
        <f t="shared" si="36"/>
        <v>193.25470065891747</v>
      </c>
      <c r="AF21" s="74">
        <f t="shared" si="37"/>
        <v>5.8639999173037172</v>
      </c>
      <c r="AG21" s="75">
        <f t="shared" si="38"/>
        <v>5.9839737632441583</v>
      </c>
      <c r="AH21" s="76">
        <f t="shared" si="39"/>
        <v>4.3012267184041919</v>
      </c>
      <c r="AI21" s="77">
        <f t="shared" si="40"/>
        <v>5.8672184638494684</v>
      </c>
    </row>
    <row r="22" spans="1:39" ht="15.75" customHeight="1" x14ac:dyDescent="0.45">
      <c r="A22" s="59">
        <f t="shared" si="0"/>
        <v>45766</v>
      </c>
      <c r="B22" s="60">
        <v>2025</v>
      </c>
      <c r="C22" s="60">
        <v>4</v>
      </c>
      <c r="D22" s="60">
        <v>19</v>
      </c>
      <c r="E22" s="61">
        <v>109</v>
      </c>
      <c r="F22" s="62">
        <v>35</v>
      </c>
      <c r="G22" s="62">
        <v>15</v>
      </c>
      <c r="H22" s="70">
        <f t="shared" si="1"/>
        <v>25</v>
      </c>
      <c r="I22" s="62">
        <v>98</v>
      </c>
      <c r="J22" s="62">
        <v>75</v>
      </c>
      <c r="K22" s="62">
        <v>1</v>
      </c>
      <c r="L22" s="62">
        <v>30</v>
      </c>
      <c r="M22" s="71">
        <f t="shared" si="2"/>
        <v>10.959521067095789</v>
      </c>
      <c r="N22" s="72">
        <f t="shared" si="3"/>
        <v>0.19128017435771183</v>
      </c>
      <c r="O22" s="72">
        <f t="shared" si="20"/>
        <v>1.7274678901234739</v>
      </c>
      <c r="P22" s="72">
        <f t="shared" si="21"/>
        <v>0.99007280826013977</v>
      </c>
      <c r="Q22" s="71">
        <f t="shared" si="22"/>
        <v>35.590980283640306</v>
      </c>
      <c r="R22" s="72">
        <f t="shared" si="23"/>
        <v>1</v>
      </c>
      <c r="S22" s="71">
        <f t="shared" si="24"/>
        <v>13.196851719812633</v>
      </c>
      <c r="T22" s="72">
        <f t="shared" si="25"/>
        <v>5.6226812384961216</v>
      </c>
      <c r="U22" s="72">
        <f t="shared" si="26"/>
        <v>1.7053462321157722</v>
      </c>
      <c r="V22" s="72">
        <f t="shared" si="27"/>
        <v>4.2170109288720914</v>
      </c>
      <c r="W22" s="72">
        <f t="shared" si="28"/>
        <v>1.6712393074734566</v>
      </c>
      <c r="X22" s="72">
        <f t="shared" si="29"/>
        <v>2.9441251181727739</v>
      </c>
      <c r="Y22" s="72">
        <f t="shared" si="30"/>
        <v>0.71988861713317309</v>
      </c>
      <c r="Z22" s="72">
        <f t="shared" si="31"/>
        <v>3.8557764635098803</v>
      </c>
      <c r="AA22" s="72">
        <f t="shared" si="32"/>
        <v>19.244223536490122</v>
      </c>
      <c r="AB22" s="72">
        <f t="shared" si="33"/>
        <v>3.1677777175068473</v>
      </c>
      <c r="AC22" s="72">
        <f t="shared" si="34"/>
        <v>0.18868182684282603</v>
      </c>
      <c r="AD22" s="73">
        <f t="shared" si="35"/>
        <v>1206.0988078320233</v>
      </c>
      <c r="AE22" s="71">
        <f t="shared" si="36"/>
        <v>193.25470065891747</v>
      </c>
      <c r="AF22" s="74">
        <f t="shared" si="37"/>
        <v>5.8639999173037172</v>
      </c>
      <c r="AG22" s="75">
        <f t="shared" si="38"/>
        <v>6.0166919592801253</v>
      </c>
      <c r="AH22" s="76">
        <f t="shared" si="39"/>
        <v>4.3012267184041919</v>
      </c>
      <c r="AI22" s="77">
        <f t="shared" si="40"/>
        <v>5.8672184638494684</v>
      </c>
    </row>
    <row r="23" spans="1:39" ht="15.75" customHeight="1" x14ac:dyDescent="0.45">
      <c r="A23" s="59">
        <f t="shared" si="0"/>
        <v>45767</v>
      </c>
      <c r="B23" s="60">
        <v>2025</v>
      </c>
      <c r="C23" s="60">
        <v>4</v>
      </c>
      <c r="D23" s="60">
        <v>20</v>
      </c>
      <c r="E23" s="61">
        <v>110</v>
      </c>
      <c r="F23" s="62">
        <v>35</v>
      </c>
      <c r="G23" s="62">
        <v>15</v>
      </c>
      <c r="H23" s="70">
        <f t="shared" si="1"/>
        <v>25</v>
      </c>
      <c r="I23" s="62">
        <v>98</v>
      </c>
      <c r="J23" s="62">
        <v>75</v>
      </c>
      <c r="K23" s="62">
        <v>1</v>
      </c>
      <c r="L23" s="62">
        <v>30</v>
      </c>
      <c r="M23" s="71">
        <f t="shared" si="2"/>
        <v>11.314755282063524</v>
      </c>
      <c r="N23" s="72">
        <f t="shared" si="3"/>
        <v>0.19748019552294871</v>
      </c>
      <c r="O23" s="72">
        <f t="shared" si="20"/>
        <v>1.7327237334845549</v>
      </c>
      <c r="P23" s="72">
        <f t="shared" si="21"/>
        <v>0.98953254889911102</v>
      </c>
      <c r="Q23" s="71">
        <f t="shared" si="22"/>
        <v>35.781864600170294</v>
      </c>
      <c r="R23" s="72">
        <f t="shared" si="23"/>
        <v>1</v>
      </c>
      <c r="S23" s="71">
        <f t="shared" si="24"/>
        <v>13.237003311570319</v>
      </c>
      <c r="T23" s="72">
        <f t="shared" si="25"/>
        <v>5.6226812384961216</v>
      </c>
      <c r="U23" s="72">
        <f t="shared" si="26"/>
        <v>1.7053462321157722</v>
      </c>
      <c r="V23" s="72">
        <f t="shared" si="27"/>
        <v>4.2170109288720914</v>
      </c>
      <c r="W23" s="72">
        <f t="shared" si="28"/>
        <v>1.6712393074734566</v>
      </c>
      <c r="X23" s="72">
        <f t="shared" si="29"/>
        <v>2.9441251181727739</v>
      </c>
      <c r="Y23" s="72">
        <f t="shared" si="30"/>
        <v>0.71988861713317309</v>
      </c>
      <c r="Z23" s="72">
        <f t="shared" si="31"/>
        <v>3.8557764635098803</v>
      </c>
      <c r="AA23" s="72">
        <f t="shared" si="32"/>
        <v>19.244223536490122</v>
      </c>
      <c r="AB23" s="72">
        <f t="shared" si="33"/>
        <v>3.1677777175068473</v>
      </c>
      <c r="AC23" s="72">
        <f t="shared" si="34"/>
        <v>0.18868182684282603</v>
      </c>
      <c r="AD23" s="73">
        <f t="shared" si="35"/>
        <v>1206.0988078320233</v>
      </c>
      <c r="AE23" s="71">
        <f t="shared" si="36"/>
        <v>193.25470065891747</v>
      </c>
      <c r="AF23" s="74">
        <f t="shared" si="37"/>
        <v>5.8639999173037172</v>
      </c>
      <c r="AG23" s="75">
        <f t="shared" si="38"/>
        <v>6.0489611500488492</v>
      </c>
      <c r="AH23" s="76">
        <f t="shared" si="39"/>
        <v>4.3012267184041919</v>
      </c>
      <c r="AI23" s="77">
        <f t="shared" si="40"/>
        <v>5.8672184638494684</v>
      </c>
    </row>
    <row r="24" spans="1:39" ht="15.75" customHeight="1" x14ac:dyDescent="0.45">
      <c r="A24" s="59">
        <f t="shared" si="0"/>
        <v>45768</v>
      </c>
      <c r="B24" s="60">
        <v>2025</v>
      </c>
      <c r="C24" s="60">
        <v>4</v>
      </c>
      <c r="D24" s="60">
        <v>21</v>
      </c>
      <c r="E24" s="61">
        <v>111</v>
      </c>
      <c r="F24" s="62">
        <v>35</v>
      </c>
      <c r="G24" s="62">
        <v>15</v>
      </c>
      <c r="H24" s="70">
        <f t="shared" si="1"/>
        <v>25</v>
      </c>
      <c r="I24" s="62">
        <v>98</v>
      </c>
      <c r="J24" s="62">
        <v>75</v>
      </c>
      <c r="K24" s="62">
        <v>1</v>
      </c>
      <c r="L24" s="62">
        <v>30</v>
      </c>
      <c r="M24" s="71">
        <f t="shared" si="2"/>
        <v>11.666636675168499</v>
      </c>
      <c r="N24" s="72">
        <f t="shared" si="3"/>
        <v>0.20362169877060754</v>
      </c>
      <c r="O24" s="72">
        <f t="shared" si="20"/>
        <v>1.7379473102630603</v>
      </c>
      <c r="P24" s="72">
        <f t="shared" si="21"/>
        <v>0.98899539128425551</v>
      </c>
      <c r="Q24" s="71">
        <f t="shared" si="22"/>
        <v>35.970054549856378</v>
      </c>
      <c r="R24" s="72">
        <f t="shared" si="23"/>
        <v>1</v>
      </c>
      <c r="S24" s="71">
        <f t="shared" si="24"/>
        <v>13.276908405370973</v>
      </c>
      <c r="T24" s="72">
        <f t="shared" si="25"/>
        <v>5.6226812384961216</v>
      </c>
      <c r="U24" s="72">
        <f t="shared" si="26"/>
        <v>1.7053462321157722</v>
      </c>
      <c r="V24" s="72">
        <f t="shared" si="27"/>
        <v>4.2170109288720914</v>
      </c>
      <c r="W24" s="72">
        <f t="shared" si="28"/>
        <v>1.6712393074734566</v>
      </c>
      <c r="X24" s="72">
        <f t="shared" si="29"/>
        <v>2.9441251181727739</v>
      </c>
      <c r="Y24" s="72">
        <f t="shared" si="30"/>
        <v>0.71988861713317309</v>
      </c>
      <c r="Z24" s="72">
        <f t="shared" si="31"/>
        <v>3.8557764635098803</v>
      </c>
      <c r="AA24" s="72">
        <f t="shared" si="32"/>
        <v>19.244223536490122</v>
      </c>
      <c r="AB24" s="72">
        <f t="shared" si="33"/>
        <v>3.1677777175068473</v>
      </c>
      <c r="AC24" s="72">
        <f t="shared" si="34"/>
        <v>0.18868182684282603</v>
      </c>
      <c r="AD24" s="73">
        <f t="shared" si="35"/>
        <v>1206.0988078320233</v>
      </c>
      <c r="AE24" s="71">
        <f t="shared" si="36"/>
        <v>193.25470065891747</v>
      </c>
      <c r="AF24" s="74">
        <f t="shared" si="37"/>
        <v>5.8639999173037172</v>
      </c>
      <c r="AG24" s="75">
        <f t="shared" si="38"/>
        <v>6.0807748553210823</v>
      </c>
      <c r="AH24" s="76">
        <f t="shared" si="39"/>
        <v>4.3012267184041919</v>
      </c>
      <c r="AI24" s="77">
        <f t="shared" si="40"/>
        <v>5.8672184638494684</v>
      </c>
    </row>
    <row r="25" spans="1:39" ht="15.75" customHeight="1" x14ac:dyDescent="0.45">
      <c r="A25" s="59">
        <f t="shared" si="0"/>
        <v>45769</v>
      </c>
      <c r="B25" s="60">
        <v>2025</v>
      </c>
      <c r="C25" s="60">
        <v>4</v>
      </c>
      <c r="D25" s="60">
        <v>22</v>
      </c>
      <c r="E25" s="61">
        <v>112</v>
      </c>
      <c r="F25" s="62">
        <v>35</v>
      </c>
      <c r="G25" s="62">
        <v>15</v>
      </c>
      <c r="H25" s="70">
        <f t="shared" si="1"/>
        <v>25</v>
      </c>
      <c r="I25" s="62">
        <v>98</v>
      </c>
      <c r="J25" s="62">
        <v>75</v>
      </c>
      <c r="K25" s="62">
        <v>1</v>
      </c>
      <c r="L25" s="62">
        <v>30</v>
      </c>
      <c r="M25" s="71">
        <f t="shared" si="2"/>
        <v>12.015060975872062</v>
      </c>
      <c r="N25" s="72">
        <f t="shared" si="3"/>
        <v>0.20970286423222037</v>
      </c>
      <c r="O25" s="72">
        <f t="shared" si="20"/>
        <v>1.7431371934854152</v>
      </c>
      <c r="P25" s="72">
        <f t="shared" si="21"/>
        <v>0.98846149458771182</v>
      </c>
      <c r="Q25" s="71">
        <f t="shared" si="22"/>
        <v>36.155513501644535</v>
      </c>
      <c r="R25" s="72">
        <f t="shared" si="23"/>
        <v>1</v>
      </c>
      <c r="S25" s="71">
        <f t="shared" si="24"/>
        <v>13.316556099964975</v>
      </c>
      <c r="T25" s="72">
        <f t="shared" si="25"/>
        <v>5.6226812384961216</v>
      </c>
      <c r="U25" s="72">
        <f t="shared" si="26"/>
        <v>1.7053462321157722</v>
      </c>
      <c r="V25" s="72">
        <f t="shared" si="27"/>
        <v>4.2170109288720914</v>
      </c>
      <c r="W25" s="72">
        <f t="shared" si="28"/>
        <v>1.6712393074734566</v>
      </c>
      <c r="X25" s="72">
        <f t="shared" si="29"/>
        <v>2.9441251181727739</v>
      </c>
      <c r="Y25" s="72">
        <f t="shared" si="30"/>
        <v>0.71988861713317309</v>
      </c>
      <c r="Z25" s="72">
        <f t="shared" si="31"/>
        <v>3.8557764635098803</v>
      </c>
      <c r="AA25" s="72">
        <f t="shared" si="32"/>
        <v>19.244223536490122</v>
      </c>
      <c r="AB25" s="72">
        <f t="shared" si="33"/>
        <v>3.1677777175068473</v>
      </c>
      <c r="AC25" s="72">
        <f t="shared" si="34"/>
        <v>0.18868182684282603</v>
      </c>
      <c r="AD25" s="73">
        <f t="shared" si="35"/>
        <v>1206.0988078320233</v>
      </c>
      <c r="AE25" s="71">
        <f t="shared" si="36"/>
        <v>193.25470065891747</v>
      </c>
      <c r="AF25" s="74">
        <f t="shared" si="37"/>
        <v>5.8639999173037172</v>
      </c>
      <c r="AG25" s="75">
        <f t="shared" si="38"/>
        <v>6.1121268825793278</v>
      </c>
      <c r="AH25" s="76">
        <f t="shared" si="39"/>
        <v>4.3012267184041919</v>
      </c>
      <c r="AI25" s="77">
        <f t="shared" si="40"/>
        <v>5.8672184638494684</v>
      </c>
    </row>
    <row r="26" spans="1:39" ht="15.75" customHeight="1" x14ac:dyDescent="0.45">
      <c r="A26" s="59">
        <f t="shared" si="0"/>
        <v>45770</v>
      </c>
      <c r="B26" s="60">
        <v>2025</v>
      </c>
      <c r="C26" s="60">
        <v>4</v>
      </c>
      <c r="D26" s="60">
        <v>23</v>
      </c>
      <c r="E26" s="61">
        <v>113</v>
      </c>
      <c r="F26" s="62">
        <v>35</v>
      </c>
      <c r="G26" s="62">
        <v>15</v>
      </c>
      <c r="H26" s="70">
        <f t="shared" si="1"/>
        <v>25</v>
      </c>
      <c r="I26" s="62">
        <v>98</v>
      </c>
      <c r="J26" s="62">
        <v>75</v>
      </c>
      <c r="K26" s="62">
        <v>1</v>
      </c>
      <c r="L26" s="62">
        <v>30</v>
      </c>
      <c r="M26" s="71">
        <f t="shared" si="2"/>
        <v>12.359924938051448</v>
      </c>
      <c r="N26" s="72">
        <f t="shared" si="3"/>
        <v>0.21572188991879127</v>
      </c>
      <c r="O26" s="72">
        <f t="shared" si="20"/>
        <v>1.7482919277848432</v>
      </c>
      <c r="P26" s="72">
        <f t="shared" si="21"/>
        <v>0.98793101701533348</v>
      </c>
      <c r="Q26" s="71">
        <f t="shared" si="22"/>
        <v>36.338206500955316</v>
      </c>
      <c r="R26" s="72">
        <f t="shared" si="23"/>
        <v>1</v>
      </c>
      <c r="S26" s="71">
        <f t="shared" si="24"/>
        <v>13.355935277195137</v>
      </c>
      <c r="T26" s="72">
        <f t="shared" si="25"/>
        <v>5.6226812384961216</v>
      </c>
      <c r="U26" s="72">
        <f t="shared" si="26"/>
        <v>1.7053462321157722</v>
      </c>
      <c r="V26" s="72">
        <f t="shared" si="27"/>
        <v>4.2170109288720914</v>
      </c>
      <c r="W26" s="72">
        <f t="shared" si="28"/>
        <v>1.6712393074734566</v>
      </c>
      <c r="X26" s="72">
        <f t="shared" si="29"/>
        <v>2.9441251181727739</v>
      </c>
      <c r="Y26" s="72">
        <f t="shared" si="30"/>
        <v>0.71988861713317309</v>
      </c>
      <c r="Z26" s="72">
        <f t="shared" si="31"/>
        <v>3.8557764635098803</v>
      </c>
      <c r="AA26" s="72">
        <f t="shared" si="32"/>
        <v>19.244223536490122</v>
      </c>
      <c r="AB26" s="72">
        <f t="shared" si="33"/>
        <v>3.1677777175068473</v>
      </c>
      <c r="AC26" s="72">
        <f t="shared" si="34"/>
        <v>0.18868182684282603</v>
      </c>
      <c r="AD26" s="73">
        <f t="shared" si="35"/>
        <v>1206.0988078320233</v>
      </c>
      <c r="AE26" s="71">
        <f t="shared" si="36"/>
        <v>193.25470065891747</v>
      </c>
      <c r="AF26" s="74">
        <f t="shared" si="37"/>
        <v>5.8639999173037172</v>
      </c>
      <c r="AG26" s="75">
        <f t="shared" si="38"/>
        <v>6.143011322715842</v>
      </c>
      <c r="AH26" s="76">
        <f t="shared" si="39"/>
        <v>4.3012267184041919</v>
      </c>
      <c r="AI26" s="77">
        <f t="shared" si="40"/>
        <v>5.8672184638494684</v>
      </c>
    </row>
    <row r="27" spans="1:39" ht="15.75" customHeight="1" x14ac:dyDescent="0.45">
      <c r="A27" s="59">
        <f t="shared" si="0"/>
        <v>45771</v>
      </c>
      <c r="B27" s="60">
        <v>2025</v>
      </c>
      <c r="C27" s="60">
        <v>4</v>
      </c>
      <c r="D27" s="60">
        <v>24</v>
      </c>
      <c r="E27" s="61">
        <v>114</v>
      </c>
      <c r="F27" s="62">
        <v>35</v>
      </c>
      <c r="G27" s="62">
        <v>15</v>
      </c>
      <c r="H27" s="70">
        <f t="shared" si="1"/>
        <v>25</v>
      </c>
      <c r="I27" s="62">
        <v>98</v>
      </c>
      <c r="J27" s="62">
        <v>75</v>
      </c>
      <c r="K27" s="62">
        <v>1</v>
      </c>
      <c r="L27" s="62">
        <v>30</v>
      </c>
      <c r="M27" s="71">
        <f t="shared" si="2"/>
        <v>12.701126370593972</v>
      </c>
      <c r="N27" s="72">
        <f t="shared" si="3"/>
        <v>0.22167699225476681</v>
      </c>
      <c r="O27" s="72">
        <f t="shared" si="20"/>
        <v>1.7534100292198675</v>
      </c>
      <c r="P27" s="72">
        <f t="shared" si="21"/>
        <v>0.98740411575980902</v>
      </c>
      <c r="Q27" s="71">
        <f t="shared" si="22"/>
        <v>36.518100242096331</v>
      </c>
      <c r="R27" s="72">
        <f t="shared" si="23"/>
        <v>1</v>
      </c>
      <c r="S27" s="71">
        <f t="shared" si="24"/>
        <v>13.39503460061014</v>
      </c>
      <c r="T27" s="72">
        <f t="shared" si="25"/>
        <v>5.6226812384961216</v>
      </c>
      <c r="U27" s="72">
        <f t="shared" si="26"/>
        <v>1.7053462321157722</v>
      </c>
      <c r="V27" s="72">
        <f t="shared" si="27"/>
        <v>4.2170109288720914</v>
      </c>
      <c r="W27" s="72">
        <f t="shared" si="28"/>
        <v>1.6712393074734566</v>
      </c>
      <c r="X27" s="72">
        <f t="shared" si="29"/>
        <v>2.9441251181727739</v>
      </c>
      <c r="Y27" s="72">
        <f t="shared" si="30"/>
        <v>0.71988861713317309</v>
      </c>
      <c r="Z27" s="72">
        <f t="shared" si="31"/>
        <v>3.8557764635098803</v>
      </c>
      <c r="AA27" s="72">
        <f t="shared" si="32"/>
        <v>19.244223536490122</v>
      </c>
      <c r="AB27" s="72">
        <f t="shared" si="33"/>
        <v>3.1677777175068473</v>
      </c>
      <c r="AC27" s="72">
        <f t="shared" si="34"/>
        <v>0.18868182684282603</v>
      </c>
      <c r="AD27" s="73">
        <f t="shared" si="35"/>
        <v>1206.0988078320233</v>
      </c>
      <c r="AE27" s="71">
        <f t="shared" si="36"/>
        <v>193.25470065891747</v>
      </c>
      <c r="AF27" s="74">
        <f t="shared" si="37"/>
        <v>5.8639999173037172</v>
      </c>
      <c r="AG27" s="75">
        <f t="shared" si="38"/>
        <v>6.1734225453689433</v>
      </c>
      <c r="AH27" s="76">
        <f t="shared" si="39"/>
        <v>4.3012267184041919</v>
      </c>
      <c r="AI27" s="77">
        <f t="shared" si="40"/>
        <v>5.8672184638494684</v>
      </c>
    </row>
    <row r="28" spans="1:39" ht="15.75" customHeight="1" x14ac:dyDescent="0.45">
      <c r="A28" s="59">
        <f t="shared" si="0"/>
        <v>45772</v>
      </c>
      <c r="B28" s="60">
        <v>2025</v>
      </c>
      <c r="C28" s="60">
        <v>4</v>
      </c>
      <c r="D28" s="60">
        <v>25</v>
      </c>
      <c r="E28" s="61">
        <v>115</v>
      </c>
      <c r="F28" s="62">
        <v>35</v>
      </c>
      <c r="G28" s="62">
        <v>15</v>
      </c>
      <c r="H28" s="70">
        <f t="shared" si="1"/>
        <v>25</v>
      </c>
      <c r="I28" s="62">
        <v>98</v>
      </c>
      <c r="J28" s="62">
        <v>75</v>
      </c>
      <c r="K28" s="62">
        <v>1</v>
      </c>
      <c r="L28" s="62">
        <v>30</v>
      </c>
      <c r="M28" s="71">
        <f t="shared" si="2"/>
        <v>13.038564167678592</v>
      </c>
      <c r="N28" s="72">
        <f t="shared" si="3"/>
        <v>0.22756640660655034</v>
      </c>
      <c r="O28" s="72">
        <f t="shared" si="20"/>
        <v>1.7584899851769382</v>
      </c>
      <c r="P28" s="72">
        <f t="shared" si="21"/>
        <v>0.98688094695408202</v>
      </c>
      <c r="Q28" s="71">
        <f t="shared" si="22"/>
        <v>36.695163038653121</v>
      </c>
      <c r="R28" s="72">
        <f t="shared" si="23"/>
        <v>1</v>
      </c>
      <c r="S28" s="71">
        <f t="shared" si="24"/>
        <v>13.433842514720689</v>
      </c>
      <c r="T28" s="72">
        <f t="shared" si="25"/>
        <v>5.6226812384961216</v>
      </c>
      <c r="U28" s="72">
        <f t="shared" si="26"/>
        <v>1.7053462321157722</v>
      </c>
      <c r="V28" s="72">
        <f t="shared" si="27"/>
        <v>4.2170109288720914</v>
      </c>
      <c r="W28" s="72">
        <f t="shared" si="28"/>
        <v>1.6712393074734566</v>
      </c>
      <c r="X28" s="72">
        <f t="shared" si="29"/>
        <v>2.9441251181727739</v>
      </c>
      <c r="Y28" s="72">
        <f t="shared" si="30"/>
        <v>0.71988861713317309</v>
      </c>
      <c r="Z28" s="72">
        <f t="shared" si="31"/>
        <v>3.8557764635098803</v>
      </c>
      <c r="AA28" s="72">
        <f t="shared" si="32"/>
        <v>19.244223536490122</v>
      </c>
      <c r="AB28" s="72">
        <f t="shared" si="33"/>
        <v>3.1677777175068473</v>
      </c>
      <c r="AC28" s="72">
        <f t="shared" si="34"/>
        <v>0.18868182684282603</v>
      </c>
      <c r="AD28" s="73">
        <f t="shared" si="35"/>
        <v>1206.0988078320233</v>
      </c>
      <c r="AE28" s="71">
        <f t="shared" si="36"/>
        <v>193.25470065891747</v>
      </c>
      <c r="AF28" s="74">
        <f t="shared" si="37"/>
        <v>5.8639999173037172</v>
      </c>
      <c r="AG28" s="75">
        <f t="shared" si="38"/>
        <v>6.2033551939175586</v>
      </c>
      <c r="AH28" s="76">
        <f t="shared" si="39"/>
        <v>4.3012267184041919</v>
      </c>
      <c r="AI28" s="77">
        <f t="shared" si="40"/>
        <v>5.8672184638494684</v>
      </c>
    </row>
    <row r="29" spans="1:39" ht="15.75" customHeight="1" x14ac:dyDescent="0.45">
      <c r="A29" s="59">
        <f t="shared" si="0"/>
        <v>45773</v>
      </c>
      <c r="B29" s="60">
        <v>2025</v>
      </c>
      <c r="C29" s="60">
        <v>4</v>
      </c>
      <c r="D29" s="60">
        <v>26</v>
      </c>
      <c r="E29" s="61">
        <v>116</v>
      </c>
      <c r="F29" s="62">
        <v>35</v>
      </c>
      <c r="G29" s="62">
        <v>15</v>
      </c>
      <c r="H29" s="70">
        <f t="shared" si="1"/>
        <v>25</v>
      </c>
      <c r="I29" s="62">
        <v>98</v>
      </c>
      <c r="J29" s="62">
        <v>75</v>
      </c>
      <c r="K29" s="62">
        <v>1</v>
      </c>
      <c r="L29" s="62">
        <v>30</v>
      </c>
      <c r="M29" s="71">
        <f t="shared" si="2"/>
        <v>13.372138338735903</v>
      </c>
      <c r="N29" s="72">
        <f t="shared" si="3"/>
        <v>0.23338838780540397</v>
      </c>
      <c r="O29" s="72">
        <f t="shared" si="20"/>
        <v>1.763530254361005</v>
      </c>
      <c r="P29" s="72">
        <f t="shared" si="21"/>
        <v>0.98636166562508565</v>
      </c>
      <c r="Q29" s="71">
        <f t="shared" si="22"/>
        <v>36.869364791980708</v>
      </c>
      <c r="R29" s="72">
        <f t="shared" si="23"/>
        <v>1</v>
      </c>
      <c r="S29" s="71">
        <f t="shared" si="24"/>
        <v>13.472347244927464</v>
      </c>
      <c r="T29" s="72">
        <f t="shared" si="25"/>
        <v>5.6226812384961216</v>
      </c>
      <c r="U29" s="72">
        <f t="shared" si="26"/>
        <v>1.7053462321157722</v>
      </c>
      <c r="V29" s="72">
        <f t="shared" si="27"/>
        <v>4.2170109288720914</v>
      </c>
      <c r="W29" s="72">
        <f t="shared" si="28"/>
        <v>1.6712393074734566</v>
      </c>
      <c r="X29" s="72">
        <f t="shared" si="29"/>
        <v>2.9441251181727739</v>
      </c>
      <c r="Y29" s="72">
        <f t="shared" si="30"/>
        <v>0.71988861713317309</v>
      </c>
      <c r="Z29" s="72">
        <f t="shared" si="31"/>
        <v>3.8557764635098803</v>
      </c>
      <c r="AA29" s="72">
        <f t="shared" si="32"/>
        <v>19.244223536490122</v>
      </c>
      <c r="AB29" s="72">
        <f t="shared" si="33"/>
        <v>3.1677777175068473</v>
      </c>
      <c r="AC29" s="72">
        <f t="shared" si="34"/>
        <v>0.18868182684282603</v>
      </c>
      <c r="AD29" s="73">
        <f t="shared" si="35"/>
        <v>1206.0988078320233</v>
      </c>
      <c r="AE29" s="71">
        <f t="shared" si="36"/>
        <v>193.25470065891747</v>
      </c>
      <c r="AF29" s="74">
        <f t="shared" si="37"/>
        <v>5.8639999173037172</v>
      </c>
      <c r="AG29" s="75">
        <f t="shared" si="38"/>
        <v>6.2328041801546803</v>
      </c>
      <c r="AH29" s="76">
        <f t="shared" si="39"/>
        <v>4.3012267184041919</v>
      </c>
      <c r="AI29" s="77">
        <f t="shared" si="40"/>
        <v>5.8672184638494684</v>
      </c>
    </row>
    <row r="30" spans="1:39" ht="15.75" customHeight="1" x14ac:dyDescent="0.45">
      <c r="A30" s="59">
        <f t="shared" si="0"/>
        <v>45774</v>
      </c>
      <c r="B30" s="60">
        <v>2025</v>
      </c>
      <c r="C30" s="60">
        <v>4</v>
      </c>
      <c r="D30" s="60">
        <v>27</v>
      </c>
      <c r="E30" s="61">
        <v>117</v>
      </c>
      <c r="F30" s="62">
        <v>35</v>
      </c>
      <c r="G30" s="62">
        <v>15</v>
      </c>
      <c r="H30" s="70">
        <f t="shared" si="1"/>
        <v>25</v>
      </c>
      <c r="I30" s="62">
        <v>98</v>
      </c>
      <c r="J30" s="62">
        <v>75</v>
      </c>
      <c r="K30" s="62">
        <v>1</v>
      </c>
      <c r="L30" s="62">
        <v>30</v>
      </c>
      <c r="M30" s="71">
        <f t="shared" si="2"/>
        <v>13.701750038077623</v>
      </c>
      <c r="N30" s="72">
        <f t="shared" si="3"/>
        <v>0.23914121066458144</v>
      </c>
      <c r="O30" s="72">
        <f t="shared" si="20"/>
        <v>1.7685292668778454</v>
      </c>
      <c r="P30" s="72">
        <f t="shared" si="21"/>
        <v>0.98584642564780423</v>
      </c>
      <c r="Q30" s="71">
        <f t="shared" si="22"/>
        <v>37.040676957921548</v>
      </c>
      <c r="R30" s="72">
        <f t="shared" si="23"/>
        <v>1</v>
      </c>
      <c r="S30" s="71">
        <f t="shared" si="24"/>
        <v>13.510536798150079</v>
      </c>
      <c r="T30" s="72">
        <f t="shared" si="25"/>
        <v>5.6226812384961216</v>
      </c>
      <c r="U30" s="72">
        <f t="shared" si="26"/>
        <v>1.7053462321157722</v>
      </c>
      <c r="V30" s="72">
        <f t="shared" si="27"/>
        <v>4.2170109288720914</v>
      </c>
      <c r="W30" s="72">
        <f t="shared" si="28"/>
        <v>1.6712393074734566</v>
      </c>
      <c r="X30" s="72">
        <f t="shared" si="29"/>
        <v>2.9441251181727739</v>
      </c>
      <c r="Y30" s="72">
        <f t="shared" si="30"/>
        <v>0.71988861713317309</v>
      </c>
      <c r="Z30" s="72">
        <f t="shared" si="31"/>
        <v>3.8557764635098803</v>
      </c>
      <c r="AA30" s="72">
        <f t="shared" si="32"/>
        <v>19.244223536490122</v>
      </c>
      <c r="AB30" s="72">
        <f t="shared" si="33"/>
        <v>3.1677777175068473</v>
      </c>
      <c r="AC30" s="72">
        <f t="shared" si="34"/>
        <v>0.18868182684282603</v>
      </c>
      <c r="AD30" s="73">
        <f t="shared" si="35"/>
        <v>1206.0988078320233</v>
      </c>
      <c r="AE30" s="71">
        <f t="shared" si="36"/>
        <v>193.25470065891747</v>
      </c>
      <c r="AF30" s="74">
        <f t="shared" si="37"/>
        <v>5.8639999173037172</v>
      </c>
      <c r="AG30" s="75">
        <f t="shared" si="38"/>
        <v>6.2617646786610077</v>
      </c>
      <c r="AH30" s="76">
        <f t="shared" si="39"/>
        <v>4.3012267184041919</v>
      </c>
      <c r="AI30" s="77">
        <f t="shared" si="40"/>
        <v>5.8672184638494684</v>
      </c>
    </row>
    <row r="31" spans="1:39" ht="15.75" customHeight="1" x14ac:dyDescent="0.45">
      <c r="A31" s="59">
        <f t="shared" si="0"/>
        <v>45775</v>
      </c>
      <c r="B31" s="60">
        <v>2025</v>
      </c>
      <c r="C31" s="60">
        <v>4</v>
      </c>
      <c r="D31" s="60">
        <v>28</v>
      </c>
      <c r="E31" s="61">
        <v>118</v>
      </c>
      <c r="F31" s="62">
        <v>35</v>
      </c>
      <c r="G31" s="62">
        <v>15</v>
      </c>
      <c r="H31" s="70">
        <f t="shared" si="1"/>
        <v>25</v>
      </c>
      <c r="I31" s="62">
        <v>98</v>
      </c>
      <c r="J31" s="62">
        <v>75</v>
      </c>
      <c r="K31" s="62">
        <v>1</v>
      </c>
      <c r="L31" s="62">
        <v>30</v>
      </c>
      <c r="M31" s="71">
        <f t="shared" si="2"/>
        <v>14.027301594186847</v>
      </c>
      <c r="N31" s="72">
        <f t="shared" si="3"/>
        <v>0.24482317049054111</v>
      </c>
      <c r="O31" s="72">
        <f t="shared" si="20"/>
        <v>1.7734854244119242</v>
      </c>
      <c r="P31" s="72">
        <f t="shared" si="21"/>
        <v>0.98533537969967688</v>
      </c>
      <c r="Q31" s="71">
        <f t="shared" si="22"/>
        <v>37.209072511879278</v>
      </c>
      <c r="R31" s="72">
        <f t="shared" si="23"/>
        <v>1</v>
      </c>
      <c r="S31" s="71">
        <f t="shared" si="24"/>
        <v>13.548398964185823</v>
      </c>
      <c r="T31" s="72">
        <f t="shared" si="25"/>
        <v>5.6226812384961216</v>
      </c>
      <c r="U31" s="72">
        <f t="shared" si="26"/>
        <v>1.7053462321157722</v>
      </c>
      <c r="V31" s="72">
        <f t="shared" si="27"/>
        <v>4.2170109288720914</v>
      </c>
      <c r="W31" s="72">
        <f t="shared" si="28"/>
        <v>1.6712393074734566</v>
      </c>
      <c r="X31" s="72">
        <f t="shared" si="29"/>
        <v>2.9441251181727739</v>
      </c>
      <c r="Y31" s="72">
        <f t="shared" si="30"/>
        <v>0.71988861713317309</v>
      </c>
      <c r="Z31" s="72">
        <f t="shared" si="31"/>
        <v>3.8557764635098803</v>
      </c>
      <c r="AA31" s="72">
        <f t="shared" si="32"/>
        <v>19.244223536490122</v>
      </c>
      <c r="AB31" s="72">
        <f t="shared" si="33"/>
        <v>3.1677777175068473</v>
      </c>
      <c r="AC31" s="72">
        <f t="shared" si="34"/>
        <v>0.18868182684282603</v>
      </c>
      <c r="AD31" s="73">
        <f t="shared" si="35"/>
        <v>1206.0988078320233</v>
      </c>
      <c r="AE31" s="71">
        <f t="shared" si="36"/>
        <v>193.25470065891747</v>
      </c>
      <c r="AF31" s="74">
        <f t="shared" si="37"/>
        <v>5.8639999173037172</v>
      </c>
      <c r="AG31" s="75">
        <f t="shared" si="38"/>
        <v>6.2902321209006287</v>
      </c>
      <c r="AH31" s="76">
        <f t="shared" si="39"/>
        <v>4.3012267184041919</v>
      </c>
      <c r="AI31" s="77">
        <f t="shared" si="40"/>
        <v>5.8672184638494684</v>
      </c>
    </row>
    <row r="32" spans="1:39" ht="15.75" customHeight="1" x14ac:dyDescent="0.45">
      <c r="A32" s="59">
        <f t="shared" si="0"/>
        <v>45776</v>
      </c>
      <c r="B32" s="60">
        <v>2025</v>
      </c>
      <c r="C32" s="60">
        <v>4</v>
      </c>
      <c r="D32" s="60">
        <v>29</v>
      </c>
      <c r="E32" s="61">
        <v>119</v>
      </c>
      <c r="F32" s="62">
        <v>35</v>
      </c>
      <c r="G32" s="62">
        <v>15</v>
      </c>
      <c r="H32" s="70">
        <f t="shared" si="1"/>
        <v>25</v>
      </c>
      <c r="I32" s="62">
        <v>98</v>
      </c>
      <c r="J32" s="62">
        <v>75</v>
      </c>
      <c r="K32" s="62">
        <v>1</v>
      </c>
      <c r="L32" s="62">
        <v>30</v>
      </c>
      <c r="M32" s="71">
        <f t="shared" si="2"/>
        <v>14.348696538660372</v>
      </c>
      <c r="N32" s="72">
        <f t="shared" si="3"/>
        <v>0.25043258358808568</v>
      </c>
      <c r="O32" s="72">
        <f t="shared" si="20"/>
        <v>1.7783971005035004</v>
      </c>
      <c r="P32" s="72">
        <f t="shared" si="21"/>
        <v>0.98482867921535555</v>
      </c>
      <c r="Q32" s="71">
        <f t="shared" si="22"/>
        <v>37.374525912380221</v>
      </c>
      <c r="R32" s="72">
        <f t="shared" si="23"/>
        <v>1</v>
      </c>
      <c r="S32" s="71">
        <f t="shared" si="24"/>
        <v>13.585921317826587</v>
      </c>
      <c r="T32" s="72">
        <f t="shared" si="25"/>
        <v>5.6226812384961216</v>
      </c>
      <c r="U32" s="72">
        <f t="shared" si="26"/>
        <v>1.7053462321157722</v>
      </c>
      <c r="V32" s="72">
        <f t="shared" si="27"/>
        <v>4.2170109288720914</v>
      </c>
      <c r="W32" s="72">
        <f t="shared" si="28"/>
        <v>1.6712393074734566</v>
      </c>
      <c r="X32" s="72">
        <f t="shared" si="29"/>
        <v>2.9441251181727739</v>
      </c>
      <c r="Y32" s="72">
        <f t="shared" si="30"/>
        <v>0.71988861713317309</v>
      </c>
      <c r="Z32" s="72">
        <f t="shared" si="31"/>
        <v>3.8557764635098803</v>
      </c>
      <c r="AA32" s="72">
        <f t="shared" si="32"/>
        <v>19.244223536490122</v>
      </c>
      <c r="AB32" s="72">
        <f t="shared" si="33"/>
        <v>3.1677777175068473</v>
      </c>
      <c r="AC32" s="72">
        <f t="shared" si="34"/>
        <v>0.18868182684282603</v>
      </c>
      <c r="AD32" s="73">
        <f t="shared" si="35"/>
        <v>1206.0988078320233</v>
      </c>
      <c r="AE32" s="71">
        <f t="shared" si="36"/>
        <v>193.25470065891747</v>
      </c>
      <c r="AF32" s="74">
        <f t="shared" si="37"/>
        <v>5.8639999173037172</v>
      </c>
      <c r="AG32" s="75">
        <f t="shared" si="38"/>
        <v>6.3182021890610471</v>
      </c>
      <c r="AH32" s="76">
        <f t="shared" si="39"/>
        <v>4.3012267184041919</v>
      </c>
      <c r="AI32" s="77">
        <f t="shared" si="40"/>
        <v>5.8672184638494684</v>
      </c>
    </row>
    <row r="33" spans="1:35" ht="15.75" customHeight="1" x14ac:dyDescent="0.45">
      <c r="A33" s="59">
        <f t="shared" si="0"/>
        <v>45777</v>
      </c>
      <c r="B33" s="60">
        <v>2025</v>
      </c>
      <c r="C33" s="60">
        <v>4</v>
      </c>
      <c r="D33" s="60">
        <v>30</v>
      </c>
      <c r="E33" s="61">
        <v>120</v>
      </c>
      <c r="F33" s="62">
        <v>35</v>
      </c>
      <c r="G33" s="62">
        <v>15</v>
      </c>
      <c r="H33" s="70">
        <f t="shared" si="1"/>
        <v>25</v>
      </c>
      <c r="I33" s="62">
        <v>98</v>
      </c>
      <c r="J33" s="62">
        <v>75</v>
      </c>
      <c r="K33" s="62">
        <v>1</v>
      </c>
      <c r="L33" s="62">
        <v>30</v>
      </c>
      <c r="M33" s="71">
        <f t="shared" si="2"/>
        <v>14.665839634794473</v>
      </c>
      <c r="N33" s="72">
        <f t="shared" si="3"/>
        <v>0.25596778775927953</v>
      </c>
      <c r="O33" s="72">
        <f t="shared" si="20"/>
        <v>1.7832626409286296</v>
      </c>
      <c r="P33" s="72">
        <f t="shared" si="21"/>
        <v>0.9843264743418314</v>
      </c>
      <c r="Q33" s="71">
        <f t="shared" si="22"/>
        <v>37.537013063256985</v>
      </c>
      <c r="R33" s="72">
        <f t="shared" si="23"/>
        <v>1</v>
      </c>
      <c r="S33" s="71">
        <f t="shared" si="24"/>
        <v>13.623091221761877</v>
      </c>
      <c r="T33" s="72">
        <f t="shared" si="25"/>
        <v>5.6226812384961216</v>
      </c>
      <c r="U33" s="72">
        <f t="shared" si="26"/>
        <v>1.7053462321157722</v>
      </c>
      <c r="V33" s="72">
        <f t="shared" si="27"/>
        <v>4.2170109288720914</v>
      </c>
      <c r="W33" s="72">
        <f t="shared" si="28"/>
        <v>1.6712393074734566</v>
      </c>
      <c r="X33" s="72">
        <f t="shared" si="29"/>
        <v>2.9441251181727739</v>
      </c>
      <c r="Y33" s="72">
        <f t="shared" si="30"/>
        <v>0.71988861713317309</v>
      </c>
      <c r="Z33" s="72">
        <f t="shared" si="31"/>
        <v>3.8557764635098803</v>
      </c>
      <c r="AA33" s="72">
        <f t="shared" si="32"/>
        <v>19.244223536490122</v>
      </c>
      <c r="AB33" s="72">
        <f t="shared" si="33"/>
        <v>3.1677777175068473</v>
      </c>
      <c r="AC33" s="72">
        <f t="shared" si="34"/>
        <v>0.18868182684282603</v>
      </c>
      <c r="AD33" s="73">
        <f t="shared" si="35"/>
        <v>1206.0988078320233</v>
      </c>
      <c r="AE33" s="71">
        <f t="shared" si="36"/>
        <v>193.25470065891747</v>
      </c>
      <c r="AF33" s="74">
        <f t="shared" si="37"/>
        <v>5.8639999173037172</v>
      </c>
      <c r="AG33" s="75">
        <f t="shared" si="38"/>
        <v>6.3456708096602954</v>
      </c>
      <c r="AH33" s="76">
        <f t="shared" si="39"/>
        <v>4.3012267184041919</v>
      </c>
      <c r="AI33" s="77">
        <f t="shared" si="40"/>
        <v>5.8672184638494684</v>
      </c>
    </row>
    <row r="34" spans="1:35" ht="15.75" customHeight="1" x14ac:dyDescent="0.45">
      <c r="A34" s="59">
        <f t="shared" si="0"/>
        <v>45778</v>
      </c>
      <c r="B34" s="60">
        <v>2025</v>
      </c>
      <c r="C34" s="60">
        <v>5</v>
      </c>
      <c r="D34" s="60">
        <v>1</v>
      </c>
      <c r="E34" s="61">
        <v>121</v>
      </c>
      <c r="F34" s="62">
        <v>35</v>
      </c>
      <c r="G34" s="62">
        <v>15</v>
      </c>
      <c r="H34" s="70">
        <f t="shared" si="1"/>
        <v>25</v>
      </c>
      <c r="I34" s="62">
        <v>98</v>
      </c>
      <c r="J34" s="62">
        <v>75</v>
      </c>
      <c r="K34" s="62">
        <v>1</v>
      </c>
      <c r="L34" s="62">
        <v>30</v>
      </c>
      <c r="M34" s="71">
        <f t="shared" si="2"/>
        <v>14.978636905805756</v>
      </c>
      <c r="N34" s="72">
        <f t="shared" si="3"/>
        <v>0.26142714279599644</v>
      </c>
      <c r="O34" s="72">
        <f t="shared" si="20"/>
        <v>1.7880803641855985</v>
      </c>
      <c r="P34" s="72">
        <f t="shared" si="21"/>
        <v>0.983828913893943</v>
      </c>
      <c r="Q34" s="71">
        <f t="shared" si="22"/>
        <v>37.696511274590364</v>
      </c>
      <c r="R34" s="72">
        <f t="shared" si="23"/>
        <v>1</v>
      </c>
      <c r="S34" s="71">
        <f t="shared" si="24"/>
        <v>13.659895830294872</v>
      </c>
      <c r="T34" s="72">
        <f t="shared" si="25"/>
        <v>5.6226812384961216</v>
      </c>
      <c r="U34" s="72">
        <f t="shared" si="26"/>
        <v>1.7053462321157722</v>
      </c>
      <c r="V34" s="72">
        <f t="shared" si="27"/>
        <v>4.2170109288720914</v>
      </c>
      <c r="W34" s="72">
        <f t="shared" si="28"/>
        <v>1.6712393074734566</v>
      </c>
      <c r="X34" s="72">
        <f t="shared" si="29"/>
        <v>2.9441251181727739</v>
      </c>
      <c r="Y34" s="72">
        <f t="shared" si="30"/>
        <v>0.71988861713317309</v>
      </c>
      <c r="Z34" s="72">
        <f t="shared" si="31"/>
        <v>3.8557764635098803</v>
      </c>
      <c r="AA34" s="72">
        <f t="shared" si="32"/>
        <v>19.244223536490122</v>
      </c>
      <c r="AB34" s="72">
        <f t="shared" si="33"/>
        <v>3.1677777175068473</v>
      </c>
      <c r="AC34" s="72">
        <f t="shared" si="34"/>
        <v>0.18868182684282603</v>
      </c>
      <c r="AD34" s="73">
        <f t="shared" si="35"/>
        <v>1206.0988078320233</v>
      </c>
      <c r="AE34" s="71">
        <f t="shared" si="36"/>
        <v>193.25470065891747</v>
      </c>
      <c r="AF34" s="74">
        <f t="shared" si="37"/>
        <v>5.8639999173037172</v>
      </c>
      <c r="AG34" s="75">
        <f t="shared" si="38"/>
        <v>6.3726341469441001</v>
      </c>
      <c r="AH34" s="76">
        <f t="shared" si="39"/>
        <v>4.3012267184041919</v>
      </c>
      <c r="AI34" s="77">
        <f t="shared" si="40"/>
        <v>5.8672184638494684</v>
      </c>
    </row>
    <row r="35" spans="1:35" ht="15.75" customHeight="1" x14ac:dyDescent="0.45">
      <c r="A35" s="59">
        <f t="shared" si="0"/>
        <v>45779</v>
      </c>
      <c r="B35" s="60">
        <v>2025</v>
      </c>
      <c r="C35" s="60">
        <v>5</v>
      </c>
      <c r="D35" s="60">
        <v>2</v>
      </c>
      <c r="E35" s="61">
        <v>122</v>
      </c>
      <c r="F35" s="62">
        <v>35</v>
      </c>
      <c r="G35" s="62">
        <v>15</v>
      </c>
      <c r="H35" s="70">
        <f t="shared" si="1"/>
        <v>25</v>
      </c>
      <c r="I35" s="62">
        <v>98</v>
      </c>
      <c r="J35" s="62">
        <v>75</v>
      </c>
      <c r="K35" s="62">
        <v>1</v>
      </c>
      <c r="L35" s="62">
        <v>30</v>
      </c>
      <c r="M35" s="71">
        <f t="shared" si="2"/>
        <v>15.286995662678622</v>
      </c>
      <c r="N35" s="72">
        <f t="shared" si="3"/>
        <v>0.26680903096595088</v>
      </c>
      <c r="O35" s="72">
        <f t="shared" si="20"/>
        <v>1.7928485620911983</v>
      </c>
      <c r="P35" s="72">
        <f t="shared" si="21"/>
        <v>0.98333614531027869</v>
      </c>
      <c r="Q35" s="71">
        <f t="shared" si="22"/>
        <v>37.852999222546948</v>
      </c>
      <c r="R35" s="72">
        <f t="shared" si="23"/>
        <v>1</v>
      </c>
      <c r="S35" s="71">
        <f t="shared" si="24"/>
        <v>13.696322093897619</v>
      </c>
      <c r="T35" s="72">
        <f t="shared" si="25"/>
        <v>5.6226812384961216</v>
      </c>
      <c r="U35" s="72">
        <f t="shared" si="26"/>
        <v>1.7053462321157722</v>
      </c>
      <c r="V35" s="72">
        <f t="shared" si="27"/>
        <v>4.2170109288720914</v>
      </c>
      <c r="W35" s="72">
        <f t="shared" si="28"/>
        <v>1.6712393074734566</v>
      </c>
      <c r="X35" s="72">
        <f t="shared" si="29"/>
        <v>2.9441251181727739</v>
      </c>
      <c r="Y35" s="72">
        <f t="shared" si="30"/>
        <v>0.71988861713317309</v>
      </c>
      <c r="Z35" s="72">
        <f t="shared" si="31"/>
        <v>3.8557764635098803</v>
      </c>
      <c r="AA35" s="72">
        <f t="shared" si="32"/>
        <v>19.244223536490122</v>
      </c>
      <c r="AB35" s="72">
        <f t="shared" si="33"/>
        <v>3.1677777175068473</v>
      </c>
      <c r="AC35" s="72">
        <f t="shared" si="34"/>
        <v>0.18868182684282603</v>
      </c>
      <c r="AD35" s="73">
        <f t="shared" si="35"/>
        <v>1206.0988078320233</v>
      </c>
      <c r="AE35" s="71">
        <f t="shared" si="36"/>
        <v>193.25470065891747</v>
      </c>
      <c r="AF35" s="74">
        <f t="shared" si="37"/>
        <v>5.8639999173037172</v>
      </c>
      <c r="AG35" s="75">
        <f t="shared" si="38"/>
        <v>6.3990885960964157</v>
      </c>
      <c r="AH35" s="76">
        <f t="shared" si="39"/>
        <v>4.3012267184041919</v>
      </c>
      <c r="AI35" s="77">
        <f t="shared" si="40"/>
        <v>5.8672184638494684</v>
      </c>
    </row>
    <row r="36" spans="1:35" ht="15.75" customHeight="1" x14ac:dyDescent="0.45">
      <c r="A36" s="59">
        <f t="shared" si="0"/>
        <v>45780</v>
      </c>
      <c r="B36" s="60">
        <v>2025</v>
      </c>
      <c r="C36" s="60">
        <v>5</v>
      </c>
      <c r="D36" s="60">
        <v>3</v>
      </c>
      <c r="E36" s="61">
        <v>123</v>
      </c>
      <c r="F36" s="62">
        <v>35</v>
      </c>
      <c r="G36" s="62">
        <v>15</v>
      </c>
      <c r="H36" s="70">
        <f t="shared" si="1"/>
        <v>25</v>
      </c>
      <c r="I36" s="62">
        <v>98</v>
      </c>
      <c r="J36" s="62">
        <v>75</v>
      </c>
      <c r="K36" s="62">
        <v>1</v>
      </c>
      <c r="L36" s="62">
        <v>30</v>
      </c>
      <c r="M36" s="71">
        <f t="shared" si="2"/>
        <v>15.590824531631149</v>
      </c>
      <c r="N36" s="72">
        <f t="shared" si="3"/>
        <v>0.27211185749206901</v>
      </c>
      <c r="O36" s="72">
        <f t="shared" si="20"/>
        <v>1.7975655004900886</v>
      </c>
      <c r="P36" s="72">
        <f t="shared" si="21"/>
        <v>0.98284831460948752</v>
      </c>
      <c r="Q36" s="71">
        <f t="shared" si="22"/>
        <v>38.006456908250684</v>
      </c>
      <c r="R36" s="72">
        <f t="shared" si="23"/>
        <v>1</v>
      </c>
      <c r="S36" s="71">
        <f t="shared" si="24"/>
        <v>13.732356764630163</v>
      </c>
      <c r="T36" s="72">
        <f t="shared" si="25"/>
        <v>5.6226812384961216</v>
      </c>
      <c r="U36" s="72">
        <f t="shared" si="26"/>
        <v>1.7053462321157722</v>
      </c>
      <c r="V36" s="72">
        <f t="shared" si="27"/>
        <v>4.2170109288720914</v>
      </c>
      <c r="W36" s="72">
        <f t="shared" si="28"/>
        <v>1.6712393074734566</v>
      </c>
      <c r="X36" s="72">
        <f t="shared" si="29"/>
        <v>2.9441251181727739</v>
      </c>
      <c r="Y36" s="72">
        <f t="shared" si="30"/>
        <v>0.71988861713317309</v>
      </c>
      <c r="Z36" s="72">
        <f t="shared" si="31"/>
        <v>3.8557764635098803</v>
      </c>
      <c r="AA36" s="72">
        <f t="shared" si="32"/>
        <v>19.244223536490122</v>
      </c>
      <c r="AB36" s="72">
        <f t="shared" si="33"/>
        <v>3.1677777175068473</v>
      </c>
      <c r="AC36" s="72">
        <f t="shared" si="34"/>
        <v>0.18868182684282603</v>
      </c>
      <c r="AD36" s="73">
        <f t="shared" si="35"/>
        <v>1206.0988078320233</v>
      </c>
      <c r="AE36" s="71">
        <f t="shared" si="36"/>
        <v>193.25470065891747</v>
      </c>
      <c r="AF36" s="74">
        <f t="shared" si="37"/>
        <v>5.8639999173037172</v>
      </c>
      <c r="AG36" s="75">
        <f t="shared" si="38"/>
        <v>6.4250307762865972</v>
      </c>
      <c r="AH36" s="76">
        <f t="shared" si="39"/>
        <v>4.3012267184041919</v>
      </c>
      <c r="AI36" s="77">
        <f t="shared" si="40"/>
        <v>5.8672184638494684</v>
      </c>
    </row>
    <row r="37" spans="1:35" ht="15.75" customHeight="1" x14ac:dyDescent="0.45">
      <c r="A37" s="59">
        <f t="shared" si="0"/>
        <v>45781</v>
      </c>
      <c r="B37" s="60">
        <v>2025</v>
      </c>
      <c r="C37" s="60">
        <v>5</v>
      </c>
      <c r="D37" s="60">
        <v>4</v>
      </c>
      <c r="E37" s="61">
        <v>124</v>
      </c>
      <c r="F37" s="62">
        <v>35</v>
      </c>
      <c r="G37" s="62">
        <v>15</v>
      </c>
      <c r="H37" s="70">
        <f t="shared" si="1"/>
        <v>25</v>
      </c>
      <c r="I37" s="62">
        <v>98</v>
      </c>
      <c r="J37" s="62">
        <v>75</v>
      </c>
      <c r="K37" s="62">
        <v>1</v>
      </c>
      <c r="L37" s="62">
        <v>30</v>
      </c>
      <c r="M37" s="71">
        <f t="shared" si="2"/>
        <v>15.890033481191251</v>
      </c>
      <c r="N37" s="72">
        <f t="shared" si="3"/>
        <v>0.27733405102505798</v>
      </c>
      <c r="O37" s="72">
        <f t="shared" si="20"/>
        <v>1.8022294200803053</v>
      </c>
      <c r="P37" s="72">
        <f t="shared" si="21"/>
        <v>0.98236556634701055</v>
      </c>
      <c r="Q37" s="71">
        <f t="shared" si="22"/>
        <v>38.156865615826796</v>
      </c>
      <c r="R37" s="72">
        <f t="shared" si="23"/>
        <v>1</v>
      </c>
      <c r="S37" s="71">
        <f t="shared" si="24"/>
        <v>13.767986402446947</v>
      </c>
      <c r="T37" s="72">
        <f t="shared" si="25"/>
        <v>5.6226812384961216</v>
      </c>
      <c r="U37" s="72">
        <f t="shared" si="26"/>
        <v>1.7053462321157722</v>
      </c>
      <c r="V37" s="72">
        <f t="shared" si="27"/>
        <v>4.2170109288720914</v>
      </c>
      <c r="W37" s="72">
        <f t="shared" si="28"/>
        <v>1.6712393074734566</v>
      </c>
      <c r="X37" s="72">
        <f t="shared" si="29"/>
        <v>2.9441251181727739</v>
      </c>
      <c r="Y37" s="72">
        <f t="shared" si="30"/>
        <v>0.71988861713317309</v>
      </c>
      <c r="Z37" s="72">
        <f t="shared" si="31"/>
        <v>3.8557764635098803</v>
      </c>
      <c r="AA37" s="72">
        <f t="shared" si="32"/>
        <v>19.244223536490122</v>
      </c>
      <c r="AB37" s="72">
        <f t="shared" si="33"/>
        <v>3.1677777175068473</v>
      </c>
      <c r="AC37" s="72">
        <f t="shared" si="34"/>
        <v>0.18868182684282603</v>
      </c>
      <c r="AD37" s="73">
        <f t="shared" si="35"/>
        <v>1206.0988078320233</v>
      </c>
      <c r="AE37" s="71">
        <f t="shared" si="36"/>
        <v>193.25470065891747</v>
      </c>
      <c r="AF37" s="74">
        <f t="shared" si="37"/>
        <v>5.8639999173037172</v>
      </c>
      <c r="AG37" s="75">
        <f t="shared" si="38"/>
        <v>6.4504575235766941</v>
      </c>
      <c r="AH37" s="76">
        <f t="shared" si="39"/>
        <v>4.3012267184041919</v>
      </c>
      <c r="AI37" s="77">
        <f t="shared" si="40"/>
        <v>5.8672184638494684</v>
      </c>
    </row>
    <row r="38" spans="1:35" ht="15.75" customHeight="1" x14ac:dyDescent="0.45">
      <c r="A38" s="59">
        <f t="shared" si="0"/>
        <v>45782</v>
      </c>
      <c r="B38" s="60">
        <v>2025</v>
      </c>
      <c r="C38" s="60">
        <v>5</v>
      </c>
      <c r="D38" s="60">
        <v>5</v>
      </c>
      <c r="E38" s="61">
        <v>125</v>
      </c>
      <c r="F38" s="62">
        <v>35</v>
      </c>
      <c r="G38" s="62">
        <v>15</v>
      </c>
      <c r="H38" s="70">
        <f t="shared" si="1"/>
        <v>25</v>
      </c>
      <c r="I38" s="62">
        <v>98</v>
      </c>
      <c r="J38" s="62">
        <v>75</v>
      </c>
      <c r="K38" s="62">
        <v>1</v>
      </c>
      <c r="L38" s="62">
        <v>30</v>
      </c>
      <c r="M38" s="71">
        <f t="shared" si="2"/>
        <v>16.184533848875059</v>
      </c>
      <c r="N38" s="72">
        <f t="shared" si="3"/>
        <v>0.2824740641090327</v>
      </c>
      <c r="O38" s="72">
        <f t="shared" si="20"/>
        <v>1.8068385373577491</v>
      </c>
      <c r="P38" s="72">
        <f t="shared" si="21"/>
        <v>0.98188804357224546</v>
      </c>
      <c r="Q38" s="71">
        <f t="shared" si="22"/>
        <v>38.304207869756006</v>
      </c>
      <c r="R38" s="72">
        <f t="shared" si="23"/>
        <v>1</v>
      </c>
      <c r="S38" s="71">
        <f t="shared" si="24"/>
        <v>13.80319738241214</v>
      </c>
      <c r="T38" s="72">
        <f t="shared" si="25"/>
        <v>5.6226812384961216</v>
      </c>
      <c r="U38" s="72">
        <f t="shared" si="26"/>
        <v>1.7053462321157722</v>
      </c>
      <c r="V38" s="72">
        <f t="shared" si="27"/>
        <v>4.2170109288720914</v>
      </c>
      <c r="W38" s="72">
        <f t="shared" si="28"/>
        <v>1.6712393074734566</v>
      </c>
      <c r="X38" s="72">
        <f t="shared" si="29"/>
        <v>2.9441251181727739</v>
      </c>
      <c r="Y38" s="72">
        <f t="shared" si="30"/>
        <v>0.71988861713317309</v>
      </c>
      <c r="Z38" s="72">
        <f t="shared" si="31"/>
        <v>3.8557764635098803</v>
      </c>
      <c r="AA38" s="72">
        <f t="shared" si="32"/>
        <v>19.244223536490122</v>
      </c>
      <c r="AB38" s="72">
        <f t="shared" si="33"/>
        <v>3.1677777175068473</v>
      </c>
      <c r="AC38" s="72">
        <f t="shared" si="34"/>
        <v>0.18868182684282603</v>
      </c>
      <c r="AD38" s="73">
        <f t="shared" si="35"/>
        <v>1206.0988078320233</v>
      </c>
      <c r="AE38" s="71">
        <f t="shared" si="36"/>
        <v>193.25470065891747</v>
      </c>
      <c r="AF38" s="74">
        <f t="shared" si="37"/>
        <v>5.8639999173037172</v>
      </c>
      <c r="AG38" s="75">
        <f t="shared" si="38"/>
        <v>6.4753658837121293</v>
      </c>
      <c r="AH38" s="76">
        <f t="shared" si="39"/>
        <v>4.3012267184041919</v>
      </c>
      <c r="AI38" s="77">
        <f t="shared" si="40"/>
        <v>5.8672184638494684</v>
      </c>
    </row>
    <row r="39" spans="1:35" ht="15.75" customHeight="1" x14ac:dyDescent="0.45">
      <c r="A39" s="59">
        <f t="shared" si="0"/>
        <v>45783</v>
      </c>
      <c r="B39" s="60">
        <v>2025</v>
      </c>
      <c r="C39" s="60">
        <v>5</v>
      </c>
      <c r="D39" s="60">
        <v>6</v>
      </c>
      <c r="E39" s="61">
        <v>126</v>
      </c>
      <c r="F39" s="62">
        <v>35</v>
      </c>
      <c r="G39" s="62">
        <v>15</v>
      </c>
      <c r="H39" s="70">
        <f t="shared" si="1"/>
        <v>25</v>
      </c>
      <c r="I39" s="62">
        <v>98</v>
      </c>
      <c r="J39" s="62">
        <v>75</v>
      </c>
      <c r="K39" s="62">
        <v>1</v>
      </c>
      <c r="L39" s="62">
        <v>30</v>
      </c>
      <c r="M39" s="71">
        <f t="shared" si="2"/>
        <v>16.47423836745967</v>
      </c>
      <c r="N39" s="72">
        <f t="shared" si="3"/>
        <v>0.28753037364006279</v>
      </c>
      <c r="O39" s="72">
        <f t="shared" si="20"/>
        <v>1.8113910456822346</v>
      </c>
      <c r="P39" s="72">
        <f t="shared" si="21"/>
        <v>0.98141588778615785</v>
      </c>
      <c r="Q39" s="71">
        <f t="shared" si="22"/>
        <v>38.448467391676829</v>
      </c>
      <c r="R39" s="72">
        <f t="shared" si="23"/>
        <v>1</v>
      </c>
      <c r="S39" s="71">
        <f t="shared" si="24"/>
        <v>13.837975902843658</v>
      </c>
      <c r="T39" s="72">
        <f t="shared" si="25"/>
        <v>5.6226812384961216</v>
      </c>
      <c r="U39" s="72">
        <f t="shared" si="26"/>
        <v>1.7053462321157722</v>
      </c>
      <c r="V39" s="72">
        <f t="shared" si="27"/>
        <v>4.2170109288720914</v>
      </c>
      <c r="W39" s="72">
        <f t="shared" si="28"/>
        <v>1.6712393074734566</v>
      </c>
      <c r="X39" s="72">
        <f t="shared" si="29"/>
        <v>2.9441251181727739</v>
      </c>
      <c r="Y39" s="72">
        <f t="shared" si="30"/>
        <v>0.71988861713317309</v>
      </c>
      <c r="Z39" s="72">
        <f t="shared" si="31"/>
        <v>3.8557764635098803</v>
      </c>
      <c r="AA39" s="72">
        <f t="shared" si="32"/>
        <v>19.244223536490122</v>
      </c>
      <c r="AB39" s="72">
        <f t="shared" si="33"/>
        <v>3.1677777175068473</v>
      </c>
      <c r="AC39" s="72">
        <f t="shared" si="34"/>
        <v>0.18868182684282603</v>
      </c>
      <c r="AD39" s="73">
        <f t="shared" si="35"/>
        <v>1206.0988078320233</v>
      </c>
      <c r="AE39" s="71">
        <f t="shared" si="36"/>
        <v>193.25470065891747</v>
      </c>
      <c r="AF39" s="74">
        <f t="shared" si="37"/>
        <v>5.8639999173037172</v>
      </c>
      <c r="AG39" s="75">
        <f t="shared" si="38"/>
        <v>6.4997531048190904</v>
      </c>
      <c r="AH39" s="76">
        <f t="shared" si="39"/>
        <v>4.3012267184041919</v>
      </c>
      <c r="AI39" s="77">
        <f t="shared" si="40"/>
        <v>5.8672184638494684</v>
      </c>
    </row>
    <row r="40" spans="1:35" ht="15.75" customHeight="1" x14ac:dyDescent="0.45">
      <c r="A40" s="59">
        <f t="shared" si="0"/>
        <v>45784</v>
      </c>
      <c r="B40" s="60">
        <v>2025</v>
      </c>
      <c r="C40" s="60">
        <v>5</v>
      </c>
      <c r="D40" s="60">
        <v>7</v>
      </c>
      <c r="E40" s="61">
        <v>127</v>
      </c>
      <c r="F40" s="62">
        <v>35</v>
      </c>
      <c r="G40" s="62">
        <v>15</v>
      </c>
      <c r="H40" s="70">
        <f t="shared" si="1"/>
        <v>25</v>
      </c>
      <c r="I40" s="62">
        <v>98</v>
      </c>
      <c r="J40" s="62">
        <v>75</v>
      </c>
      <c r="K40" s="62">
        <v>1</v>
      </c>
      <c r="L40" s="62">
        <v>30</v>
      </c>
      <c r="M40" s="71">
        <f t="shared" si="2"/>
        <v>16.759061190842409</v>
      </c>
      <c r="N40" s="72">
        <f t="shared" si="3"/>
        <v>0.29250148131750286</v>
      </c>
      <c r="O40" s="72">
        <f t="shared" si="20"/>
        <v>1.8158851164673839</v>
      </c>
      <c r="P40" s="72">
        <f t="shared" si="21"/>
        <v>0.98094923889935159</v>
      </c>
      <c r="Q40" s="71">
        <f t="shared" si="22"/>
        <v>38.589629056771109</v>
      </c>
      <c r="R40" s="72">
        <f t="shared" si="23"/>
        <v>1</v>
      </c>
      <c r="S40" s="71">
        <f t="shared" si="24"/>
        <v>13.872307994403238</v>
      </c>
      <c r="T40" s="72">
        <f t="shared" si="25"/>
        <v>5.6226812384961216</v>
      </c>
      <c r="U40" s="72">
        <f t="shared" si="26"/>
        <v>1.7053462321157722</v>
      </c>
      <c r="V40" s="72">
        <f t="shared" si="27"/>
        <v>4.2170109288720914</v>
      </c>
      <c r="W40" s="72">
        <f t="shared" si="28"/>
        <v>1.6712393074734566</v>
      </c>
      <c r="X40" s="72">
        <f t="shared" si="29"/>
        <v>2.9441251181727739</v>
      </c>
      <c r="Y40" s="72">
        <f t="shared" si="30"/>
        <v>0.71988861713317309</v>
      </c>
      <c r="Z40" s="72">
        <f t="shared" si="31"/>
        <v>3.8557764635098803</v>
      </c>
      <c r="AA40" s="72">
        <f t="shared" si="32"/>
        <v>19.244223536490122</v>
      </c>
      <c r="AB40" s="72">
        <f t="shared" si="33"/>
        <v>3.1677777175068473</v>
      </c>
      <c r="AC40" s="72">
        <f t="shared" si="34"/>
        <v>0.18868182684282603</v>
      </c>
      <c r="AD40" s="73">
        <f t="shared" si="35"/>
        <v>1206.0988078320233</v>
      </c>
      <c r="AE40" s="71">
        <f t="shared" si="36"/>
        <v>193.25470065891747</v>
      </c>
      <c r="AF40" s="74">
        <f t="shared" si="37"/>
        <v>5.8639999173037172</v>
      </c>
      <c r="AG40" s="75">
        <f t="shared" si="38"/>
        <v>6.5236166300314515</v>
      </c>
      <c r="AH40" s="76">
        <f t="shared" si="39"/>
        <v>4.3012267184041919</v>
      </c>
      <c r="AI40" s="77">
        <f t="shared" si="40"/>
        <v>5.8672184638494684</v>
      </c>
    </row>
    <row r="41" spans="1:35" ht="15.75" customHeight="1" x14ac:dyDescent="0.45">
      <c r="A41" s="59">
        <f t="shared" si="0"/>
        <v>45785</v>
      </c>
      <c r="B41" s="60">
        <v>2025</v>
      </c>
      <c r="C41" s="60">
        <v>5</v>
      </c>
      <c r="D41" s="60">
        <v>8</v>
      </c>
      <c r="E41" s="61">
        <v>128</v>
      </c>
      <c r="F41" s="62">
        <v>35</v>
      </c>
      <c r="G41" s="62">
        <v>15</v>
      </c>
      <c r="H41" s="70">
        <f t="shared" si="1"/>
        <v>25</v>
      </c>
      <c r="I41" s="62">
        <v>98</v>
      </c>
      <c r="J41" s="62">
        <v>75</v>
      </c>
      <c r="K41" s="62">
        <v>1</v>
      </c>
      <c r="L41" s="62">
        <v>30</v>
      </c>
      <c r="M41" s="71">
        <f t="shared" si="2"/>
        <v>17.038917919479015</v>
      </c>
      <c r="N41" s="72">
        <f t="shared" si="3"/>
        <v>0.29738591408797377</v>
      </c>
      <c r="O41" s="72">
        <f t="shared" si="20"/>
        <v>1.8203189004963267</v>
      </c>
      <c r="P41" s="72">
        <f t="shared" si="21"/>
        <v>0.98048823519060957</v>
      </c>
      <c r="Q41" s="71">
        <f t="shared" si="22"/>
        <v>38.727678849867409</v>
      </c>
      <c r="R41" s="72">
        <f t="shared" si="23"/>
        <v>1</v>
      </c>
      <c r="S41" s="71">
        <f t="shared" si="24"/>
        <v>13.906179530147645</v>
      </c>
      <c r="T41" s="72">
        <f t="shared" si="25"/>
        <v>5.6226812384961216</v>
      </c>
      <c r="U41" s="72">
        <f t="shared" si="26"/>
        <v>1.7053462321157722</v>
      </c>
      <c r="V41" s="72">
        <f t="shared" si="27"/>
        <v>4.2170109288720914</v>
      </c>
      <c r="W41" s="72">
        <f t="shared" si="28"/>
        <v>1.6712393074734566</v>
      </c>
      <c r="X41" s="72">
        <f t="shared" si="29"/>
        <v>2.9441251181727739</v>
      </c>
      <c r="Y41" s="72">
        <f t="shared" si="30"/>
        <v>0.71988861713317309</v>
      </c>
      <c r="Z41" s="72">
        <f t="shared" si="31"/>
        <v>3.8557764635098803</v>
      </c>
      <c r="AA41" s="72">
        <f t="shared" si="32"/>
        <v>19.244223536490122</v>
      </c>
      <c r="AB41" s="72">
        <f t="shared" si="33"/>
        <v>3.1677777175068473</v>
      </c>
      <c r="AC41" s="72">
        <f t="shared" si="34"/>
        <v>0.18868182684282603</v>
      </c>
      <c r="AD41" s="73">
        <f t="shared" si="35"/>
        <v>1206.0988078320233</v>
      </c>
      <c r="AE41" s="71">
        <f t="shared" si="36"/>
        <v>193.25470065891747</v>
      </c>
      <c r="AF41" s="74">
        <f t="shared" si="37"/>
        <v>5.8639999173037172</v>
      </c>
      <c r="AG41" s="75">
        <f t="shared" si="38"/>
        <v>6.5469540900700167</v>
      </c>
      <c r="AH41" s="76">
        <f t="shared" si="39"/>
        <v>4.3012267184041919</v>
      </c>
      <c r="AI41" s="77">
        <f t="shared" si="40"/>
        <v>5.8672184638494684</v>
      </c>
    </row>
    <row r="42" spans="1:35" ht="15.75" customHeight="1" x14ac:dyDescent="0.45">
      <c r="A42" s="59">
        <f t="shared" si="0"/>
        <v>45786</v>
      </c>
      <c r="B42" s="60">
        <v>2025</v>
      </c>
      <c r="C42" s="60">
        <v>5</v>
      </c>
      <c r="D42" s="60">
        <v>9</v>
      </c>
      <c r="E42" s="61">
        <v>129</v>
      </c>
      <c r="F42" s="62">
        <v>35</v>
      </c>
      <c r="G42" s="62">
        <v>15</v>
      </c>
      <c r="H42" s="70">
        <f t="shared" si="1"/>
        <v>25</v>
      </c>
      <c r="I42" s="62">
        <v>98</v>
      </c>
      <c r="J42" s="62">
        <v>75</v>
      </c>
      <c r="K42" s="62">
        <v>1</v>
      </c>
      <c r="L42" s="62">
        <v>30</v>
      </c>
      <c r="M42" s="71">
        <f t="shared" si="2"/>
        <v>17.313725625393154</v>
      </c>
      <c r="N42" s="72">
        <f t="shared" si="3"/>
        <v>0.30218222458186184</v>
      </c>
      <c r="O42" s="72">
        <f t="shared" si="20"/>
        <v>1.824690529364805</v>
      </c>
      <c r="P42" s="72">
        <f t="shared" si="21"/>
        <v>0.98003301326591885</v>
      </c>
      <c r="Q42" s="71">
        <f t="shared" si="22"/>
        <v>38.86260382139325</v>
      </c>
      <c r="R42" s="72">
        <f t="shared" si="23"/>
        <v>1</v>
      </c>
      <c r="S42" s="71">
        <f t="shared" si="24"/>
        <v>13.939576236553133</v>
      </c>
      <c r="T42" s="72">
        <f t="shared" si="25"/>
        <v>5.6226812384961216</v>
      </c>
      <c r="U42" s="72">
        <f t="shared" si="26"/>
        <v>1.7053462321157722</v>
      </c>
      <c r="V42" s="72">
        <f t="shared" si="27"/>
        <v>4.2170109288720914</v>
      </c>
      <c r="W42" s="72">
        <f t="shared" si="28"/>
        <v>1.6712393074734566</v>
      </c>
      <c r="X42" s="72">
        <f t="shared" si="29"/>
        <v>2.9441251181727739</v>
      </c>
      <c r="Y42" s="72">
        <f t="shared" si="30"/>
        <v>0.71988861713317309</v>
      </c>
      <c r="Z42" s="72">
        <f t="shared" si="31"/>
        <v>3.8557764635098803</v>
      </c>
      <c r="AA42" s="72">
        <f t="shared" si="32"/>
        <v>19.244223536490122</v>
      </c>
      <c r="AB42" s="72">
        <f t="shared" si="33"/>
        <v>3.1677777175068473</v>
      </c>
      <c r="AC42" s="72">
        <f t="shared" si="34"/>
        <v>0.18868182684282603</v>
      </c>
      <c r="AD42" s="73">
        <f t="shared" si="35"/>
        <v>1206.0988078320233</v>
      </c>
      <c r="AE42" s="71">
        <f t="shared" si="36"/>
        <v>193.25470065891747</v>
      </c>
      <c r="AF42" s="74">
        <f t="shared" si="37"/>
        <v>5.8639999173037172</v>
      </c>
      <c r="AG42" s="75">
        <f t="shared" si="38"/>
        <v>6.5697632957961876</v>
      </c>
      <c r="AH42" s="76">
        <f t="shared" si="39"/>
        <v>4.3012267184041919</v>
      </c>
      <c r="AI42" s="77">
        <f t="shared" si="40"/>
        <v>5.8672184638494684</v>
      </c>
    </row>
    <row r="43" spans="1:35" ht="15.75" customHeight="1" x14ac:dyDescent="0.45">
      <c r="A43" s="59">
        <f t="shared" si="0"/>
        <v>45787</v>
      </c>
      <c r="B43" s="60">
        <v>2025</v>
      </c>
      <c r="C43" s="60">
        <v>5</v>
      </c>
      <c r="D43" s="60">
        <v>10</v>
      </c>
      <c r="E43" s="61">
        <v>130</v>
      </c>
      <c r="F43" s="62">
        <v>35</v>
      </c>
      <c r="G43" s="62">
        <v>15</v>
      </c>
      <c r="H43" s="70">
        <f t="shared" si="1"/>
        <v>25</v>
      </c>
      <c r="I43" s="62">
        <v>98</v>
      </c>
      <c r="J43" s="62">
        <v>75</v>
      </c>
      <c r="K43" s="62">
        <v>1</v>
      </c>
      <c r="L43" s="62">
        <v>30</v>
      </c>
      <c r="M43" s="71">
        <f t="shared" si="2"/>
        <v>17.583402876749897</v>
      </c>
      <c r="N43" s="72">
        <f t="shared" si="3"/>
        <v>0.30688899154220817</v>
      </c>
      <c r="O43" s="72">
        <f t="shared" si="20"/>
        <v>1.8289981170528733</v>
      </c>
      <c r="P43" s="72">
        <f t="shared" si="21"/>
        <v>0.979583708017991</v>
      </c>
      <c r="Q43" s="71">
        <f t="shared" si="22"/>
        <v>38.994392043305268</v>
      </c>
      <c r="R43" s="72">
        <f t="shared" si="23"/>
        <v>1</v>
      </c>
      <c r="S43" s="71">
        <f t="shared" si="24"/>
        <v>13.972483705522333</v>
      </c>
      <c r="T43" s="72">
        <f t="shared" si="25"/>
        <v>5.6226812384961216</v>
      </c>
      <c r="U43" s="72">
        <f t="shared" si="26"/>
        <v>1.7053462321157722</v>
      </c>
      <c r="V43" s="72">
        <f t="shared" si="27"/>
        <v>4.2170109288720914</v>
      </c>
      <c r="W43" s="72">
        <f t="shared" si="28"/>
        <v>1.6712393074734566</v>
      </c>
      <c r="X43" s="72">
        <f t="shared" si="29"/>
        <v>2.9441251181727739</v>
      </c>
      <c r="Y43" s="72">
        <f t="shared" si="30"/>
        <v>0.71988861713317309</v>
      </c>
      <c r="Z43" s="72">
        <f t="shared" si="31"/>
        <v>3.8557764635098803</v>
      </c>
      <c r="AA43" s="72">
        <f t="shared" si="32"/>
        <v>19.244223536490122</v>
      </c>
      <c r="AB43" s="72">
        <f t="shared" si="33"/>
        <v>3.1677777175068473</v>
      </c>
      <c r="AC43" s="72">
        <f t="shared" si="34"/>
        <v>0.18868182684282603</v>
      </c>
      <c r="AD43" s="73">
        <f t="shared" si="35"/>
        <v>1206.0988078320233</v>
      </c>
      <c r="AE43" s="71">
        <f t="shared" si="36"/>
        <v>193.25470065891747</v>
      </c>
      <c r="AF43" s="74">
        <f t="shared" si="37"/>
        <v>5.8639999173037172</v>
      </c>
      <c r="AG43" s="75">
        <f t="shared" si="38"/>
        <v>6.59204223076192</v>
      </c>
      <c r="AH43" s="76">
        <f t="shared" si="39"/>
        <v>4.3012267184041919</v>
      </c>
      <c r="AI43" s="77">
        <f t="shared" si="40"/>
        <v>5.8672184638494684</v>
      </c>
    </row>
    <row r="44" spans="1:35" ht="15.75" customHeight="1" x14ac:dyDescent="0.45">
      <c r="A44" s="59">
        <f t="shared" si="0"/>
        <v>45788</v>
      </c>
      <c r="B44" s="60">
        <v>2025</v>
      </c>
      <c r="C44" s="60">
        <v>5</v>
      </c>
      <c r="D44" s="60">
        <v>11</v>
      </c>
      <c r="E44" s="61">
        <v>131</v>
      </c>
      <c r="F44" s="62">
        <v>35</v>
      </c>
      <c r="G44" s="62">
        <v>15</v>
      </c>
      <c r="H44" s="70">
        <f t="shared" si="1"/>
        <v>25</v>
      </c>
      <c r="I44" s="62">
        <v>98</v>
      </c>
      <c r="J44" s="62">
        <v>75</v>
      </c>
      <c r="K44" s="62">
        <v>1</v>
      </c>
      <c r="L44" s="62">
        <v>30</v>
      </c>
      <c r="M44" s="71">
        <f t="shared" si="2"/>
        <v>17.847869761985827</v>
      </c>
      <c r="N44" s="72">
        <f t="shared" si="3"/>
        <v>0.31150482024585929</v>
      </c>
      <c r="O44" s="72">
        <f t="shared" si="20"/>
        <v>1.8332397616259564</v>
      </c>
      <c r="P44" s="72">
        <f t="shared" si="21"/>
        <v>0.97914045258629057</v>
      </c>
      <c r="Q44" s="71">
        <f t="shared" si="22"/>
        <v>39.123032565121768</v>
      </c>
      <c r="R44" s="72">
        <f t="shared" si="23"/>
        <v>1</v>
      </c>
      <c r="S44" s="71">
        <f t="shared" si="24"/>
        <v>14.004887407379346</v>
      </c>
      <c r="T44" s="72">
        <f t="shared" si="25"/>
        <v>5.6226812384961216</v>
      </c>
      <c r="U44" s="72">
        <f t="shared" si="26"/>
        <v>1.7053462321157722</v>
      </c>
      <c r="V44" s="72">
        <f t="shared" si="27"/>
        <v>4.2170109288720914</v>
      </c>
      <c r="W44" s="72">
        <f t="shared" si="28"/>
        <v>1.6712393074734566</v>
      </c>
      <c r="X44" s="72">
        <f t="shared" si="29"/>
        <v>2.9441251181727739</v>
      </c>
      <c r="Y44" s="72">
        <f t="shared" si="30"/>
        <v>0.71988861713317309</v>
      </c>
      <c r="Z44" s="72">
        <f t="shared" si="31"/>
        <v>3.8557764635098803</v>
      </c>
      <c r="AA44" s="72">
        <f t="shared" si="32"/>
        <v>19.244223536490122</v>
      </c>
      <c r="AB44" s="72">
        <f t="shared" si="33"/>
        <v>3.1677777175068473</v>
      </c>
      <c r="AC44" s="72">
        <f t="shared" si="34"/>
        <v>0.18868182684282603</v>
      </c>
      <c r="AD44" s="73">
        <f t="shared" si="35"/>
        <v>1206.0988078320233</v>
      </c>
      <c r="AE44" s="71">
        <f t="shared" si="36"/>
        <v>193.25470065891747</v>
      </c>
      <c r="AF44" s="74">
        <f t="shared" si="37"/>
        <v>5.8639999173037172</v>
      </c>
      <c r="AG44" s="75">
        <f t="shared" si="38"/>
        <v>6.6137890437769773</v>
      </c>
      <c r="AH44" s="76">
        <f t="shared" si="39"/>
        <v>4.3012267184041919</v>
      </c>
      <c r="AI44" s="77">
        <f t="shared" si="40"/>
        <v>5.8672184638494684</v>
      </c>
    </row>
    <row r="45" spans="1:35" ht="15.75" customHeight="1" x14ac:dyDescent="0.45">
      <c r="A45" s="59">
        <f t="shared" si="0"/>
        <v>45789</v>
      </c>
      <c r="B45" s="60">
        <v>2025</v>
      </c>
      <c r="C45" s="60">
        <v>5</v>
      </c>
      <c r="D45" s="60">
        <v>12</v>
      </c>
      <c r="E45" s="61">
        <v>132</v>
      </c>
      <c r="F45" s="62">
        <v>35</v>
      </c>
      <c r="G45" s="62">
        <v>15</v>
      </c>
      <c r="H45" s="70">
        <f t="shared" si="1"/>
        <v>25</v>
      </c>
      <c r="I45" s="62">
        <v>98</v>
      </c>
      <c r="J45" s="62">
        <v>75</v>
      </c>
      <c r="K45" s="62">
        <v>1</v>
      </c>
      <c r="L45" s="62">
        <v>30</v>
      </c>
      <c r="M45" s="71">
        <f t="shared" si="2"/>
        <v>18.107047913488678</v>
      </c>
      <c r="N45" s="72">
        <f t="shared" si="3"/>
        <v>0.31602834291675569</v>
      </c>
      <c r="O45" s="72">
        <f t="shared" si="20"/>
        <v>1.8374135470655411</v>
      </c>
      <c r="P45" s="72">
        <f t="shared" si="21"/>
        <v>0.97870337831758236</v>
      </c>
      <c r="Q45" s="71">
        <f t="shared" si="22"/>
        <v>39.248515370179341</v>
      </c>
      <c r="R45" s="72">
        <f t="shared" si="23"/>
        <v>1</v>
      </c>
      <c r="S45" s="71">
        <f t="shared" si="24"/>
        <v>14.036772704855165</v>
      </c>
      <c r="T45" s="72">
        <f t="shared" si="25"/>
        <v>5.6226812384961216</v>
      </c>
      <c r="U45" s="72">
        <f t="shared" si="26"/>
        <v>1.7053462321157722</v>
      </c>
      <c r="V45" s="72">
        <f t="shared" si="27"/>
        <v>4.2170109288720914</v>
      </c>
      <c r="W45" s="72">
        <f t="shared" si="28"/>
        <v>1.6712393074734566</v>
      </c>
      <c r="X45" s="72">
        <f t="shared" si="29"/>
        <v>2.9441251181727739</v>
      </c>
      <c r="Y45" s="72">
        <f t="shared" si="30"/>
        <v>0.71988861713317309</v>
      </c>
      <c r="Z45" s="72">
        <f t="shared" si="31"/>
        <v>3.8557764635098803</v>
      </c>
      <c r="AA45" s="72">
        <f t="shared" si="32"/>
        <v>19.244223536490122</v>
      </c>
      <c r="AB45" s="72">
        <f t="shared" si="33"/>
        <v>3.1677777175068473</v>
      </c>
      <c r="AC45" s="72">
        <f t="shared" si="34"/>
        <v>0.18868182684282603</v>
      </c>
      <c r="AD45" s="73">
        <f t="shared" si="35"/>
        <v>1206.0988078320233</v>
      </c>
      <c r="AE45" s="71">
        <f t="shared" si="36"/>
        <v>193.25470065891747</v>
      </c>
      <c r="AF45" s="74">
        <f t="shared" si="37"/>
        <v>5.8639999173037172</v>
      </c>
      <c r="AG45" s="75">
        <f t="shared" si="38"/>
        <v>6.6350020415140705</v>
      </c>
      <c r="AH45" s="76">
        <f t="shared" si="39"/>
        <v>4.3012267184041919</v>
      </c>
      <c r="AI45" s="77">
        <f t="shared" si="40"/>
        <v>5.8672184638494684</v>
      </c>
    </row>
    <row r="46" spans="1:35" ht="15.75" customHeight="1" x14ac:dyDescent="0.45">
      <c r="A46" s="59">
        <f t="shared" si="0"/>
        <v>45790</v>
      </c>
      <c r="B46" s="60">
        <v>2025</v>
      </c>
      <c r="C46" s="60">
        <v>5</v>
      </c>
      <c r="D46" s="60">
        <v>13</v>
      </c>
      <c r="E46" s="61">
        <v>133</v>
      </c>
      <c r="F46" s="62">
        <v>35</v>
      </c>
      <c r="G46" s="62">
        <v>15</v>
      </c>
      <c r="H46" s="70">
        <f t="shared" si="1"/>
        <v>25</v>
      </c>
      <c r="I46" s="62">
        <v>98</v>
      </c>
      <c r="J46" s="62">
        <v>75</v>
      </c>
      <c r="K46" s="62">
        <v>1</v>
      </c>
      <c r="L46" s="62">
        <v>30</v>
      </c>
      <c r="M46" s="71">
        <f t="shared" si="2"/>
        <v>18.360860530819469</v>
      </c>
      <c r="N46" s="72">
        <f t="shared" si="3"/>
        <v>0.32045821913123579</v>
      </c>
      <c r="O46" s="72">
        <f t="shared" si="20"/>
        <v>1.8415175452292725</v>
      </c>
      <c r="P46" s="72">
        <f t="shared" si="21"/>
        <v>0.97827261472701077</v>
      </c>
      <c r="Q46" s="71">
        <f t="shared" si="22"/>
        <v>39.370831332229969</v>
      </c>
      <c r="R46" s="72">
        <f t="shared" si="23"/>
        <v>1</v>
      </c>
      <c r="S46" s="71">
        <f t="shared" si="24"/>
        <v>14.068124868061668</v>
      </c>
      <c r="T46" s="72">
        <f t="shared" si="25"/>
        <v>5.6226812384961216</v>
      </c>
      <c r="U46" s="72">
        <f t="shared" si="26"/>
        <v>1.7053462321157722</v>
      </c>
      <c r="V46" s="72">
        <f t="shared" si="27"/>
        <v>4.2170109288720914</v>
      </c>
      <c r="W46" s="72">
        <f t="shared" si="28"/>
        <v>1.6712393074734566</v>
      </c>
      <c r="X46" s="72">
        <f t="shared" si="29"/>
        <v>2.9441251181727739</v>
      </c>
      <c r="Y46" s="72">
        <f t="shared" si="30"/>
        <v>0.71988861713317309</v>
      </c>
      <c r="Z46" s="72">
        <f t="shared" si="31"/>
        <v>3.8557764635098803</v>
      </c>
      <c r="AA46" s="72">
        <f t="shared" si="32"/>
        <v>19.244223536490122</v>
      </c>
      <c r="AB46" s="72">
        <f t="shared" si="33"/>
        <v>3.1677777175068473</v>
      </c>
      <c r="AC46" s="72">
        <f t="shared" si="34"/>
        <v>0.18868182684282603</v>
      </c>
      <c r="AD46" s="73">
        <f t="shared" si="35"/>
        <v>1206.0988078320233</v>
      </c>
      <c r="AE46" s="71">
        <f t="shared" si="36"/>
        <v>193.25470065891747</v>
      </c>
      <c r="AF46" s="74">
        <f t="shared" si="37"/>
        <v>5.8639999173037172</v>
      </c>
      <c r="AG46" s="75">
        <f t="shared" si="38"/>
        <v>6.6556796811715513</v>
      </c>
      <c r="AH46" s="76">
        <f t="shared" si="39"/>
        <v>4.3012267184041919</v>
      </c>
      <c r="AI46" s="77">
        <f t="shared" si="40"/>
        <v>5.8672184638494684</v>
      </c>
    </row>
    <row r="47" spans="1:35" ht="15.75" customHeight="1" x14ac:dyDescent="0.45">
      <c r="A47" s="59">
        <f t="shared" si="0"/>
        <v>45791</v>
      </c>
      <c r="B47" s="60">
        <v>2025</v>
      </c>
      <c r="C47" s="60">
        <v>5</v>
      </c>
      <c r="D47" s="60">
        <v>14</v>
      </c>
      <c r="E47" s="61">
        <v>134</v>
      </c>
      <c r="F47" s="62">
        <v>35</v>
      </c>
      <c r="G47" s="62">
        <v>15</v>
      </c>
      <c r="H47" s="70">
        <f t="shared" si="1"/>
        <v>25</v>
      </c>
      <c r="I47" s="62">
        <v>98</v>
      </c>
      <c r="J47" s="62">
        <v>75</v>
      </c>
      <c r="K47" s="62">
        <v>1</v>
      </c>
      <c r="L47" s="62">
        <v>30</v>
      </c>
      <c r="M47" s="71">
        <f t="shared" si="2"/>
        <v>18.609232403470212</v>
      </c>
      <c r="N47" s="72">
        <f t="shared" si="3"/>
        <v>0.32479313621523342</v>
      </c>
      <c r="O47" s="72">
        <f t="shared" si="20"/>
        <v>1.8455498179396708</v>
      </c>
      <c r="P47" s="72">
        <f t="shared" si="21"/>
        <v>0.97784828945972124</v>
      </c>
      <c r="Q47" s="71">
        <f t="shared" si="22"/>
        <v>39.489972172490333</v>
      </c>
      <c r="R47" s="72">
        <f t="shared" si="23"/>
        <v>1</v>
      </c>
      <c r="S47" s="71">
        <f t="shared" si="24"/>
        <v>14.098929090448211</v>
      </c>
      <c r="T47" s="72">
        <f t="shared" si="25"/>
        <v>5.6226812384961216</v>
      </c>
      <c r="U47" s="72">
        <f t="shared" si="26"/>
        <v>1.7053462321157722</v>
      </c>
      <c r="V47" s="72">
        <f t="shared" si="27"/>
        <v>4.2170109288720914</v>
      </c>
      <c r="W47" s="72">
        <f t="shared" si="28"/>
        <v>1.6712393074734566</v>
      </c>
      <c r="X47" s="72">
        <f t="shared" si="29"/>
        <v>2.9441251181727739</v>
      </c>
      <c r="Y47" s="72">
        <f t="shared" si="30"/>
        <v>0.71988861713317309</v>
      </c>
      <c r="Z47" s="72">
        <f t="shared" si="31"/>
        <v>3.8557764635098803</v>
      </c>
      <c r="AA47" s="72">
        <f t="shared" si="32"/>
        <v>19.244223536490122</v>
      </c>
      <c r="AB47" s="72">
        <f t="shared" si="33"/>
        <v>3.1677777175068473</v>
      </c>
      <c r="AC47" s="72">
        <f t="shared" si="34"/>
        <v>0.18868182684282603</v>
      </c>
      <c r="AD47" s="73">
        <f t="shared" si="35"/>
        <v>1206.0988078320233</v>
      </c>
      <c r="AE47" s="71">
        <f t="shared" si="36"/>
        <v>193.25470065891747</v>
      </c>
      <c r="AF47" s="74">
        <f t="shared" si="37"/>
        <v>5.8639999173037172</v>
      </c>
      <c r="AG47" s="75">
        <f t="shared" si="38"/>
        <v>6.6758205632125538</v>
      </c>
      <c r="AH47" s="76">
        <f t="shared" si="39"/>
        <v>4.3012267184041919</v>
      </c>
      <c r="AI47" s="77">
        <f t="shared" si="40"/>
        <v>5.8672184638494684</v>
      </c>
    </row>
    <row r="48" spans="1:35" ht="15.75" customHeight="1" x14ac:dyDescent="0.45">
      <c r="A48" s="59">
        <f t="shared" si="0"/>
        <v>45792</v>
      </c>
      <c r="B48" s="60">
        <v>2025</v>
      </c>
      <c r="C48" s="60">
        <v>5</v>
      </c>
      <c r="D48" s="60">
        <v>15</v>
      </c>
      <c r="E48" s="61">
        <v>135</v>
      </c>
      <c r="F48" s="62">
        <v>35</v>
      </c>
      <c r="G48" s="62">
        <v>15</v>
      </c>
      <c r="H48" s="70">
        <f t="shared" si="1"/>
        <v>25</v>
      </c>
      <c r="I48" s="62">
        <v>98</v>
      </c>
      <c r="J48" s="62">
        <v>75</v>
      </c>
      <c r="K48" s="62">
        <v>1</v>
      </c>
      <c r="L48" s="62">
        <v>30</v>
      </c>
      <c r="M48" s="71">
        <f t="shared" si="2"/>
        <v>18.852089933150545</v>
      </c>
      <c r="N48" s="72">
        <f t="shared" si="3"/>
        <v>0.32903180963325418</v>
      </c>
      <c r="O48" s="72">
        <f t="shared" si="20"/>
        <v>1.8495084192001032</v>
      </c>
      <c r="P48" s="72">
        <f t="shared" si="21"/>
        <v>0.97743052825303633</v>
      </c>
      <c r="Q48" s="71">
        <f t="shared" si="22"/>
        <v>39.605930417250285</v>
      </c>
      <c r="R48" s="72">
        <f t="shared" si="23"/>
        <v>1</v>
      </c>
      <c r="S48" s="71">
        <f t="shared" si="24"/>
        <v>14.129170505730354</v>
      </c>
      <c r="T48" s="72">
        <f t="shared" si="25"/>
        <v>5.6226812384961216</v>
      </c>
      <c r="U48" s="72">
        <f t="shared" si="26"/>
        <v>1.7053462321157722</v>
      </c>
      <c r="V48" s="72">
        <f t="shared" si="27"/>
        <v>4.2170109288720914</v>
      </c>
      <c r="W48" s="72">
        <f t="shared" si="28"/>
        <v>1.6712393074734566</v>
      </c>
      <c r="X48" s="72">
        <f t="shared" si="29"/>
        <v>2.9441251181727739</v>
      </c>
      <c r="Y48" s="72">
        <f t="shared" si="30"/>
        <v>0.71988861713317309</v>
      </c>
      <c r="Z48" s="72">
        <f t="shared" si="31"/>
        <v>3.8557764635098803</v>
      </c>
      <c r="AA48" s="72">
        <f t="shared" si="32"/>
        <v>19.244223536490122</v>
      </c>
      <c r="AB48" s="72">
        <f t="shared" si="33"/>
        <v>3.1677777175068473</v>
      </c>
      <c r="AC48" s="72">
        <f t="shared" si="34"/>
        <v>0.18868182684282603</v>
      </c>
      <c r="AD48" s="73">
        <f t="shared" si="35"/>
        <v>1206.0988078320233</v>
      </c>
      <c r="AE48" s="71">
        <f t="shared" si="36"/>
        <v>193.25470065891747</v>
      </c>
      <c r="AF48" s="74">
        <f t="shared" si="37"/>
        <v>5.8639999173037172</v>
      </c>
      <c r="AG48" s="75">
        <f t="shared" si="38"/>
        <v>6.6954234241986592</v>
      </c>
      <c r="AH48" s="76">
        <f t="shared" si="39"/>
        <v>4.3012267184041919</v>
      </c>
      <c r="AI48" s="77">
        <f t="shared" si="40"/>
        <v>5.8672184638494684</v>
      </c>
    </row>
    <row r="49" spans="1:35" ht="15.75" customHeight="1" x14ac:dyDescent="0.45">
      <c r="A49" s="59">
        <f t="shared" si="0"/>
        <v>45793</v>
      </c>
      <c r="B49" s="60">
        <v>2025</v>
      </c>
      <c r="C49" s="60">
        <v>5</v>
      </c>
      <c r="D49" s="60">
        <v>16</v>
      </c>
      <c r="E49" s="61">
        <v>136</v>
      </c>
      <c r="F49" s="62">
        <v>35</v>
      </c>
      <c r="G49" s="62">
        <v>15</v>
      </c>
      <c r="H49" s="70">
        <f t="shared" si="1"/>
        <v>25</v>
      </c>
      <c r="I49" s="62">
        <v>98</v>
      </c>
      <c r="J49" s="62">
        <v>75</v>
      </c>
      <c r="K49" s="62">
        <v>1</v>
      </c>
      <c r="L49" s="62">
        <v>30</v>
      </c>
      <c r="M49" s="71">
        <f t="shared" si="2"/>
        <v>19.089361155596563</v>
      </c>
      <c r="N49" s="72">
        <f t="shared" si="3"/>
        <v>0.33317298336901202</v>
      </c>
      <c r="O49" s="72">
        <f t="shared" si="20"/>
        <v>1.8533913975360281</v>
      </c>
      <c r="P49" s="72">
        <f t="shared" si="21"/>
        <v>0.9770194548991965</v>
      </c>
      <c r="Q49" s="71">
        <f t="shared" si="22"/>
        <v>39.718699356140647</v>
      </c>
      <c r="R49" s="72">
        <f t="shared" si="23"/>
        <v>1</v>
      </c>
      <c r="S49" s="71">
        <f t="shared" si="24"/>
        <v>14.158834205775616</v>
      </c>
      <c r="T49" s="72">
        <f t="shared" si="25"/>
        <v>5.6226812384961216</v>
      </c>
      <c r="U49" s="72">
        <f t="shared" si="26"/>
        <v>1.7053462321157722</v>
      </c>
      <c r="V49" s="72">
        <f t="shared" si="27"/>
        <v>4.2170109288720914</v>
      </c>
      <c r="W49" s="72">
        <f t="shared" si="28"/>
        <v>1.6712393074734566</v>
      </c>
      <c r="X49" s="72">
        <f t="shared" si="29"/>
        <v>2.9441251181727739</v>
      </c>
      <c r="Y49" s="72">
        <f t="shared" si="30"/>
        <v>0.71988861713317309</v>
      </c>
      <c r="Z49" s="72">
        <f t="shared" si="31"/>
        <v>3.8557764635098803</v>
      </c>
      <c r="AA49" s="72">
        <f t="shared" si="32"/>
        <v>19.244223536490122</v>
      </c>
      <c r="AB49" s="72">
        <f t="shared" si="33"/>
        <v>3.1677777175068473</v>
      </c>
      <c r="AC49" s="72">
        <f t="shared" si="34"/>
        <v>0.18868182684282603</v>
      </c>
      <c r="AD49" s="73">
        <f t="shared" si="35"/>
        <v>1206.0988078320233</v>
      </c>
      <c r="AE49" s="71">
        <f t="shared" si="36"/>
        <v>193.25470065891747</v>
      </c>
      <c r="AF49" s="74">
        <f t="shared" si="37"/>
        <v>5.8639999173037172</v>
      </c>
      <c r="AG49" s="75">
        <f t="shared" si="38"/>
        <v>6.7144871297350335</v>
      </c>
      <c r="AH49" s="76">
        <f t="shared" si="39"/>
        <v>4.3012267184041919</v>
      </c>
      <c r="AI49" s="77">
        <f t="shared" si="40"/>
        <v>5.8672184638494684</v>
      </c>
    </row>
    <row r="50" spans="1:35" ht="15.75" customHeight="1" x14ac:dyDescent="0.45">
      <c r="A50" s="59">
        <f t="shared" si="0"/>
        <v>45794</v>
      </c>
      <c r="B50" s="60">
        <v>2025</v>
      </c>
      <c r="C50" s="60">
        <v>5</v>
      </c>
      <c r="D50" s="60">
        <v>17</v>
      </c>
      <c r="E50" s="61">
        <v>137</v>
      </c>
      <c r="F50" s="62">
        <v>35</v>
      </c>
      <c r="G50" s="62">
        <v>15</v>
      </c>
      <c r="H50" s="70">
        <f t="shared" si="1"/>
        <v>25</v>
      </c>
      <c r="I50" s="62">
        <v>98</v>
      </c>
      <c r="J50" s="62">
        <v>75</v>
      </c>
      <c r="K50" s="62">
        <v>1</v>
      </c>
      <c r="L50" s="62">
        <v>30</v>
      </c>
      <c r="M50" s="71">
        <f t="shared" si="2"/>
        <v>19.320975761895511</v>
      </c>
      <c r="N50" s="72">
        <f t="shared" si="3"/>
        <v>0.3372154302976163</v>
      </c>
      <c r="O50" s="72">
        <f t="shared" si="20"/>
        <v>1.8571967984588733</v>
      </c>
      <c r="P50" s="72">
        <f t="shared" si="21"/>
        <v>0.97661519120867779</v>
      </c>
      <c r="Q50" s="71">
        <f t="shared" si="22"/>
        <v>39.828273001155765</v>
      </c>
      <c r="R50" s="72">
        <f t="shared" si="23"/>
        <v>1</v>
      </c>
      <c r="S50" s="71">
        <f t="shared" si="24"/>
        <v>14.187905259426076</v>
      </c>
      <c r="T50" s="72">
        <f t="shared" si="25"/>
        <v>5.6226812384961216</v>
      </c>
      <c r="U50" s="72">
        <f t="shared" si="26"/>
        <v>1.7053462321157722</v>
      </c>
      <c r="V50" s="72">
        <f t="shared" si="27"/>
        <v>4.2170109288720914</v>
      </c>
      <c r="W50" s="72">
        <f t="shared" si="28"/>
        <v>1.6712393074734566</v>
      </c>
      <c r="X50" s="72">
        <f t="shared" si="29"/>
        <v>2.9441251181727739</v>
      </c>
      <c r="Y50" s="72">
        <f t="shared" si="30"/>
        <v>0.71988861713317309</v>
      </c>
      <c r="Z50" s="72">
        <f t="shared" si="31"/>
        <v>3.8557764635098803</v>
      </c>
      <c r="AA50" s="72">
        <f t="shared" si="32"/>
        <v>19.244223536490122</v>
      </c>
      <c r="AB50" s="72">
        <f t="shared" si="33"/>
        <v>3.1677777175068473</v>
      </c>
      <c r="AC50" s="72">
        <f t="shared" si="34"/>
        <v>0.18868182684282603</v>
      </c>
      <c r="AD50" s="73">
        <f t="shared" si="35"/>
        <v>1206.0988078320233</v>
      </c>
      <c r="AE50" s="71">
        <f t="shared" si="36"/>
        <v>193.25470065891747</v>
      </c>
      <c r="AF50" s="74">
        <f t="shared" si="37"/>
        <v>5.8639999173037172</v>
      </c>
      <c r="AG50" s="75">
        <f t="shared" si="38"/>
        <v>6.7330106675431365</v>
      </c>
      <c r="AH50" s="76">
        <f t="shared" si="39"/>
        <v>4.3012267184041919</v>
      </c>
      <c r="AI50" s="77">
        <f t="shared" si="40"/>
        <v>5.8672184638494684</v>
      </c>
    </row>
    <row r="51" spans="1:35" ht="15.75" customHeight="1" x14ac:dyDescent="0.45">
      <c r="A51" s="59">
        <f t="shared" si="0"/>
        <v>45795</v>
      </c>
      <c r="B51" s="60">
        <v>2025</v>
      </c>
      <c r="C51" s="60">
        <v>5</v>
      </c>
      <c r="D51" s="60">
        <v>18</v>
      </c>
      <c r="E51" s="61">
        <v>138</v>
      </c>
      <c r="F51" s="62">
        <v>35</v>
      </c>
      <c r="G51" s="62">
        <v>15</v>
      </c>
      <c r="H51" s="70">
        <f t="shared" si="1"/>
        <v>25</v>
      </c>
      <c r="I51" s="62">
        <v>98</v>
      </c>
      <c r="J51" s="62">
        <v>75</v>
      </c>
      <c r="K51" s="62">
        <v>1</v>
      </c>
      <c r="L51" s="62">
        <v>30</v>
      </c>
      <c r="M51" s="71">
        <f t="shared" si="2"/>
        <v>19.546865119319914</v>
      </c>
      <c r="N51" s="72">
        <f t="shared" si="3"/>
        <v>0.3411579525491969</v>
      </c>
      <c r="O51" s="72">
        <f t="shared" si="20"/>
        <v>1.8609226670492427</v>
      </c>
      <c r="P51" s="72">
        <f t="shared" si="21"/>
        <v>0.97621785697409669</v>
      </c>
      <c r="Q51" s="71">
        <f t="shared" si="22"/>
        <v>39.934646046518722</v>
      </c>
      <c r="R51" s="72">
        <f t="shared" si="23"/>
        <v>1</v>
      </c>
      <c r="S51" s="71">
        <f t="shared" si="24"/>
        <v>14.216368732232564</v>
      </c>
      <c r="T51" s="72">
        <f t="shared" si="25"/>
        <v>5.6226812384961216</v>
      </c>
      <c r="U51" s="72">
        <f t="shared" si="26"/>
        <v>1.7053462321157722</v>
      </c>
      <c r="V51" s="72">
        <f t="shared" si="27"/>
        <v>4.2170109288720914</v>
      </c>
      <c r="W51" s="72">
        <f t="shared" si="28"/>
        <v>1.6712393074734566</v>
      </c>
      <c r="X51" s="72">
        <f t="shared" si="29"/>
        <v>2.9441251181727739</v>
      </c>
      <c r="Y51" s="72">
        <f t="shared" si="30"/>
        <v>0.71988861713317309</v>
      </c>
      <c r="Z51" s="72">
        <f t="shared" si="31"/>
        <v>3.8557764635098803</v>
      </c>
      <c r="AA51" s="72">
        <f t="shared" si="32"/>
        <v>19.244223536490122</v>
      </c>
      <c r="AB51" s="72">
        <f t="shared" si="33"/>
        <v>3.1677777175068473</v>
      </c>
      <c r="AC51" s="72">
        <f t="shared" si="34"/>
        <v>0.18868182684282603</v>
      </c>
      <c r="AD51" s="73">
        <f t="shared" si="35"/>
        <v>1206.0988078320233</v>
      </c>
      <c r="AE51" s="71">
        <f t="shared" si="36"/>
        <v>193.25470065891747</v>
      </c>
      <c r="AF51" s="74">
        <f t="shared" si="37"/>
        <v>5.8639999173037172</v>
      </c>
      <c r="AG51" s="75">
        <f t="shared" si="38"/>
        <v>6.7509931406759041</v>
      </c>
      <c r="AH51" s="76">
        <f t="shared" si="39"/>
        <v>4.3012267184041919</v>
      </c>
      <c r="AI51" s="77">
        <f t="shared" si="40"/>
        <v>5.8672184638494684</v>
      </c>
    </row>
    <row r="52" spans="1:35" ht="15.75" customHeight="1" x14ac:dyDescent="0.45">
      <c r="A52" s="59">
        <f t="shared" si="0"/>
        <v>45796</v>
      </c>
      <c r="B52" s="60">
        <v>2025</v>
      </c>
      <c r="C52" s="60">
        <v>5</v>
      </c>
      <c r="D52" s="60">
        <v>19</v>
      </c>
      <c r="E52" s="61">
        <v>139</v>
      </c>
      <c r="F52" s="62">
        <v>35</v>
      </c>
      <c r="G52" s="62">
        <v>15</v>
      </c>
      <c r="H52" s="70">
        <f t="shared" si="1"/>
        <v>25</v>
      </c>
      <c r="I52" s="62">
        <v>98</v>
      </c>
      <c r="J52" s="62">
        <v>75</v>
      </c>
      <c r="K52" s="62">
        <v>1</v>
      </c>
      <c r="L52" s="62">
        <v>30</v>
      </c>
      <c r="M52" s="71">
        <f t="shared" si="2"/>
        <v>19.766962291665028</v>
      </c>
      <c r="N52" s="72">
        <f t="shared" si="3"/>
        <v>0.34499938186386025</v>
      </c>
      <c r="O52" s="72">
        <f t="shared" si="20"/>
        <v>1.8645670506554344</v>
      </c>
      <c r="P52" s="72">
        <f t="shared" si="21"/>
        <v>0.97582756993471276</v>
      </c>
      <c r="Q52" s="71">
        <f t="shared" si="22"/>
        <v>40.037813829471077</v>
      </c>
      <c r="R52" s="72">
        <f t="shared" si="23"/>
        <v>0.9985833206466217</v>
      </c>
      <c r="S52" s="71">
        <f t="shared" si="24"/>
        <v>14.24420970706978</v>
      </c>
      <c r="T52" s="72">
        <f t="shared" si="25"/>
        <v>5.6226812384961216</v>
      </c>
      <c r="U52" s="72">
        <f t="shared" si="26"/>
        <v>1.7053462321157722</v>
      </c>
      <c r="V52" s="72">
        <f t="shared" si="27"/>
        <v>4.2170109288720914</v>
      </c>
      <c r="W52" s="72">
        <f t="shared" si="28"/>
        <v>1.6712393074734566</v>
      </c>
      <c r="X52" s="72">
        <f t="shared" si="29"/>
        <v>2.9441251181727739</v>
      </c>
      <c r="Y52" s="72">
        <f t="shared" si="30"/>
        <v>0.71988861713317309</v>
      </c>
      <c r="Z52" s="72">
        <f t="shared" si="31"/>
        <v>3.850860304493493</v>
      </c>
      <c r="AA52" s="72">
        <f t="shared" si="32"/>
        <v>19.249139695506507</v>
      </c>
      <c r="AB52" s="72">
        <f t="shared" si="33"/>
        <v>3.1677777175068473</v>
      </c>
      <c r="AC52" s="72">
        <f t="shared" si="34"/>
        <v>0.18868182684282603</v>
      </c>
      <c r="AD52" s="73">
        <f t="shared" si="35"/>
        <v>1206.0988078320233</v>
      </c>
      <c r="AE52" s="71">
        <f t="shared" si="36"/>
        <v>193.25470065891747</v>
      </c>
      <c r="AF52" s="74">
        <f t="shared" si="37"/>
        <v>5.8653628375601015</v>
      </c>
      <c r="AG52" s="75">
        <f t="shared" si="38"/>
        <v>6.7684337608892093</v>
      </c>
      <c r="AH52" s="76">
        <f t="shared" si="39"/>
        <v>4.3012267184041919</v>
      </c>
      <c r="AI52" s="77">
        <f t="shared" si="40"/>
        <v>5.8685725525436201</v>
      </c>
    </row>
    <row r="53" spans="1:35" ht="15.75" customHeight="1" x14ac:dyDescent="0.45">
      <c r="A53" s="59">
        <f t="shared" si="0"/>
        <v>45797</v>
      </c>
      <c r="B53" s="60">
        <v>2025</v>
      </c>
      <c r="C53" s="60">
        <v>5</v>
      </c>
      <c r="D53" s="60">
        <v>20</v>
      </c>
      <c r="E53" s="61">
        <v>140</v>
      </c>
      <c r="F53" s="62">
        <v>35</v>
      </c>
      <c r="G53" s="62">
        <v>15</v>
      </c>
      <c r="H53" s="70">
        <f t="shared" si="1"/>
        <v>25</v>
      </c>
      <c r="I53" s="62">
        <v>98</v>
      </c>
      <c r="J53" s="62">
        <v>75</v>
      </c>
      <c r="K53" s="62">
        <v>1</v>
      </c>
      <c r="L53" s="62">
        <v>30</v>
      </c>
      <c r="M53" s="71">
        <f t="shared" si="2"/>
        <v>19.981202059083586</v>
      </c>
      <c r="N53" s="72">
        <f t="shared" si="3"/>
        <v>0.34873857993787222</v>
      </c>
      <c r="O53" s="72">
        <f t="shared" si="20"/>
        <v>1.8681280017025288</v>
      </c>
      <c r="P53" s="72">
        <f t="shared" si="21"/>
        <v>0.97544444574153966</v>
      </c>
      <c r="Q53" s="71">
        <f t="shared" si="22"/>
        <v>40.137772292061932</v>
      </c>
      <c r="R53" s="72">
        <f t="shared" si="23"/>
        <v>0.99485127284620711</v>
      </c>
      <c r="S53" s="71">
        <f t="shared" si="24"/>
        <v>14.271413305596097</v>
      </c>
      <c r="T53" s="72">
        <f t="shared" si="25"/>
        <v>5.6226812384961216</v>
      </c>
      <c r="U53" s="72">
        <f t="shared" si="26"/>
        <v>1.7053462321157722</v>
      </c>
      <c r="V53" s="72">
        <f t="shared" si="27"/>
        <v>4.2170109288720914</v>
      </c>
      <c r="W53" s="72">
        <f t="shared" si="28"/>
        <v>1.6712393074734566</v>
      </c>
      <c r="X53" s="72">
        <f t="shared" si="29"/>
        <v>2.9441251181727739</v>
      </c>
      <c r="Y53" s="72">
        <f t="shared" si="30"/>
        <v>0.71988861713317309</v>
      </c>
      <c r="Z53" s="72">
        <f t="shared" si="31"/>
        <v>3.8379093566309139</v>
      </c>
      <c r="AA53" s="72">
        <f t="shared" si="32"/>
        <v>19.262090643369088</v>
      </c>
      <c r="AB53" s="72">
        <f t="shared" si="33"/>
        <v>3.1677777175068473</v>
      </c>
      <c r="AC53" s="72">
        <f t="shared" si="34"/>
        <v>0.18868182684282603</v>
      </c>
      <c r="AD53" s="73">
        <f t="shared" si="35"/>
        <v>1206.0988078320233</v>
      </c>
      <c r="AE53" s="71">
        <f t="shared" si="36"/>
        <v>193.25470065891747</v>
      </c>
      <c r="AF53" s="74">
        <f t="shared" si="37"/>
        <v>5.8689532643795843</v>
      </c>
      <c r="AG53" s="75">
        <f t="shared" si="38"/>
        <v>6.7853318421822619</v>
      </c>
      <c r="AH53" s="76">
        <f t="shared" si="39"/>
        <v>4.3012267184041919</v>
      </c>
      <c r="AI53" s="77">
        <f t="shared" si="40"/>
        <v>5.8721397138215217</v>
      </c>
    </row>
    <row r="54" spans="1:35" ht="15.75" customHeight="1" x14ac:dyDescent="0.45">
      <c r="A54" s="59">
        <f t="shared" si="0"/>
        <v>45798</v>
      </c>
      <c r="B54" s="60">
        <v>2025</v>
      </c>
      <c r="C54" s="60">
        <v>5</v>
      </c>
      <c r="D54" s="60">
        <v>21</v>
      </c>
      <c r="E54" s="61">
        <v>141</v>
      </c>
      <c r="F54" s="62">
        <v>35</v>
      </c>
      <c r="G54" s="62">
        <v>15</v>
      </c>
      <c r="H54" s="70">
        <f t="shared" si="1"/>
        <v>25</v>
      </c>
      <c r="I54" s="62">
        <v>98</v>
      </c>
      <c r="J54" s="62">
        <v>75</v>
      </c>
      <c r="K54" s="62">
        <v>1</v>
      </c>
      <c r="L54" s="62">
        <v>30</v>
      </c>
      <c r="M54" s="71">
        <f t="shared" si="2"/>
        <v>20.189520937411931</v>
      </c>
      <c r="N54" s="72">
        <f t="shared" si="3"/>
        <v>0.35237443876096292</v>
      </c>
      <c r="O54" s="72">
        <f t="shared" si="20"/>
        <v>1.8716035806065698</v>
      </c>
      <c r="P54" s="72">
        <f t="shared" si="21"/>
        <v>0.97506859792307532</v>
      </c>
      <c r="Q54" s="71">
        <f t="shared" si="22"/>
        <v>40.234517944003862</v>
      </c>
      <c r="R54" s="72">
        <f t="shared" si="23"/>
        <v>0.99125683781037521</v>
      </c>
      <c r="S54" s="71">
        <f t="shared" si="24"/>
        <v>14.297964710516196</v>
      </c>
      <c r="T54" s="72">
        <f t="shared" si="25"/>
        <v>5.6226812384961216</v>
      </c>
      <c r="U54" s="72">
        <f t="shared" si="26"/>
        <v>1.7053462321157722</v>
      </c>
      <c r="V54" s="72">
        <f t="shared" si="27"/>
        <v>4.2170109288720914</v>
      </c>
      <c r="W54" s="72">
        <f t="shared" si="28"/>
        <v>1.6712393074734566</v>
      </c>
      <c r="X54" s="72">
        <f t="shared" si="29"/>
        <v>2.9441251181727739</v>
      </c>
      <c r="Y54" s="72">
        <f t="shared" si="30"/>
        <v>0.71988861713317309</v>
      </c>
      <c r="Z54" s="72">
        <f t="shared" si="31"/>
        <v>3.8254359524212158</v>
      </c>
      <c r="AA54" s="72">
        <f t="shared" si="32"/>
        <v>19.274564047578785</v>
      </c>
      <c r="AB54" s="72">
        <f t="shared" si="33"/>
        <v>3.1677777175068473</v>
      </c>
      <c r="AC54" s="72">
        <f t="shared" si="34"/>
        <v>0.18868182684282603</v>
      </c>
      <c r="AD54" s="73">
        <f t="shared" si="35"/>
        <v>1206.0988078320233</v>
      </c>
      <c r="AE54" s="71">
        <f t="shared" si="36"/>
        <v>193.25470065891747</v>
      </c>
      <c r="AF54" s="74">
        <f t="shared" si="37"/>
        <v>5.8724113004615734</v>
      </c>
      <c r="AG54" s="75">
        <f t="shared" si="38"/>
        <v>6.8016867945183712</v>
      </c>
      <c r="AH54" s="76">
        <f t="shared" si="39"/>
        <v>4.3012267184041919</v>
      </c>
      <c r="AI54" s="77">
        <f t="shared" si="40"/>
        <v>5.8755753422382639</v>
      </c>
    </row>
    <row r="55" spans="1:35" ht="15.75" customHeight="1" x14ac:dyDescent="0.45">
      <c r="A55" s="59">
        <f t="shared" si="0"/>
        <v>45799</v>
      </c>
      <c r="B55" s="60">
        <v>2025</v>
      </c>
      <c r="C55" s="60">
        <v>5</v>
      </c>
      <c r="D55" s="60">
        <v>22</v>
      </c>
      <c r="E55" s="61">
        <v>142</v>
      </c>
      <c r="F55" s="62">
        <v>35</v>
      </c>
      <c r="G55" s="62">
        <v>15</v>
      </c>
      <c r="H55" s="70">
        <f t="shared" si="1"/>
        <v>25</v>
      </c>
      <c r="I55" s="62">
        <v>98</v>
      </c>
      <c r="J55" s="62">
        <v>75</v>
      </c>
      <c r="K55" s="62">
        <v>1</v>
      </c>
      <c r="L55" s="62">
        <v>30</v>
      </c>
      <c r="M55" s="71">
        <f t="shared" si="2"/>
        <v>20.391857196981835</v>
      </c>
      <c r="N55" s="72">
        <f t="shared" si="3"/>
        <v>0.35590588094465631</v>
      </c>
      <c r="O55" s="72">
        <f t="shared" si="20"/>
        <v>1.8749918587875989</v>
      </c>
      <c r="P55" s="72">
        <f t="shared" si="21"/>
        <v>0.97470013785166076</v>
      </c>
      <c r="Q55" s="71">
        <f t="shared" si="22"/>
        <v>40.328047826655983</v>
      </c>
      <c r="R55" s="72">
        <f t="shared" si="23"/>
        <v>0.98779827523268504</v>
      </c>
      <c r="S55" s="71">
        <f t="shared" si="24"/>
        <v>14.323849188598922</v>
      </c>
      <c r="T55" s="72">
        <f t="shared" si="25"/>
        <v>5.6226812384961216</v>
      </c>
      <c r="U55" s="72">
        <f t="shared" si="26"/>
        <v>1.7053462321157722</v>
      </c>
      <c r="V55" s="72">
        <f t="shared" si="27"/>
        <v>4.2170109288720914</v>
      </c>
      <c r="W55" s="72">
        <f t="shared" si="28"/>
        <v>1.6712393074734566</v>
      </c>
      <c r="X55" s="72">
        <f t="shared" si="29"/>
        <v>2.9441251181727739</v>
      </c>
      <c r="Y55" s="72">
        <f t="shared" si="30"/>
        <v>0.71988861713317309</v>
      </c>
      <c r="Z55" s="72">
        <f t="shared" si="31"/>
        <v>3.8134340526550452</v>
      </c>
      <c r="AA55" s="72">
        <f t="shared" si="32"/>
        <v>19.286565947344958</v>
      </c>
      <c r="AB55" s="72">
        <f t="shared" si="33"/>
        <v>3.1677777175068473</v>
      </c>
      <c r="AC55" s="72">
        <f t="shared" si="34"/>
        <v>0.18868182684282603</v>
      </c>
      <c r="AD55" s="73">
        <f t="shared" si="35"/>
        <v>1206.0988078320233</v>
      </c>
      <c r="AE55" s="71">
        <f t="shared" si="36"/>
        <v>193.25470065891747</v>
      </c>
      <c r="AF55" s="74">
        <f t="shared" si="37"/>
        <v>5.8757386200726511</v>
      </c>
      <c r="AG55" s="75">
        <f t="shared" si="38"/>
        <v>6.8174981177362399</v>
      </c>
      <c r="AH55" s="76">
        <f t="shared" si="39"/>
        <v>4.3012267184041919</v>
      </c>
      <c r="AI55" s="77">
        <f t="shared" si="40"/>
        <v>5.878881101211384</v>
      </c>
    </row>
    <row r="56" spans="1:35" ht="15.75" customHeight="1" x14ac:dyDescent="0.45">
      <c r="A56" s="59">
        <f t="shared" si="0"/>
        <v>45800</v>
      </c>
      <c r="B56" s="60">
        <v>2025</v>
      </c>
      <c r="C56" s="60">
        <v>5</v>
      </c>
      <c r="D56" s="60">
        <v>23</v>
      </c>
      <c r="E56" s="61">
        <v>143</v>
      </c>
      <c r="F56" s="62">
        <v>35</v>
      </c>
      <c r="G56" s="62">
        <v>15</v>
      </c>
      <c r="H56" s="70">
        <f t="shared" si="1"/>
        <v>25</v>
      </c>
      <c r="I56" s="62">
        <v>98</v>
      </c>
      <c r="J56" s="62">
        <v>75</v>
      </c>
      <c r="K56" s="62">
        <v>1</v>
      </c>
      <c r="L56" s="62">
        <v>30</v>
      </c>
      <c r="M56" s="71">
        <f t="shared" si="2"/>
        <v>20.588150880912405</v>
      </c>
      <c r="N56" s="72">
        <f t="shared" si="3"/>
        <v>0.35933186004152445</v>
      </c>
      <c r="O56" s="72">
        <f t="shared" si="20"/>
        <v>1.8782909217745445</v>
      </c>
      <c r="P56" s="72">
        <f t="shared" si="21"/>
        <v>0.9743391747104776</v>
      </c>
      <c r="Q56" s="71">
        <f t="shared" si="22"/>
        <v>40.418359478187185</v>
      </c>
      <c r="R56" s="72">
        <f t="shared" si="23"/>
        <v>0.98447390677448343</v>
      </c>
      <c r="S56" s="71">
        <f t="shared" si="24"/>
        <v>14.349052114396827</v>
      </c>
      <c r="T56" s="72">
        <f t="shared" si="25"/>
        <v>5.6226812384961216</v>
      </c>
      <c r="U56" s="72">
        <f t="shared" si="26"/>
        <v>1.7053462321157722</v>
      </c>
      <c r="V56" s="72">
        <f t="shared" si="27"/>
        <v>4.2170109288720914</v>
      </c>
      <c r="W56" s="72">
        <f t="shared" si="28"/>
        <v>1.6712393074734566</v>
      </c>
      <c r="X56" s="72">
        <f t="shared" si="29"/>
        <v>2.9441251181727739</v>
      </c>
      <c r="Y56" s="72">
        <f t="shared" si="30"/>
        <v>0.71988861713317309</v>
      </c>
      <c r="Z56" s="72">
        <f t="shared" si="31"/>
        <v>3.8018978331635931</v>
      </c>
      <c r="AA56" s="72">
        <f t="shared" si="32"/>
        <v>19.298102166836408</v>
      </c>
      <c r="AB56" s="72">
        <f t="shared" si="33"/>
        <v>3.1677777175068473</v>
      </c>
      <c r="AC56" s="72">
        <f t="shared" si="34"/>
        <v>0.18868182684282603</v>
      </c>
      <c r="AD56" s="73">
        <f t="shared" si="35"/>
        <v>1206.0988078320233</v>
      </c>
      <c r="AE56" s="71">
        <f t="shared" si="36"/>
        <v>193.25470065891747</v>
      </c>
      <c r="AF56" s="74">
        <f t="shared" si="37"/>
        <v>5.8789368378631206</v>
      </c>
      <c r="AG56" s="75">
        <f t="shared" si="38"/>
        <v>6.832765395660779</v>
      </c>
      <c r="AH56" s="76">
        <f t="shared" si="39"/>
        <v>4.3012267184041919</v>
      </c>
      <c r="AI56" s="77">
        <f t="shared" si="40"/>
        <v>5.8820585949284396</v>
      </c>
    </row>
    <row r="57" spans="1:35" ht="15.75" customHeight="1" x14ac:dyDescent="0.45">
      <c r="A57" s="59">
        <f t="shared" si="0"/>
        <v>45801</v>
      </c>
      <c r="B57" s="60">
        <v>2025</v>
      </c>
      <c r="C57" s="60">
        <v>5</v>
      </c>
      <c r="D57" s="60">
        <v>24</v>
      </c>
      <c r="E57" s="61">
        <v>144</v>
      </c>
      <c r="F57" s="62">
        <v>35</v>
      </c>
      <c r="G57" s="62">
        <v>15</v>
      </c>
      <c r="H57" s="70">
        <f t="shared" si="1"/>
        <v>25</v>
      </c>
      <c r="I57" s="62">
        <v>98</v>
      </c>
      <c r="J57" s="62">
        <v>75</v>
      </c>
      <c r="K57" s="62">
        <v>1</v>
      </c>
      <c r="L57" s="62">
        <v>30</v>
      </c>
      <c r="M57" s="71">
        <f t="shared" si="2"/>
        <v>20.778343822876703</v>
      </c>
      <c r="N57" s="72">
        <f t="shared" si="3"/>
        <v>0.36265136085527472</v>
      </c>
      <c r="O57" s="72">
        <f t="shared" si="20"/>
        <v>1.8814988723942019</v>
      </c>
      <c r="P57" s="72">
        <f t="shared" si="21"/>
        <v>0.973985815461195</v>
      </c>
      <c r="Q57" s="71">
        <f t="shared" si="22"/>
        <v>40.505450899964863</v>
      </c>
      <c r="R57" s="72">
        <f t="shared" si="23"/>
        <v>0.98128211553996181</v>
      </c>
      <c r="S57" s="71">
        <f t="shared" si="24"/>
        <v>14.373558994608112</v>
      </c>
      <c r="T57" s="72">
        <f t="shared" si="25"/>
        <v>5.6226812384961216</v>
      </c>
      <c r="U57" s="72">
        <f t="shared" si="26"/>
        <v>1.7053462321157722</v>
      </c>
      <c r="V57" s="72">
        <f t="shared" si="27"/>
        <v>4.2170109288720914</v>
      </c>
      <c r="W57" s="72">
        <f t="shared" si="28"/>
        <v>1.6712393074734566</v>
      </c>
      <c r="X57" s="72">
        <f t="shared" si="29"/>
        <v>2.9441251181727739</v>
      </c>
      <c r="Y57" s="72">
        <f t="shared" si="30"/>
        <v>0.71988861713317309</v>
      </c>
      <c r="Z57" s="72">
        <f t="shared" si="31"/>
        <v>3.7908216829969388</v>
      </c>
      <c r="AA57" s="72">
        <f t="shared" si="32"/>
        <v>19.309178317003063</v>
      </c>
      <c r="AB57" s="72">
        <f t="shared" si="33"/>
        <v>3.1677777175068473</v>
      </c>
      <c r="AC57" s="72">
        <f t="shared" si="34"/>
        <v>0.18868182684282603</v>
      </c>
      <c r="AD57" s="73">
        <f t="shared" si="35"/>
        <v>1206.0988078320233</v>
      </c>
      <c r="AE57" s="71">
        <f t="shared" si="36"/>
        <v>193.25470065891747</v>
      </c>
      <c r="AF57" s="74">
        <f t="shared" si="37"/>
        <v>5.8820075093720279</v>
      </c>
      <c r="AG57" s="75">
        <f t="shared" si="38"/>
        <v>6.8474882904210794</v>
      </c>
      <c r="AH57" s="76">
        <f t="shared" si="39"/>
        <v>4.3012267184041919</v>
      </c>
      <c r="AI57" s="77">
        <f t="shared" si="40"/>
        <v>5.8851093688487701</v>
      </c>
    </row>
    <row r="58" spans="1:35" ht="15.75" customHeight="1" x14ac:dyDescent="0.45">
      <c r="A58" s="59">
        <f t="shared" si="0"/>
        <v>45802</v>
      </c>
      <c r="B58" s="60">
        <v>2025</v>
      </c>
      <c r="C58" s="60">
        <v>5</v>
      </c>
      <c r="D58" s="60">
        <v>25</v>
      </c>
      <c r="E58" s="61">
        <v>145</v>
      </c>
      <c r="F58" s="62">
        <v>35</v>
      </c>
      <c r="G58" s="62">
        <v>15</v>
      </c>
      <c r="H58" s="70">
        <f t="shared" si="1"/>
        <v>25</v>
      </c>
      <c r="I58" s="62">
        <v>98</v>
      </c>
      <c r="J58" s="62">
        <v>75</v>
      </c>
      <c r="K58" s="62">
        <v>1</v>
      </c>
      <c r="L58" s="62">
        <v>30</v>
      </c>
      <c r="M58" s="71">
        <f t="shared" si="2"/>
        <v>20.962379664337746</v>
      </c>
      <c r="N58" s="72">
        <f t="shared" si="3"/>
        <v>0.36586339974157484</v>
      </c>
      <c r="O58" s="72">
        <f t="shared" si="20"/>
        <v>1.8846138340357816</v>
      </c>
      <c r="P58" s="72">
        <f t="shared" si="21"/>
        <v>0.97364016481227456</v>
      </c>
      <c r="Q58" s="71">
        <f t="shared" si="22"/>
        <v>40.589320524207047</v>
      </c>
      <c r="R58" s="72">
        <f t="shared" si="23"/>
        <v>0.97822134554375273</v>
      </c>
      <c r="S58" s="71">
        <f t="shared" si="24"/>
        <v>14.397355493015903</v>
      </c>
      <c r="T58" s="72">
        <f t="shared" si="25"/>
        <v>5.6226812384961216</v>
      </c>
      <c r="U58" s="72">
        <f t="shared" si="26"/>
        <v>1.7053462321157722</v>
      </c>
      <c r="V58" s="72">
        <f t="shared" si="27"/>
        <v>4.2170109288720914</v>
      </c>
      <c r="W58" s="72">
        <f t="shared" si="28"/>
        <v>1.6712393074734566</v>
      </c>
      <c r="X58" s="72">
        <f t="shared" si="29"/>
        <v>2.9441251181727739</v>
      </c>
      <c r="Y58" s="72">
        <f t="shared" si="30"/>
        <v>0.71988861713317309</v>
      </c>
      <c r="Z58" s="72">
        <f t="shared" si="31"/>
        <v>3.7802002025764985</v>
      </c>
      <c r="AA58" s="72">
        <f t="shared" si="32"/>
        <v>19.319799797423503</v>
      </c>
      <c r="AB58" s="72">
        <f t="shared" si="33"/>
        <v>3.1677777175068473</v>
      </c>
      <c r="AC58" s="72">
        <f t="shared" si="34"/>
        <v>0.18868182684282603</v>
      </c>
      <c r="AD58" s="73">
        <f t="shared" si="35"/>
        <v>1206.0988078320233</v>
      </c>
      <c r="AE58" s="71">
        <f t="shared" si="36"/>
        <v>193.25470065891747</v>
      </c>
      <c r="AF58" s="74">
        <f t="shared" si="37"/>
        <v>5.8849521315393645</v>
      </c>
      <c r="AG58" s="75">
        <f t="shared" si="38"/>
        <v>6.8616665369819865</v>
      </c>
      <c r="AH58" s="76">
        <f t="shared" si="39"/>
        <v>4.3012267184041919</v>
      </c>
      <c r="AI58" s="77">
        <f t="shared" si="40"/>
        <v>5.8880349102123679</v>
      </c>
    </row>
    <row r="59" spans="1:35" ht="15.75" customHeight="1" x14ac:dyDescent="0.45">
      <c r="A59" s="59">
        <f t="shared" si="0"/>
        <v>45803</v>
      </c>
      <c r="B59" s="60">
        <v>2025</v>
      </c>
      <c r="C59" s="60">
        <v>5</v>
      </c>
      <c r="D59" s="60">
        <v>26</v>
      </c>
      <c r="E59" s="61">
        <v>146</v>
      </c>
      <c r="F59" s="62">
        <v>35</v>
      </c>
      <c r="G59" s="62">
        <v>15</v>
      </c>
      <c r="H59" s="70">
        <f t="shared" si="1"/>
        <v>25</v>
      </c>
      <c r="I59" s="62">
        <v>98</v>
      </c>
      <c r="J59" s="62">
        <v>75</v>
      </c>
      <c r="K59" s="62">
        <v>1</v>
      </c>
      <c r="L59" s="62">
        <v>30</v>
      </c>
      <c r="M59" s="71">
        <f t="shared" si="2"/>
        <v>21.140203871248858</v>
      </c>
      <c r="N59" s="72">
        <f t="shared" si="3"/>
        <v>0.36896702489953004</v>
      </c>
      <c r="O59" s="72">
        <f t="shared" si="20"/>
        <v>1.8876339539817568</v>
      </c>
      <c r="P59" s="72">
        <f t="shared" si="21"/>
        <v>0.97330232518794213</v>
      </c>
      <c r="Q59" s="71">
        <f t="shared" si="22"/>
        <v>40.669967182928438</v>
      </c>
      <c r="R59" s="72">
        <f t="shared" si="23"/>
        <v>0.97529010117287496</v>
      </c>
      <c r="S59" s="71">
        <f t="shared" si="24"/>
        <v>14.420427455933972</v>
      </c>
      <c r="T59" s="72">
        <f t="shared" si="25"/>
        <v>5.6226812384961216</v>
      </c>
      <c r="U59" s="72">
        <f t="shared" si="26"/>
        <v>1.7053462321157722</v>
      </c>
      <c r="V59" s="72">
        <f t="shared" si="27"/>
        <v>4.2170109288720914</v>
      </c>
      <c r="W59" s="72">
        <f t="shared" si="28"/>
        <v>1.6712393074734566</v>
      </c>
      <c r="X59" s="72">
        <f t="shared" si="29"/>
        <v>2.9441251181727739</v>
      </c>
      <c r="Y59" s="72">
        <f t="shared" si="30"/>
        <v>0.71988861713317309</v>
      </c>
      <c r="Z59" s="72">
        <f t="shared" si="31"/>
        <v>3.7700282018278748</v>
      </c>
      <c r="AA59" s="72">
        <f t="shared" si="32"/>
        <v>19.329971798172128</v>
      </c>
      <c r="AB59" s="72">
        <f t="shared" si="33"/>
        <v>3.1677777175068473</v>
      </c>
      <c r="AC59" s="72">
        <f t="shared" si="34"/>
        <v>0.18868182684282603</v>
      </c>
      <c r="AD59" s="73">
        <f t="shared" si="35"/>
        <v>1206.0988078320233</v>
      </c>
      <c r="AE59" s="71">
        <f t="shared" si="36"/>
        <v>193.25470065891747</v>
      </c>
      <c r="AF59" s="74">
        <f t="shared" si="37"/>
        <v>5.8877721432236987</v>
      </c>
      <c r="AG59" s="75">
        <f t="shared" si="38"/>
        <v>6.8752999378943755</v>
      </c>
      <c r="AH59" s="76">
        <f t="shared" si="39"/>
        <v>4.3012267184041919</v>
      </c>
      <c r="AI59" s="77">
        <f t="shared" si="40"/>
        <v>5.8908366485541697</v>
      </c>
    </row>
    <row r="60" spans="1:35" ht="15.75" customHeight="1" x14ac:dyDescent="0.45">
      <c r="A60" s="59">
        <f t="shared" si="0"/>
        <v>45804</v>
      </c>
      <c r="B60" s="60">
        <v>2025</v>
      </c>
      <c r="C60" s="60">
        <v>5</v>
      </c>
      <c r="D60" s="60">
        <v>27</v>
      </c>
      <c r="E60" s="61">
        <v>147</v>
      </c>
      <c r="F60" s="62">
        <v>35</v>
      </c>
      <c r="G60" s="62">
        <v>15</v>
      </c>
      <c r="H60" s="70">
        <f t="shared" si="1"/>
        <v>25</v>
      </c>
      <c r="I60" s="62">
        <v>98</v>
      </c>
      <c r="J60" s="62">
        <v>75</v>
      </c>
      <c r="K60" s="62">
        <v>1</v>
      </c>
      <c r="L60" s="62">
        <v>30</v>
      </c>
      <c r="M60" s="71">
        <f t="shared" si="2"/>
        <v>21.311763750213327</v>
      </c>
      <c r="N60" s="72">
        <f t="shared" si="3"/>
        <v>0.37196131665372323</v>
      </c>
      <c r="O60" s="72">
        <f t="shared" si="20"/>
        <v>1.8905574067950013</v>
      </c>
      <c r="P60" s="72">
        <f t="shared" si="21"/>
        <v>0.97297239669783786</v>
      </c>
      <c r="Q60" s="71">
        <f t="shared" si="22"/>
        <v>40.74739007820348</v>
      </c>
      <c r="R60" s="72">
        <f t="shared" si="23"/>
        <v>0.97248694664483781</v>
      </c>
      <c r="S60" s="71">
        <f t="shared" si="24"/>
        <v>14.442760938082515</v>
      </c>
      <c r="T60" s="72">
        <f t="shared" si="25"/>
        <v>5.6226812384961216</v>
      </c>
      <c r="U60" s="72">
        <f t="shared" si="26"/>
        <v>1.7053462321157722</v>
      </c>
      <c r="V60" s="72">
        <f t="shared" si="27"/>
        <v>4.2170109288720914</v>
      </c>
      <c r="W60" s="72">
        <f t="shared" si="28"/>
        <v>1.6712393074734566</v>
      </c>
      <c r="X60" s="72">
        <f t="shared" si="29"/>
        <v>2.9441251181727739</v>
      </c>
      <c r="Y60" s="72">
        <f t="shared" si="30"/>
        <v>0.71988861713317309</v>
      </c>
      <c r="Z60" s="72">
        <f t="shared" si="31"/>
        <v>3.7603006983003668</v>
      </c>
      <c r="AA60" s="72">
        <f t="shared" si="32"/>
        <v>19.339699301699635</v>
      </c>
      <c r="AB60" s="72">
        <f t="shared" si="33"/>
        <v>3.1677777175068473</v>
      </c>
      <c r="AC60" s="72">
        <f t="shared" si="34"/>
        <v>0.18868182684282603</v>
      </c>
      <c r="AD60" s="73">
        <f t="shared" si="35"/>
        <v>1206.0988078320233</v>
      </c>
      <c r="AE60" s="71">
        <f t="shared" si="36"/>
        <v>193.25470065891747</v>
      </c>
      <c r="AF60" s="74">
        <f t="shared" si="37"/>
        <v>5.8904689257235088</v>
      </c>
      <c r="AG60" s="75">
        <f t="shared" si="38"/>
        <v>6.8883883582681085</v>
      </c>
      <c r="AH60" s="76">
        <f t="shared" si="39"/>
        <v>4.3012267184041919</v>
      </c>
      <c r="AI60" s="77">
        <f t="shared" si="40"/>
        <v>5.8935159562220063</v>
      </c>
    </row>
    <row r="61" spans="1:35" ht="15.75" customHeight="1" x14ac:dyDescent="0.45">
      <c r="A61" s="59">
        <f t="shared" si="0"/>
        <v>45805</v>
      </c>
      <c r="B61" s="60">
        <v>2025</v>
      </c>
      <c r="C61" s="60">
        <v>5</v>
      </c>
      <c r="D61" s="60">
        <v>28</v>
      </c>
      <c r="E61" s="61">
        <v>148</v>
      </c>
      <c r="F61" s="62">
        <v>35</v>
      </c>
      <c r="G61" s="62">
        <v>15</v>
      </c>
      <c r="H61" s="70">
        <f t="shared" si="1"/>
        <v>25</v>
      </c>
      <c r="I61" s="62">
        <v>98</v>
      </c>
      <c r="J61" s="62">
        <v>75</v>
      </c>
      <c r="K61" s="62">
        <v>1</v>
      </c>
      <c r="L61" s="62">
        <v>30</v>
      </c>
      <c r="M61" s="71">
        <f t="shared" si="2"/>
        <v>21.477008464098706</v>
      </c>
      <c r="N61" s="72">
        <f t="shared" si="3"/>
        <v>0.37484538772673603</v>
      </c>
      <c r="O61" s="72">
        <f t="shared" si="20"/>
        <v>1.8933823977515192</v>
      </c>
      <c r="P61" s="72">
        <f t="shared" si="21"/>
        <v>0.97265047710735109</v>
      </c>
      <c r="Q61" s="71">
        <f t="shared" si="22"/>
        <v>40.821588753762299</v>
      </c>
      <c r="R61" s="72">
        <f t="shared" si="23"/>
        <v>0.96981050546373293</v>
      </c>
      <c r="S61" s="71">
        <f t="shared" si="24"/>
        <v>14.464342228812216</v>
      </c>
      <c r="T61" s="72">
        <f t="shared" si="25"/>
        <v>5.6226812384961216</v>
      </c>
      <c r="U61" s="72">
        <f t="shared" si="26"/>
        <v>1.7053462321157722</v>
      </c>
      <c r="V61" s="72">
        <f t="shared" si="27"/>
        <v>4.2170109288720914</v>
      </c>
      <c r="W61" s="72">
        <f t="shared" si="28"/>
        <v>1.6712393074734566</v>
      </c>
      <c r="X61" s="72">
        <f t="shared" si="29"/>
        <v>2.9441251181727739</v>
      </c>
      <c r="Y61" s="72">
        <f t="shared" si="30"/>
        <v>0.71988861713317309</v>
      </c>
      <c r="Z61" s="72">
        <f t="shared" si="31"/>
        <v>3.7510129152795004</v>
      </c>
      <c r="AA61" s="72">
        <f t="shared" si="32"/>
        <v>19.348987084720502</v>
      </c>
      <c r="AB61" s="72">
        <f t="shared" si="33"/>
        <v>3.1677777175068473</v>
      </c>
      <c r="AC61" s="72">
        <f t="shared" si="34"/>
        <v>0.18868182684282603</v>
      </c>
      <c r="AD61" s="73">
        <f t="shared" si="35"/>
        <v>1206.0988078320233</v>
      </c>
      <c r="AE61" s="71">
        <f t="shared" si="36"/>
        <v>193.25470065891747</v>
      </c>
      <c r="AF61" s="74">
        <f t="shared" si="37"/>
        <v>5.893043803300464</v>
      </c>
      <c r="AG61" s="75">
        <f t="shared" si="38"/>
        <v>6.9009317209702923</v>
      </c>
      <c r="AH61" s="76">
        <f t="shared" si="39"/>
        <v>4.3012267184041919</v>
      </c>
      <c r="AI61" s="77">
        <f t="shared" si="40"/>
        <v>5.8960741488964841</v>
      </c>
    </row>
    <row r="62" spans="1:35" ht="15.75" customHeight="1" x14ac:dyDescent="0.45">
      <c r="A62" s="59">
        <f t="shared" si="0"/>
        <v>45806</v>
      </c>
      <c r="B62" s="60">
        <v>2025</v>
      </c>
      <c r="C62" s="60">
        <v>5</v>
      </c>
      <c r="D62" s="60">
        <v>29</v>
      </c>
      <c r="E62" s="61">
        <v>149</v>
      </c>
      <c r="F62" s="62">
        <v>35</v>
      </c>
      <c r="G62" s="62">
        <v>15</v>
      </c>
      <c r="H62" s="70">
        <f t="shared" si="1"/>
        <v>25</v>
      </c>
      <c r="I62" s="62">
        <v>98</v>
      </c>
      <c r="J62" s="62">
        <v>75</v>
      </c>
      <c r="K62" s="62">
        <v>1</v>
      </c>
      <c r="L62" s="62">
        <v>30</v>
      </c>
      <c r="M62" s="71">
        <f t="shared" si="2"/>
        <v>21.635889047100992</v>
      </c>
      <c r="N62" s="72">
        <f t="shared" si="3"/>
        <v>0.37761838350206933</v>
      </c>
      <c r="O62" s="72">
        <f t="shared" si="20"/>
        <v>1.8961071663073836</v>
      </c>
      <c r="P62" s="72">
        <f t="shared" si="21"/>
        <v>0.97233666180864997</v>
      </c>
      <c r="Q62" s="71">
        <f t="shared" si="22"/>
        <v>40.892563067928421</v>
      </c>
      <c r="R62" s="72">
        <f t="shared" si="23"/>
        <v>0.96725945987614859</v>
      </c>
      <c r="S62" s="71">
        <f t="shared" si="24"/>
        <v>14.485157878589638</v>
      </c>
      <c r="T62" s="72">
        <f t="shared" si="25"/>
        <v>5.6226812384961216</v>
      </c>
      <c r="U62" s="72">
        <f t="shared" si="26"/>
        <v>1.7053462321157722</v>
      </c>
      <c r="V62" s="72">
        <f t="shared" si="27"/>
        <v>4.2170109288720914</v>
      </c>
      <c r="W62" s="72">
        <f t="shared" si="28"/>
        <v>1.6712393074734566</v>
      </c>
      <c r="X62" s="72">
        <f t="shared" si="29"/>
        <v>2.9441251181727739</v>
      </c>
      <c r="Y62" s="72">
        <f t="shared" si="30"/>
        <v>0.71988861713317309</v>
      </c>
      <c r="Z62" s="72">
        <f t="shared" si="31"/>
        <v>3.7421602798989473</v>
      </c>
      <c r="AA62" s="72">
        <f t="shared" si="32"/>
        <v>19.357839720101055</v>
      </c>
      <c r="AB62" s="72">
        <f t="shared" si="33"/>
        <v>3.1677777175068473</v>
      </c>
      <c r="AC62" s="72">
        <f t="shared" si="34"/>
        <v>0.18868182684282603</v>
      </c>
      <c r="AD62" s="73">
        <f t="shared" si="35"/>
        <v>1206.0988078320233</v>
      </c>
      <c r="AE62" s="71">
        <f t="shared" si="36"/>
        <v>193.25470065891747</v>
      </c>
      <c r="AF62" s="74">
        <f t="shared" si="37"/>
        <v>5.895498043702843</v>
      </c>
      <c r="AG62" s="75">
        <f t="shared" si="38"/>
        <v>6.9129300020503743</v>
      </c>
      <c r="AH62" s="76">
        <f t="shared" si="39"/>
        <v>4.3012267184041919</v>
      </c>
      <c r="AI62" s="77">
        <f t="shared" si="40"/>
        <v>5.8985124861110236</v>
      </c>
    </row>
    <row r="63" spans="1:35" ht="15.75" customHeight="1" x14ac:dyDescent="0.45">
      <c r="A63" s="59">
        <f t="shared" si="0"/>
        <v>45807</v>
      </c>
      <c r="B63" s="60">
        <v>2025</v>
      </c>
      <c r="C63" s="60">
        <v>5</v>
      </c>
      <c r="D63" s="60">
        <v>30</v>
      </c>
      <c r="E63" s="61">
        <v>150</v>
      </c>
      <c r="F63" s="62">
        <v>35</v>
      </c>
      <c r="G63" s="62">
        <v>15</v>
      </c>
      <c r="H63" s="70">
        <f t="shared" si="1"/>
        <v>25</v>
      </c>
      <c r="I63" s="62">
        <v>98</v>
      </c>
      <c r="J63" s="62">
        <v>75</v>
      </c>
      <c r="K63" s="62">
        <v>1</v>
      </c>
      <c r="L63" s="62">
        <v>30</v>
      </c>
      <c r="M63" s="71">
        <f t="shared" si="2"/>
        <v>21.78835841925434</v>
      </c>
      <c r="N63" s="72">
        <f t="shared" si="3"/>
        <v>0.38027948227738573</v>
      </c>
      <c r="O63" s="72">
        <f t="shared" si="20"/>
        <v>1.8987299895878773</v>
      </c>
      <c r="P63" s="72">
        <f t="shared" si="21"/>
        <v>0.97203104379241534</v>
      </c>
      <c r="Q63" s="71">
        <f t="shared" si="22"/>
        <v>40.960313167900608</v>
      </c>
      <c r="R63" s="72">
        <f t="shared" si="23"/>
        <v>0.96483255032874693</v>
      </c>
      <c r="S63" s="71">
        <f t="shared" si="24"/>
        <v>14.505194725652233</v>
      </c>
      <c r="T63" s="72">
        <f t="shared" si="25"/>
        <v>5.6226812384961216</v>
      </c>
      <c r="U63" s="72">
        <f t="shared" si="26"/>
        <v>1.7053462321157722</v>
      </c>
      <c r="V63" s="72">
        <f t="shared" si="27"/>
        <v>4.2170109288720914</v>
      </c>
      <c r="W63" s="72">
        <f t="shared" si="28"/>
        <v>1.6712393074734566</v>
      </c>
      <c r="X63" s="72">
        <f t="shared" si="29"/>
        <v>2.9441251181727739</v>
      </c>
      <c r="Y63" s="72">
        <f t="shared" si="30"/>
        <v>0.71988861713317309</v>
      </c>
      <c r="Z63" s="72">
        <f t="shared" si="31"/>
        <v>3.7337384212582023</v>
      </c>
      <c r="AA63" s="72">
        <f t="shared" si="32"/>
        <v>19.366261578741799</v>
      </c>
      <c r="AB63" s="72">
        <f t="shared" si="33"/>
        <v>3.1677777175068473</v>
      </c>
      <c r="AC63" s="72">
        <f t="shared" si="34"/>
        <v>0.18868182684282603</v>
      </c>
      <c r="AD63" s="73">
        <f t="shared" si="35"/>
        <v>1206.0988078320233</v>
      </c>
      <c r="AE63" s="71">
        <f t="shared" si="36"/>
        <v>193.25470065891747</v>
      </c>
      <c r="AF63" s="74">
        <f t="shared" si="37"/>
        <v>5.8978328586873872</v>
      </c>
      <c r="AG63" s="75">
        <f t="shared" si="38"/>
        <v>6.924383226392453</v>
      </c>
      <c r="AH63" s="76">
        <f t="shared" si="39"/>
        <v>4.3012267184041919</v>
      </c>
      <c r="AI63" s="77">
        <f t="shared" si="40"/>
        <v>5.9008321717703263</v>
      </c>
    </row>
    <row r="64" spans="1:35" ht="15.75" customHeight="1" x14ac:dyDescent="0.45">
      <c r="A64" s="59">
        <f t="shared" si="0"/>
        <v>45808</v>
      </c>
      <c r="B64" s="60">
        <v>2025</v>
      </c>
      <c r="C64" s="60">
        <v>5</v>
      </c>
      <c r="D64" s="60">
        <v>31</v>
      </c>
      <c r="E64" s="61">
        <v>151</v>
      </c>
      <c r="F64" s="62">
        <v>35</v>
      </c>
      <c r="G64" s="62">
        <v>15</v>
      </c>
      <c r="H64" s="70">
        <f t="shared" si="1"/>
        <v>25</v>
      </c>
      <c r="I64" s="62">
        <v>98</v>
      </c>
      <c r="J64" s="62">
        <v>75</v>
      </c>
      <c r="K64" s="62">
        <v>1</v>
      </c>
      <c r="L64" s="62">
        <v>30</v>
      </c>
      <c r="M64" s="71">
        <f t="shared" si="2"/>
        <v>21.934371400381924</v>
      </c>
      <c r="N64" s="72">
        <f t="shared" si="3"/>
        <v>0.38282789550799917</v>
      </c>
      <c r="O64" s="72">
        <f t="shared" si="20"/>
        <v>1.9012491858862441</v>
      </c>
      <c r="P64" s="72">
        <f t="shared" si="21"/>
        <v>0.97173371362028449</v>
      </c>
      <c r="Q64" s="71">
        <f t="shared" si="22"/>
        <v>41.0248394653741</v>
      </c>
      <c r="R64" s="72">
        <f t="shared" si="23"/>
        <v>0.96252857492937594</v>
      </c>
      <c r="S64" s="71">
        <f t="shared" si="24"/>
        <v>14.524439922736777</v>
      </c>
      <c r="T64" s="72">
        <f t="shared" si="25"/>
        <v>5.6226812384961216</v>
      </c>
      <c r="U64" s="72">
        <f t="shared" si="26"/>
        <v>1.7053462321157722</v>
      </c>
      <c r="V64" s="72">
        <f t="shared" si="27"/>
        <v>4.2170109288720914</v>
      </c>
      <c r="W64" s="72">
        <f t="shared" si="28"/>
        <v>1.6712393074734566</v>
      </c>
      <c r="X64" s="72">
        <f t="shared" si="29"/>
        <v>2.9441251181727739</v>
      </c>
      <c r="Y64" s="72">
        <f t="shared" si="30"/>
        <v>0.71988861713317309</v>
      </c>
      <c r="Z64" s="72">
        <f t="shared" si="31"/>
        <v>3.7257431685525426</v>
      </c>
      <c r="AA64" s="72">
        <f t="shared" si="32"/>
        <v>19.374256831447457</v>
      </c>
      <c r="AB64" s="72">
        <f t="shared" si="33"/>
        <v>3.1677777175068473</v>
      </c>
      <c r="AC64" s="72">
        <f t="shared" si="34"/>
        <v>0.18868182684282603</v>
      </c>
      <c r="AD64" s="73">
        <f t="shared" si="35"/>
        <v>1206.0988078320233</v>
      </c>
      <c r="AE64" s="71">
        <f t="shared" si="36"/>
        <v>193.25470065891747</v>
      </c>
      <c r="AF64" s="74">
        <f t="shared" si="37"/>
        <v>5.9000494045377412</v>
      </c>
      <c r="AG64" s="75">
        <f t="shared" si="38"/>
        <v>6.9352914635940373</v>
      </c>
      <c r="AH64" s="76">
        <f t="shared" si="39"/>
        <v>4.3012267184041919</v>
      </c>
      <c r="AI64" s="77">
        <f t="shared" si="40"/>
        <v>5.9030343546654542</v>
      </c>
    </row>
    <row r="65" spans="1:35" ht="15.75" customHeight="1" x14ac:dyDescent="0.45">
      <c r="A65" s="59">
        <f t="shared" si="0"/>
        <v>45809</v>
      </c>
      <c r="B65" s="60">
        <v>2025</v>
      </c>
      <c r="C65" s="60">
        <v>6</v>
      </c>
      <c r="D65" s="60">
        <v>1</v>
      </c>
      <c r="E65" s="61">
        <v>152</v>
      </c>
      <c r="F65" s="62">
        <v>35</v>
      </c>
      <c r="G65" s="62">
        <v>15</v>
      </c>
      <c r="H65" s="70">
        <f t="shared" si="1"/>
        <v>25</v>
      </c>
      <c r="I65" s="62">
        <v>98</v>
      </c>
      <c r="J65" s="62">
        <v>75</v>
      </c>
      <c r="K65" s="62">
        <v>1</v>
      </c>
      <c r="L65" s="62">
        <v>30</v>
      </c>
      <c r="M65" s="71">
        <f t="shared" si="2"/>
        <v>22.073884723483872</v>
      </c>
      <c r="N65" s="72">
        <f t="shared" si="3"/>
        <v>0.3852628680405385</v>
      </c>
      <c r="O65" s="72">
        <f t="shared" si="20"/>
        <v>1.9036631181589354</v>
      </c>
      <c r="P65" s="72">
        <f t="shared" si="21"/>
        <v>0.97144475939801656</v>
      </c>
      <c r="Q65" s="71">
        <f t="shared" si="22"/>
        <v>41.086142613491397</v>
      </c>
      <c r="R65" s="72">
        <f t="shared" si="23"/>
        <v>0.96034638891356727</v>
      </c>
      <c r="S65" s="71">
        <f t="shared" si="24"/>
        <v>14.54288096378102</v>
      </c>
      <c r="T65" s="72">
        <f t="shared" si="25"/>
        <v>5.6226812384961216</v>
      </c>
      <c r="U65" s="72">
        <f t="shared" si="26"/>
        <v>1.7053462321157722</v>
      </c>
      <c r="V65" s="72">
        <f t="shared" si="27"/>
        <v>4.2170109288720914</v>
      </c>
      <c r="W65" s="72">
        <f t="shared" si="28"/>
        <v>1.6712393074734566</v>
      </c>
      <c r="X65" s="72">
        <f t="shared" si="29"/>
        <v>2.9441251181727739</v>
      </c>
      <c r="Y65" s="72">
        <f t="shared" si="30"/>
        <v>0.71988861713317309</v>
      </c>
      <c r="Z65" s="72">
        <f t="shared" si="31"/>
        <v>3.718170549221663</v>
      </c>
      <c r="AA65" s="72">
        <f t="shared" si="32"/>
        <v>19.381829450778337</v>
      </c>
      <c r="AB65" s="72">
        <f t="shared" si="33"/>
        <v>3.1677777175068473</v>
      </c>
      <c r="AC65" s="72">
        <f t="shared" si="34"/>
        <v>0.18868182684282603</v>
      </c>
      <c r="AD65" s="73">
        <f t="shared" si="35"/>
        <v>1206.0988078320233</v>
      </c>
      <c r="AE65" s="71">
        <f t="shared" si="36"/>
        <v>193.25470065891747</v>
      </c>
      <c r="AF65" s="74">
        <f t="shared" si="37"/>
        <v>5.902148782577699</v>
      </c>
      <c r="AG65" s="75">
        <f t="shared" si="38"/>
        <v>6.9456548240695408</v>
      </c>
      <c r="AH65" s="76">
        <f t="shared" si="39"/>
        <v>4.3012267184041919</v>
      </c>
      <c r="AI65" s="77">
        <f t="shared" si="40"/>
        <v>5.9051201289837536</v>
      </c>
    </row>
    <row r="66" spans="1:35" ht="15.75" customHeight="1" x14ac:dyDescent="0.45">
      <c r="A66" s="59">
        <f t="shared" si="0"/>
        <v>45810</v>
      </c>
      <c r="B66" s="60">
        <v>2025</v>
      </c>
      <c r="C66" s="60">
        <v>6</v>
      </c>
      <c r="D66" s="60">
        <v>2</v>
      </c>
      <c r="E66" s="61">
        <v>153</v>
      </c>
      <c r="F66" s="62">
        <v>35</v>
      </c>
      <c r="G66" s="62">
        <v>15</v>
      </c>
      <c r="H66" s="70">
        <f t="shared" si="1"/>
        <v>25</v>
      </c>
      <c r="I66" s="62">
        <v>98</v>
      </c>
      <c r="J66" s="62">
        <v>75</v>
      </c>
      <c r="K66" s="62">
        <v>1</v>
      </c>
      <c r="L66" s="62">
        <v>30</v>
      </c>
      <c r="M66" s="71">
        <f t="shared" si="2"/>
        <v>22.206857047558266</v>
      </c>
      <c r="N66" s="72">
        <f t="shared" si="3"/>
        <v>0.38758367833671692</v>
      </c>
      <c r="O66" s="72">
        <f t="shared" si="20"/>
        <v>1.9059701975037753</v>
      </c>
      <c r="P66" s="72">
        <f t="shared" si="21"/>
        <v>0.97116426674938416</v>
      </c>
      <c r="Q66" s="71">
        <f t="shared" si="22"/>
        <v>41.144223485106153</v>
      </c>
      <c r="R66" s="72">
        <f t="shared" si="23"/>
        <v>0.95828490411830169</v>
      </c>
      <c r="S66" s="71">
        <f t="shared" si="24"/>
        <v>14.560505710494846</v>
      </c>
      <c r="T66" s="72">
        <f t="shared" si="25"/>
        <v>5.6226812384961216</v>
      </c>
      <c r="U66" s="72">
        <f t="shared" si="26"/>
        <v>1.7053462321157722</v>
      </c>
      <c r="V66" s="72">
        <f t="shared" si="27"/>
        <v>4.2170109288720914</v>
      </c>
      <c r="W66" s="72">
        <f t="shared" si="28"/>
        <v>1.6712393074734566</v>
      </c>
      <c r="X66" s="72">
        <f t="shared" si="29"/>
        <v>2.9441251181727739</v>
      </c>
      <c r="Y66" s="72">
        <f t="shared" si="30"/>
        <v>0.71988861713317309</v>
      </c>
      <c r="Z66" s="72">
        <f t="shared" si="31"/>
        <v>3.7110167871235409</v>
      </c>
      <c r="AA66" s="72">
        <f t="shared" si="32"/>
        <v>19.388983212876461</v>
      </c>
      <c r="AB66" s="72">
        <f t="shared" si="33"/>
        <v>3.1677777175068473</v>
      </c>
      <c r="AC66" s="72">
        <f t="shared" si="34"/>
        <v>0.18868182684282603</v>
      </c>
      <c r="AD66" s="73">
        <f t="shared" si="35"/>
        <v>1206.0988078320233</v>
      </c>
      <c r="AE66" s="71">
        <f t="shared" si="36"/>
        <v>193.25470065891747</v>
      </c>
      <c r="AF66" s="74">
        <f t="shared" si="37"/>
        <v>5.9041320396774761</v>
      </c>
      <c r="AG66" s="75">
        <f t="shared" si="38"/>
        <v>6.955473455375774</v>
      </c>
      <c r="AH66" s="76">
        <f t="shared" si="39"/>
        <v>4.3012267184041919</v>
      </c>
      <c r="AI66" s="77">
        <f t="shared" si="40"/>
        <v>5.9070905348118457</v>
      </c>
    </row>
    <row r="67" spans="1:35" ht="15.75" customHeight="1" x14ac:dyDescent="0.45">
      <c r="A67" s="59">
        <f t="shared" si="0"/>
        <v>45811</v>
      </c>
      <c r="B67" s="60">
        <v>2025</v>
      </c>
      <c r="C67" s="60">
        <v>6</v>
      </c>
      <c r="D67" s="60">
        <v>3</v>
      </c>
      <c r="E67" s="61">
        <v>154</v>
      </c>
      <c r="F67" s="62">
        <v>35</v>
      </c>
      <c r="G67" s="62">
        <v>15</v>
      </c>
      <c r="H67" s="70">
        <f t="shared" si="1"/>
        <v>25</v>
      </c>
      <c r="I67" s="62">
        <v>98</v>
      </c>
      <c r="J67" s="62">
        <v>75</v>
      </c>
      <c r="K67" s="62">
        <v>1</v>
      </c>
      <c r="L67" s="62">
        <v>30</v>
      </c>
      <c r="M67" s="71">
        <f t="shared" si="2"/>
        <v>22.333248969851425</v>
      </c>
      <c r="N67" s="72">
        <f t="shared" si="3"/>
        <v>0.38978963868714017</v>
      </c>
      <c r="O67" s="72">
        <f t="shared" si="20"/>
        <v>1.9081688866070761</v>
      </c>
      <c r="P67" s="72">
        <f t="shared" si="21"/>
        <v>0.97089231879080118</v>
      </c>
      <c r="Q67" s="71">
        <f t="shared" si="22"/>
        <v>41.199083152339036</v>
      </c>
      <c r="R67" s="72">
        <f t="shared" si="23"/>
        <v>0.95634308846490823</v>
      </c>
      <c r="S67" s="71">
        <f t="shared" si="24"/>
        <v>14.577302418694241</v>
      </c>
      <c r="T67" s="72">
        <f t="shared" si="25"/>
        <v>5.6226812384961216</v>
      </c>
      <c r="U67" s="72">
        <f t="shared" si="26"/>
        <v>1.7053462321157722</v>
      </c>
      <c r="V67" s="72">
        <f t="shared" si="27"/>
        <v>4.2170109288720914</v>
      </c>
      <c r="W67" s="72">
        <f t="shared" si="28"/>
        <v>1.6712393074734566</v>
      </c>
      <c r="X67" s="72">
        <f t="shared" si="29"/>
        <v>2.9441251181727739</v>
      </c>
      <c r="Y67" s="72">
        <f t="shared" si="30"/>
        <v>0.71988861713317309</v>
      </c>
      <c r="Z67" s="72">
        <f t="shared" si="31"/>
        <v>3.7042783007399942</v>
      </c>
      <c r="AA67" s="72">
        <f t="shared" si="32"/>
        <v>19.395721699260008</v>
      </c>
      <c r="AB67" s="72">
        <f t="shared" si="33"/>
        <v>3.1677777175068473</v>
      </c>
      <c r="AC67" s="72">
        <f t="shared" si="34"/>
        <v>0.18868182684282603</v>
      </c>
      <c r="AD67" s="73">
        <f t="shared" si="35"/>
        <v>1206.0988078320233</v>
      </c>
      <c r="AE67" s="71">
        <f t="shared" si="36"/>
        <v>193.25470065891747</v>
      </c>
      <c r="AF67" s="74">
        <f t="shared" si="37"/>
        <v>5.9060001687511878</v>
      </c>
      <c r="AG67" s="75">
        <f t="shared" si="38"/>
        <v>6.9647475387558426</v>
      </c>
      <c r="AH67" s="76">
        <f t="shared" si="39"/>
        <v>4.3012267184041919</v>
      </c>
      <c r="AI67" s="77">
        <f t="shared" si="40"/>
        <v>5.9089465586298777</v>
      </c>
    </row>
    <row r="68" spans="1:35" ht="15.75" customHeight="1" x14ac:dyDescent="0.45">
      <c r="A68" s="59">
        <f t="shared" ref="A68:A131" si="41">DATE(B68,C68,D68)</f>
        <v>45812</v>
      </c>
      <c r="B68" s="60">
        <v>2025</v>
      </c>
      <c r="C68" s="60">
        <v>6</v>
      </c>
      <c r="D68" s="60">
        <v>4</v>
      </c>
      <c r="E68" s="61">
        <v>155</v>
      </c>
      <c r="F68" s="62">
        <v>35</v>
      </c>
      <c r="G68" s="62">
        <v>15</v>
      </c>
      <c r="H68" s="70">
        <f t="shared" ref="H68:H131" si="42">(F68+G68)/2</f>
        <v>25</v>
      </c>
      <c r="I68" s="62">
        <v>98</v>
      </c>
      <c r="J68" s="62">
        <v>75</v>
      </c>
      <c r="K68" s="62">
        <v>1</v>
      </c>
      <c r="L68" s="62">
        <v>30</v>
      </c>
      <c r="M68" s="71">
        <f t="shared" ref="M68:M131" si="43">23.45*COS(2*3.1416/365*(E68-172))</f>
        <v>22.453023037533853</v>
      </c>
      <c r="N68" s="72">
        <f t="shared" ref="N68:N131" si="44">M68*3.1416/180</f>
        <v>0.39188009541509089</v>
      </c>
      <c r="O68" s="72">
        <f t="shared" si="20"/>
        <v>1.9102577031454291</v>
      </c>
      <c r="P68" s="72">
        <f t="shared" si="21"/>
        <v>0.97062899610669395</v>
      </c>
      <c r="Q68" s="71">
        <f t="shared" si="22"/>
        <v>41.250722867399844</v>
      </c>
      <c r="R68" s="72">
        <f t="shared" si="23"/>
        <v>0.95451996545295881</v>
      </c>
      <c r="S68" s="71">
        <f t="shared" si="24"/>
        <v>14.593259764288991</v>
      </c>
      <c r="T68" s="72">
        <f t="shared" si="25"/>
        <v>5.6226812384961216</v>
      </c>
      <c r="U68" s="72">
        <f t="shared" si="26"/>
        <v>1.7053462321157722</v>
      </c>
      <c r="V68" s="72">
        <f t="shared" si="27"/>
        <v>4.2170109288720914</v>
      </c>
      <c r="W68" s="72">
        <f t="shared" si="28"/>
        <v>1.6712393074734566</v>
      </c>
      <c r="X68" s="72">
        <f t="shared" si="29"/>
        <v>2.9441251181727739</v>
      </c>
      <c r="Y68" s="72">
        <f t="shared" si="30"/>
        <v>0.71988861713317309</v>
      </c>
      <c r="Z68" s="72">
        <f t="shared" si="31"/>
        <v>3.6979517014203922</v>
      </c>
      <c r="AA68" s="72">
        <f t="shared" si="32"/>
        <v>19.402048298579608</v>
      </c>
      <c r="AB68" s="72">
        <f t="shared" si="33"/>
        <v>3.1677777175068473</v>
      </c>
      <c r="AC68" s="72">
        <f t="shared" si="34"/>
        <v>0.18868182684282603</v>
      </c>
      <c r="AD68" s="73">
        <f t="shared" si="35"/>
        <v>1206.0988078320233</v>
      </c>
      <c r="AE68" s="71">
        <f t="shared" si="36"/>
        <v>193.25470065891747</v>
      </c>
      <c r="AF68" s="74">
        <f t="shared" si="37"/>
        <v>5.9077541092437471</v>
      </c>
      <c r="AG68" s="75">
        <f t="shared" si="38"/>
        <v>6.9734772858971077</v>
      </c>
      <c r="AH68" s="76">
        <f t="shared" si="39"/>
        <v>4.3012267184041919</v>
      </c>
      <c r="AI68" s="77">
        <f t="shared" si="40"/>
        <v>5.9106891337952741</v>
      </c>
    </row>
    <row r="69" spans="1:35" ht="15.75" customHeight="1" x14ac:dyDescent="0.45">
      <c r="A69" s="59">
        <f t="shared" si="41"/>
        <v>45813</v>
      </c>
      <c r="B69" s="60">
        <v>2025</v>
      </c>
      <c r="C69" s="60">
        <v>6</v>
      </c>
      <c r="D69" s="60">
        <v>5</v>
      </c>
      <c r="E69" s="61">
        <v>156</v>
      </c>
      <c r="F69" s="62">
        <v>35</v>
      </c>
      <c r="G69" s="62">
        <v>15</v>
      </c>
      <c r="H69" s="70">
        <f t="shared" si="42"/>
        <v>25</v>
      </c>
      <c r="I69" s="62">
        <v>98</v>
      </c>
      <c r="J69" s="62">
        <v>75</v>
      </c>
      <c r="K69" s="62">
        <v>1</v>
      </c>
      <c r="L69" s="62">
        <v>30</v>
      </c>
      <c r="M69" s="71">
        <f t="shared" si="43"/>
        <v>22.566143758798379</v>
      </c>
      <c r="N69" s="72">
        <f t="shared" si="44"/>
        <v>0.39385442907022772</v>
      </c>
      <c r="O69" s="72">
        <f t="shared" si="20"/>
        <v>1.9122352231276625</v>
      </c>
      <c r="P69" s="72">
        <f t="shared" si="21"/>
        <v>0.97037437672562143</v>
      </c>
      <c r="Q69" s="71">
        <f t="shared" si="22"/>
        <v>41.299144044645168</v>
      </c>
      <c r="R69" s="72">
        <f t="shared" si="23"/>
        <v>0.95281461366702525</v>
      </c>
      <c r="S69" s="71">
        <f t="shared" si="24"/>
        <v>14.608366868813311</v>
      </c>
      <c r="T69" s="72">
        <f t="shared" si="25"/>
        <v>5.6226812384961216</v>
      </c>
      <c r="U69" s="72">
        <f t="shared" si="26"/>
        <v>1.7053462321157722</v>
      </c>
      <c r="V69" s="72">
        <f t="shared" si="27"/>
        <v>4.2170109288720914</v>
      </c>
      <c r="W69" s="72">
        <f t="shared" si="28"/>
        <v>1.6712393074734566</v>
      </c>
      <c r="X69" s="72">
        <f t="shared" si="29"/>
        <v>2.9441251181727739</v>
      </c>
      <c r="Y69" s="72">
        <f t="shared" si="30"/>
        <v>0.71988861713317309</v>
      </c>
      <c r="Z69" s="72">
        <f t="shared" si="31"/>
        <v>3.6920337916700054</v>
      </c>
      <c r="AA69" s="72">
        <f t="shared" si="32"/>
        <v>19.407966208329995</v>
      </c>
      <c r="AB69" s="72">
        <f t="shared" si="33"/>
        <v>3.1677777175068473</v>
      </c>
      <c r="AC69" s="72">
        <f t="shared" si="34"/>
        <v>0.18868182684282603</v>
      </c>
      <c r="AD69" s="73">
        <f t="shared" si="35"/>
        <v>1206.0988078320233</v>
      </c>
      <c r="AE69" s="71">
        <f t="shared" si="36"/>
        <v>193.25470065891747</v>
      </c>
      <c r="AF69" s="74">
        <f t="shared" si="37"/>
        <v>5.909394747605397</v>
      </c>
      <c r="AG69" s="75">
        <f t="shared" si="38"/>
        <v>6.9816629358980062</v>
      </c>
      <c r="AH69" s="76">
        <f t="shared" si="39"/>
        <v>4.3012267184041919</v>
      </c>
      <c r="AI69" s="77">
        <f t="shared" si="40"/>
        <v>5.9123191410141809</v>
      </c>
    </row>
    <row r="70" spans="1:35" ht="15.75" customHeight="1" x14ac:dyDescent="0.45">
      <c r="A70" s="59">
        <f t="shared" si="41"/>
        <v>45814</v>
      </c>
      <c r="B70" s="60">
        <v>2025</v>
      </c>
      <c r="C70" s="60">
        <v>6</v>
      </c>
      <c r="D70" s="60">
        <v>6</v>
      </c>
      <c r="E70" s="61">
        <v>157</v>
      </c>
      <c r="F70" s="62">
        <v>35</v>
      </c>
      <c r="G70" s="62">
        <v>15</v>
      </c>
      <c r="H70" s="70">
        <f t="shared" si="42"/>
        <v>25</v>
      </c>
      <c r="I70" s="62">
        <v>98</v>
      </c>
      <c r="J70" s="62">
        <v>75</v>
      </c>
      <c r="K70" s="62">
        <v>1</v>
      </c>
      <c r="L70" s="62">
        <v>30</v>
      </c>
      <c r="M70" s="71">
        <f t="shared" si="43"/>
        <v>22.672577613377179</v>
      </c>
      <c r="N70" s="72">
        <f t="shared" si="44"/>
        <v>0.39571205461214304</v>
      </c>
      <c r="O70" s="72">
        <f t="shared" si="20"/>
        <v>1.9141000841623339</v>
      </c>
      <c r="P70" s="72">
        <f t="shared" si="21"/>
        <v>0.97012853609715455</v>
      </c>
      <c r="Q70" s="71">
        <f t="shared" si="22"/>
        <v>41.344348243838418</v>
      </c>
      <c r="R70" s="72">
        <f t="shared" si="23"/>
        <v>0.95122616629811918</v>
      </c>
      <c r="S70" s="71">
        <f t="shared" si="24"/>
        <v>14.622613324387579</v>
      </c>
      <c r="T70" s="72">
        <f t="shared" si="25"/>
        <v>5.6226812384961216</v>
      </c>
      <c r="U70" s="72">
        <f t="shared" si="26"/>
        <v>1.7053462321157722</v>
      </c>
      <c r="V70" s="72">
        <f t="shared" si="27"/>
        <v>4.2170109288720914</v>
      </c>
      <c r="W70" s="72">
        <f t="shared" si="28"/>
        <v>1.6712393074734566</v>
      </c>
      <c r="X70" s="72">
        <f t="shared" si="29"/>
        <v>2.9441251181727739</v>
      </c>
      <c r="Y70" s="72">
        <f t="shared" si="30"/>
        <v>0.71988861713317309</v>
      </c>
      <c r="Z70" s="72">
        <f t="shared" si="31"/>
        <v>3.6865215634893085</v>
      </c>
      <c r="AA70" s="72">
        <f t="shared" si="32"/>
        <v>19.413478436510694</v>
      </c>
      <c r="AB70" s="72">
        <f t="shared" si="33"/>
        <v>3.1677777175068473</v>
      </c>
      <c r="AC70" s="72">
        <f t="shared" si="34"/>
        <v>0.18868182684282603</v>
      </c>
      <c r="AD70" s="73">
        <f t="shared" si="35"/>
        <v>1206.0988078320233</v>
      </c>
      <c r="AE70" s="71">
        <f t="shared" si="36"/>
        <v>193.25470065891747</v>
      </c>
      <c r="AF70" s="74">
        <f t="shared" si="37"/>
        <v>5.9109229177520985</v>
      </c>
      <c r="AG70" s="75">
        <f t="shared" si="38"/>
        <v>6.9893047524381586</v>
      </c>
      <c r="AH70" s="76">
        <f t="shared" si="39"/>
        <v>4.3012267184041919</v>
      </c>
      <c r="AI70" s="77">
        <f t="shared" si="40"/>
        <v>5.9138374087988854</v>
      </c>
    </row>
    <row r="71" spans="1:35" ht="15.75" customHeight="1" x14ac:dyDescent="0.45">
      <c r="A71" s="59">
        <f t="shared" si="41"/>
        <v>45815</v>
      </c>
      <c r="B71" s="60">
        <v>2025</v>
      </c>
      <c r="C71" s="60">
        <v>6</v>
      </c>
      <c r="D71" s="60">
        <v>7</v>
      </c>
      <c r="E71" s="61">
        <v>158</v>
      </c>
      <c r="F71" s="62">
        <v>35</v>
      </c>
      <c r="G71" s="62">
        <v>15</v>
      </c>
      <c r="H71" s="70">
        <f t="shared" si="42"/>
        <v>25</v>
      </c>
      <c r="I71" s="62">
        <v>98</v>
      </c>
      <c r="J71" s="62">
        <v>75</v>
      </c>
      <c r="K71" s="62">
        <v>1</v>
      </c>
      <c r="L71" s="62">
        <v>30</v>
      </c>
      <c r="M71" s="71">
        <f t="shared" si="43"/>
        <v>22.77229306247461</v>
      </c>
      <c r="N71" s="72">
        <f t="shared" si="44"/>
        <v>0.39745242158372351</v>
      </c>
      <c r="O71" s="72">
        <f t="shared" si="20"/>
        <v>1.9158509886360746</v>
      </c>
      <c r="P71" s="72">
        <f t="shared" si="21"/>
        <v>0.96989154706951752</v>
      </c>
      <c r="Q71" s="71">
        <f t="shared" si="22"/>
        <v>41.386337154574854</v>
      </c>
      <c r="R71" s="72">
        <f t="shared" si="23"/>
        <v>0.94975381068163922</v>
      </c>
      <c r="S71" s="71">
        <f t="shared" si="24"/>
        <v>14.635989217999041</v>
      </c>
      <c r="T71" s="72">
        <f t="shared" si="25"/>
        <v>5.6226812384961216</v>
      </c>
      <c r="U71" s="72">
        <f t="shared" si="26"/>
        <v>1.7053462321157722</v>
      </c>
      <c r="V71" s="72">
        <f t="shared" si="27"/>
        <v>4.2170109288720914</v>
      </c>
      <c r="W71" s="72">
        <f t="shared" si="28"/>
        <v>1.6712393074734566</v>
      </c>
      <c r="X71" s="72">
        <f t="shared" si="29"/>
        <v>2.9441251181727739</v>
      </c>
      <c r="Y71" s="72">
        <f t="shared" si="30"/>
        <v>0.71988861713317309</v>
      </c>
      <c r="Z71" s="72">
        <f t="shared" si="31"/>
        <v>3.6814121967705629</v>
      </c>
      <c r="AA71" s="72">
        <f t="shared" si="32"/>
        <v>19.418587803229439</v>
      </c>
      <c r="AB71" s="72">
        <f t="shared" si="33"/>
        <v>3.1677777175068473</v>
      </c>
      <c r="AC71" s="72">
        <f t="shared" si="34"/>
        <v>0.18868182684282603</v>
      </c>
      <c r="AD71" s="73">
        <f t="shared" si="35"/>
        <v>1206.0988078320233</v>
      </c>
      <c r="AE71" s="71">
        <f t="shared" si="36"/>
        <v>193.25470065891747</v>
      </c>
      <c r="AF71" s="74">
        <f t="shared" si="37"/>
        <v>5.912339401510061</v>
      </c>
      <c r="AG71" s="75">
        <f t="shared" si="38"/>
        <v>6.996403021145384</v>
      </c>
      <c r="AH71" s="76">
        <f t="shared" si="39"/>
        <v>4.3012267184041919</v>
      </c>
      <c r="AI71" s="77">
        <f t="shared" si="40"/>
        <v>5.9152447139094528</v>
      </c>
    </row>
    <row r="72" spans="1:35" ht="15.75" customHeight="1" x14ac:dyDescent="0.45">
      <c r="A72" s="59">
        <f t="shared" si="41"/>
        <v>45816</v>
      </c>
      <c r="B72" s="60">
        <v>2025</v>
      </c>
      <c r="C72" s="60">
        <v>6</v>
      </c>
      <c r="D72" s="60">
        <v>8</v>
      </c>
      <c r="E72" s="61">
        <v>159</v>
      </c>
      <c r="F72" s="62">
        <v>35</v>
      </c>
      <c r="G72" s="62">
        <v>15</v>
      </c>
      <c r="H72" s="70">
        <f t="shared" si="42"/>
        <v>25</v>
      </c>
      <c r="I72" s="62">
        <v>98</v>
      </c>
      <c r="J72" s="62">
        <v>75</v>
      </c>
      <c r="K72" s="62">
        <v>1</v>
      </c>
      <c r="L72" s="62">
        <v>30</v>
      </c>
      <c r="M72" s="71">
        <f t="shared" si="43"/>
        <v>22.865260558112887</v>
      </c>
      <c r="N72" s="72">
        <f t="shared" si="44"/>
        <v>0.39907501427426356</v>
      </c>
      <c r="O72" s="72">
        <f t="shared" ref="O72:O135" si="45">ACOS(-TAN($AL$7*3.1416/180)*TAN(N72))</f>
        <v>1.917486706788174</v>
      </c>
      <c r="P72" s="72">
        <f t="shared" ref="P72:P135" si="46">1+0.033*COS(2*3.1416/365*E72)</f>
        <v>0.9696634798680025</v>
      </c>
      <c r="Q72" s="71">
        <f t="shared" ref="Q72:Q135" si="47">37.4*P72*(SIN($AL$7*3.1416/180)*SIN(N72)*O72+COS($AL$7*3.1416/180)*COS(N72)*SIN(O72))</f>
        <v>41.42511258183292</v>
      </c>
      <c r="R72" s="72">
        <f t="shared" ref="R72:R135" si="48">MIN(1,MAX(0,2*(L72/Q72-0.25)))</f>
        <v>0.94839678785358661</v>
      </c>
      <c r="S72" s="71">
        <f t="shared" ref="S72:S135" si="49">O72*2*12/3.1416</f>
        <v>14.648485154989871</v>
      </c>
      <c r="T72" s="72">
        <f t="shared" ref="T72:T135" si="50">0.6108*EXP(17.27*F72/(237.3+F72))</f>
        <v>5.6226812384961216</v>
      </c>
      <c r="U72" s="72">
        <f t="shared" ref="U72:U135" si="51">0.6108*EXP(17.27*G72/(237.3+G72))</f>
        <v>1.7053462321157722</v>
      </c>
      <c r="V72" s="72">
        <f t="shared" ref="V72:V135" si="52">T72*J72/100</f>
        <v>4.2170109288720914</v>
      </c>
      <c r="W72" s="72">
        <f t="shared" ref="W72:W135" si="53">U72*I72/100</f>
        <v>1.6712393074734566</v>
      </c>
      <c r="X72" s="72">
        <f t="shared" ref="X72:X135" si="54">0.5*(V72+W72)</f>
        <v>2.9441251181727739</v>
      </c>
      <c r="Y72" s="72">
        <f t="shared" ref="Y72:Y135" si="55">0.5*(T72+U72)-X72</f>
        <v>0.71988861713317309</v>
      </c>
      <c r="Z72" s="72">
        <f t="shared" ref="Z72:Z135" si="56">(0.1+0.9*R72)*(0.34-0.14*SQRT(X72))*0.0000000049*(273+H72)^4</f>
        <v>3.6767030577577975</v>
      </c>
      <c r="AA72" s="72">
        <f t="shared" ref="AA72:AA135" si="57">(1-$AL$3)*L72-Z72</f>
        <v>19.423296942242203</v>
      </c>
      <c r="AB72" s="72">
        <f t="shared" ref="AB72:AB135" si="58">0.6108*EXP(17.27*H72/(237.3+H72))</f>
        <v>3.1677777175068473</v>
      </c>
      <c r="AC72" s="72">
        <f t="shared" ref="AC72:AC135" si="59">4098*AB72/(237.3+H72)^2</f>
        <v>0.18868182684282603</v>
      </c>
      <c r="AD72" s="73">
        <f t="shared" ref="AD72:AD135" si="60">29000*$AL$9/8.31/(H72+273)*(1.01+0.622*X72/($AL$9-X72))</f>
        <v>1206.0988078320233</v>
      </c>
      <c r="AE72" s="71">
        <f t="shared" si="36"/>
        <v>193.25470065891747</v>
      </c>
      <c r="AF72" s="74">
        <f t="shared" si="37"/>
        <v>5.913644929042678</v>
      </c>
      <c r="AG72" s="75">
        <f t="shared" si="38"/>
        <v>7.002958047153153</v>
      </c>
      <c r="AH72" s="76">
        <f t="shared" si="39"/>
        <v>4.3012267184041919</v>
      </c>
      <c r="AI72" s="77">
        <f t="shared" si="40"/>
        <v>5.9165417817779078</v>
      </c>
    </row>
    <row r="73" spans="1:35" ht="15.75" customHeight="1" x14ac:dyDescent="0.45">
      <c r="A73" s="59">
        <f t="shared" si="41"/>
        <v>45817</v>
      </c>
      <c r="B73" s="60">
        <v>2025</v>
      </c>
      <c r="C73" s="60">
        <v>6</v>
      </c>
      <c r="D73" s="60">
        <v>9</v>
      </c>
      <c r="E73" s="61">
        <v>160</v>
      </c>
      <c r="F73" s="62">
        <v>35</v>
      </c>
      <c r="G73" s="62">
        <v>15</v>
      </c>
      <c r="H73" s="70">
        <f t="shared" si="42"/>
        <v>25</v>
      </c>
      <c r="I73" s="62">
        <v>98</v>
      </c>
      <c r="J73" s="62">
        <v>75</v>
      </c>
      <c r="K73" s="62">
        <v>1</v>
      </c>
      <c r="L73" s="62">
        <v>30</v>
      </c>
      <c r="M73" s="71">
        <f t="shared" si="43"/>
        <v>22.951452551887805</v>
      </c>
      <c r="N73" s="72">
        <f t="shared" si="44"/>
        <v>0.40057935187228183</v>
      </c>
      <c r="O73" s="72">
        <f t="shared" si="45"/>
        <v>1.919006079666955</v>
      </c>
      <c r="P73" s="72">
        <f t="shared" si="46"/>
        <v>0.96944440207415949</v>
      </c>
      <c r="Q73" s="71">
        <f t="shared" si="47"/>
        <v>41.460676432610363</v>
      </c>
      <c r="R73" s="72">
        <f t="shared" si="48"/>
        <v>0.94715439212679531</v>
      </c>
      <c r="S73" s="71">
        <f t="shared" si="49"/>
        <v>14.660092281642131</v>
      </c>
      <c r="T73" s="72">
        <f t="shared" si="50"/>
        <v>5.6226812384961216</v>
      </c>
      <c r="U73" s="72">
        <f t="shared" si="51"/>
        <v>1.7053462321157722</v>
      </c>
      <c r="V73" s="72">
        <f t="shared" si="52"/>
        <v>4.2170109288720914</v>
      </c>
      <c r="W73" s="72">
        <f t="shared" si="53"/>
        <v>1.6712393074734566</v>
      </c>
      <c r="X73" s="72">
        <f t="shared" si="54"/>
        <v>2.9441251181727739</v>
      </c>
      <c r="Y73" s="72">
        <f t="shared" si="55"/>
        <v>0.71988861713317309</v>
      </c>
      <c r="Z73" s="72">
        <f t="shared" si="56"/>
        <v>3.6723916975762418</v>
      </c>
      <c r="AA73" s="72">
        <f t="shared" si="57"/>
        <v>19.42760830242376</v>
      </c>
      <c r="AB73" s="72">
        <f t="shared" si="58"/>
        <v>3.1677777175068473</v>
      </c>
      <c r="AC73" s="72">
        <f t="shared" si="59"/>
        <v>0.18868182684282603</v>
      </c>
      <c r="AD73" s="73">
        <f t="shared" si="60"/>
        <v>1206.0988078320233</v>
      </c>
      <c r="AE73" s="71">
        <f t="shared" ref="AE73:AE136" si="61">LN(($AL$6-0.65*$AL$4)/0.13/$AL$4)*LN(($AL$6-0.65*$AL$4)/0.13/$AL$4/0.2)/0.4^2/K73</f>
        <v>193.25470065891747</v>
      </c>
      <c r="AF73" s="74">
        <f t="shared" ref="AF73:AF136" si="62">(AC73*AA73+0.5*Y73*K73)/2.45/(AC73+0.067*(1+0.33*K73))</f>
        <v>5.9148401792582286</v>
      </c>
      <c r="AG73" s="75">
        <f t="shared" ref="AG73:AG136" si="63">0.00552*Q73*(H73+17.8)*SQRT(F73-G73)*$AL$11</f>
        <v>7.0089701528414041</v>
      </c>
      <c r="AH73" s="76">
        <f t="shared" ref="AH73:AH136" si="64">0.68/2.45*AC73/(0.067+AC73)*0.7*L73</f>
        <v>4.3012267184041919</v>
      </c>
      <c r="AI73" s="77">
        <f t="shared" si="40"/>
        <v>5.9177292869132794</v>
      </c>
    </row>
    <row r="74" spans="1:35" ht="15.75" customHeight="1" x14ac:dyDescent="0.45">
      <c r="A74" s="59">
        <f t="shared" si="41"/>
        <v>45818</v>
      </c>
      <c r="B74" s="60">
        <v>2025</v>
      </c>
      <c r="C74" s="60">
        <v>6</v>
      </c>
      <c r="D74" s="60">
        <v>10</v>
      </c>
      <c r="E74" s="61">
        <v>161</v>
      </c>
      <c r="F74" s="62">
        <v>35</v>
      </c>
      <c r="G74" s="62">
        <v>15</v>
      </c>
      <c r="H74" s="70">
        <f t="shared" si="42"/>
        <v>25</v>
      </c>
      <c r="I74" s="62">
        <v>98</v>
      </c>
      <c r="J74" s="62">
        <v>75</v>
      </c>
      <c r="K74" s="62">
        <v>1</v>
      </c>
      <c r="L74" s="62">
        <v>30</v>
      </c>
      <c r="M74" s="71">
        <f t="shared" si="43"/>
        <v>23.030843503131994</v>
      </c>
      <c r="N74" s="72">
        <f t="shared" si="44"/>
        <v>0.40196498860799701</v>
      </c>
      <c r="O74" s="72">
        <f t="shared" si="45"/>
        <v>1.9204080219537629</v>
      </c>
      <c r="P74" s="72">
        <f t="shared" si="46"/>
        <v>0.96923437860577033</v>
      </c>
      <c r="Q74" s="71">
        <f t="shared" si="47"/>
        <v>41.493030703603395</v>
      </c>
      <c r="R74" s="72">
        <f t="shared" si="48"/>
        <v>0.94602597068884142</v>
      </c>
      <c r="S74" s="71">
        <f t="shared" si="49"/>
        <v>14.670802306751435</v>
      </c>
      <c r="T74" s="72">
        <f t="shared" si="50"/>
        <v>5.6226812384961216</v>
      </c>
      <c r="U74" s="72">
        <f t="shared" si="51"/>
        <v>1.7053462321157722</v>
      </c>
      <c r="V74" s="72">
        <f t="shared" si="52"/>
        <v>4.2170109288720914</v>
      </c>
      <c r="W74" s="72">
        <f t="shared" si="53"/>
        <v>1.6712393074734566</v>
      </c>
      <c r="X74" s="72">
        <f t="shared" si="54"/>
        <v>2.9441251181727739</v>
      </c>
      <c r="Y74" s="72">
        <f t="shared" si="55"/>
        <v>0.71988861713317309</v>
      </c>
      <c r="Z74" s="72">
        <f t="shared" si="56"/>
        <v>3.6684758508369986</v>
      </c>
      <c r="AA74" s="72">
        <f t="shared" si="57"/>
        <v>19.431524149163003</v>
      </c>
      <c r="AB74" s="72">
        <f t="shared" si="58"/>
        <v>3.1677777175068473</v>
      </c>
      <c r="AC74" s="72">
        <f t="shared" si="59"/>
        <v>0.18868182684282603</v>
      </c>
      <c r="AD74" s="73">
        <f t="shared" si="60"/>
        <v>1206.0988078320233</v>
      </c>
      <c r="AE74" s="71">
        <f t="shared" si="61"/>
        <v>193.25470065891747</v>
      </c>
      <c r="AF74" s="74">
        <f t="shared" si="62"/>
        <v>5.9159257801966891</v>
      </c>
      <c r="AG74" s="75">
        <f t="shared" si="63"/>
        <v>7.0144396757536915</v>
      </c>
      <c r="AH74" s="76">
        <f t="shared" si="64"/>
        <v>4.3012267184041919</v>
      </c>
      <c r="AI74" s="77">
        <f t="shared" ref="AI74:AI137" si="65">(AC74*AA74+0.0864*AD74*Y74/AE74)/(AC74+0.067*(1+$AL$5/AE74))/2.45</f>
        <v>5.9188078532859212</v>
      </c>
    </row>
    <row r="75" spans="1:35" ht="15.75" customHeight="1" x14ac:dyDescent="0.45">
      <c r="A75" s="59">
        <f t="shared" si="41"/>
        <v>45819</v>
      </c>
      <c r="B75" s="60">
        <v>2025</v>
      </c>
      <c r="C75" s="60">
        <v>6</v>
      </c>
      <c r="D75" s="60">
        <v>11</v>
      </c>
      <c r="E75" s="61">
        <v>162</v>
      </c>
      <c r="F75" s="62">
        <v>35</v>
      </c>
      <c r="G75" s="62">
        <v>15</v>
      </c>
      <c r="H75" s="70">
        <f t="shared" si="42"/>
        <v>25</v>
      </c>
      <c r="I75" s="62">
        <v>98</v>
      </c>
      <c r="J75" s="62">
        <v>75</v>
      </c>
      <c r="K75" s="62">
        <v>1</v>
      </c>
      <c r="L75" s="62">
        <v>30</v>
      </c>
      <c r="M75" s="71">
        <f t="shared" si="43"/>
        <v>23.103409886483174</v>
      </c>
      <c r="N75" s="72">
        <f t="shared" si="44"/>
        <v>0.40323151388541967</v>
      </c>
      <c r="O75" s="72">
        <f t="shared" si="45"/>
        <v>1.9216915246407735</v>
      </c>
      <c r="P75" s="72">
        <f t="shared" si="46"/>
        <v>0.96903347169761267</v>
      </c>
      <c r="Q75" s="71">
        <f t="shared" si="47"/>
        <v>41.522177469886067</v>
      </c>
      <c r="R75" s="72">
        <f t="shared" si="48"/>
        <v>0.9450109232232573</v>
      </c>
      <c r="S75" s="71">
        <f t="shared" si="49"/>
        <v>14.680607522083832</v>
      </c>
      <c r="T75" s="72">
        <f t="shared" si="50"/>
        <v>5.6226812384961216</v>
      </c>
      <c r="U75" s="72">
        <f t="shared" si="51"/>
        <v>1.7053462321157722</v>
      </c>
      <c r="V75" s="72">
        <f t="shared" si="52"/>
        <v>4.2170109288720914</v>
      </c>
      <c r="W75" s="72">
        <f t="shared" si="53"/>
        <v>1.6712393074734566</v>
      </c>
      <c r="X75" s="72">
        <f t="shared" si="54"/>
        <v>2.9441251181727739</v>
      </c>
      <c r="Y75" s="72">
        <f t="shared" si="55"/>
        <v>0.71988861713317309</v>
      </c>
      <c r="Z75" s="72">
        <f t="shared" si="56"/>
        <v>3.6649534343225678</v>
      </c>
      <c r="AA75" s="72">
        <f t="shared" si="57"/>
        <v>19.435046565677432</v>
      </c>
      <c r="AB75" s="72">
        <f t="shared" si="58"/>
        <v>3.1677777175068473</v>
      </c>
      <c r="AC75" s="72">
        <f t="shared" si="59"/>
        <v>0.18868182684282603</v>
      </c>
      <c r="AD75" s="73">
        <f t="shared" si="60"/>
        <v>1206.0988078320233</v>
      </c>
      <c r="AE75" s="71">
        <f t="shared" si="61"/>
        <v>193.25470065891747</v>
      </c>
      <c r="AF75" s="74">
        <f t="shared" si="62"/>
        <v>5.9169023093941631</v>
      </c>
      <c r="AG75" s="75">
        <f t="shared" si="63"/>
        <v>7.0193669666834273</v>
      </c>
      <c r="AH75" s="76">
        <f t="shared" si="64"/>
        <v>4.3012267184041919</v>
      </c>
      <c r="AI75" s="77">
        <f t="shared" si="65"/>
        <v>5.9197780546895729</v>
      </c>
    </row>
    <row r="76" spans="1:35" ht="15.75" customHeight="1" x14ac:dyDescent="0.45">
      <c r="A76" s="59">
        <f t="shared" si="41"/>
        <v>45820</v>
      </c>
      <c r="B76" s="60">
        <v>2025</v>
      </c>
      <c r="C76" s="60">
        <v>6</v>
      </c>
      <c r="D76" s="60">
        <v>12</v>
      </c>
      <c r="E76" s="61">
        <v>163</v>
      </c>
      <c r="F76" s="62">
        <v>35</v>
      </c>
      <c r="G76" s="62">
        <v>15</v>
      </c>
      <c r="H76" s="70">
        <f t="shared" si="42"/>
        <v>25</v>
      </c>
      <c r="I76" s="62">
        <v>98</v>
      </c>
      <c r="J76" s="62">
        <v>75</v>
      </c>
      <c r="K76" s="62">
        <v>1</v>
      </c>
      <c r="L76" s="62">
        <v>30</v>
      </c>
      <c r="M76" s="71">
        <f t="shared" si="43"/>
        <v>23.169130198855285</v>
      </c>
      <c r="N76" s="72">
        <f t="shared" si="44"/>
        <v>0.40437855240402093</v>
      </c>
      <c r="O76" s="72">
        <f t="shared" si="45"/>
        <v>1.9228556575493134</v>
      </c>
      <c r="P76" s="72">
        <f t="shared" si="46"/>
        <v>0.96884174088301744</v>
      </c>
      <c r="Q76" s="71">
        <f t="shared" si="47"/>
        <v>41.548118874547292</v>
      </c>
      <c r="R76" s="72">
        <f t="shared" si="48"/>
        <v>0.94410870155559512</v>
      </c>
      <c r="S76" s="71">
        <f t="shared" si="49"/>
        <v>14.689500821614313</v>
      </c>
      <c r="T76" s="72">
        <f t="shared" si="50"/>
        <v>5.6226812384961216</v>
      </c>
      <c r="U76" s="72">
        <f t="shared" si="51"/>
        <v>1.7053462321157722</v>
      </c>
      <c r="V76" s="72">
        <f t="shared" si="52"/>
        <v>4.2170109288720914</v>
      </c>
      <c r="W76" s="72">
        <f t="shared" si="53"/>
        <v>1.6712393074734566</v>
      </c>
      <c r="X76" s="72">
        <f t="shared" si="54"/>
        <v>2.9441251181727739</v>
      </c>
      <c r="Y76" s="72">
        <f t="shared" si="55"/>
        <v>0.71988861713317309</v>
      </c>
      <c r="Z76" s="72">
        <f t="shared" si="56"/>
        <v>3.661822545758632</v>
      </c>
      <c r="AA76" s="72">
        <f t="shared" si="57"/>
        <v>19.438177454241369</v>
      </c>
      <c r="AB76" s="72">
        <f t="shared" si="58"/>
        <v>3.1677777175068473</v>
      </c>
      <c r="AC76" s="72">
        <f t="shared" si="59"/>
        <v>0.18868182684282603</v>
      </c>
      <c r="AD76" s="73">
        <f t="shared" si="60"/>
        <v>1206.0988078320233</v>
      </c>
      <c r="AE76" s="71">
        <f t="shared" si="61"/>
        <v>193.25470065891747</v>
      </c>
      <c r="AF76" s="74">
        <f t="shared" si="62"/>
        <v>5.917770294223387</v>
      </c>
      <c r="AG76" s="75">
        <f t="shared" si="63"/>
        <v>7.0237523879220021</v>
      </c>
      <c r="AH76" s="76">
        <f t="shared" si="64"/>
        <v>4.3012267184041919</v>
      </c>
      <c r="AI76" s="77">
        <f t="shared" si="65"/>
        <v>5.9206404150796557</v>
      </c>
    </row>
    <row r="77" spans="1:35" ht="15.75" customHeight="1" x14ac:dyDescent="0.45">
      <c r="A77" s="59">
        <f t="shared" si="41"/>
        <v>45821</v>
      </c>
      <c r="B77" s="60">
        <v>2025</v>
      </c>
      <c r="C77" s="60">
        <v>6</v>
      </c>
      <c r="D77" s="60">
        <v>13</v>
      </c>
      <c r="E77" s="61">
        <v>164</v>
      </c>
      <c r="F77" s="62">
        <v>35</v>
      </c>
      <c r="G77" s="62">
        <v>15</v>
      </c>
      <c r="H77" s="70">
        <f t="shared" si="42"/>
        <v>25</v>
      </c>
      <c r="I77" s="62">
        <v>98</v>
      </c>
      <c r="J77" s="62">
        <v>75</v>
      </c>
      <c r="K77" s="62">
        <v>1</v>
      </c>
      <c r="L77" s="62">
        <v>30</v>
      </c>
      <c r="M77" s="71">
        <f t="shared" si="43"/>
        <v>23.227984965810336</v>
      </c>
      <c r="N77" s="72">
        <f t="shared" si="44"/>
        <v>0.40540576426994301</v>
      </c>
      <c r="O77" s="72">
        <f t="shared" si="45"/>
        <v>1.9238995716759775</v>
      </c>
      <c r="P77" s="72">
        <f t="shared" si="46"/>
        <v>0.96865924297622885</v>
      </c>
      <c r="Q77" s="71">
        <f t="shared" si="47"/>
        <v>41.570857119244067</v>
      </c>
      <c r="R77" s="72">
        <f t="shared" si="48"/>
        <v>0.94331880932579271</v>
      </c>
      <c r="S77" s="71">
        <f t="shared" si="49"/>
        <v>14.697475719449791</v>
      </c>
      <c r="T77" s="72">
        <f t="shared" si="50"/>
        <v>5.6226812384961216</v>
      </c>
      <c r="U77" s="72">
        <f t="shared" si="51"/>
        <v>1.7053462321157722</v>
      </c>
      <c r="V77" s="72">
        <f t="shared" si="52"/>
        <v>4.2170109288720914</v>
      </c>
      <c r="W77" s="72">
        <f t="shared" si="53"/>
        <v>1.6712393074734566</v>
      </c>
      <c r="X77" s="72">
        <f t="shared" si="54"/>
        <v>2.9441251181727739</v>
      </c>
      <c r="Y77" s="72">
        <f t="shared" si="55"/>
        <v>0.71988861713317309</v>
      </c>
      <c r="Z77" s="72">
        <f t="shared" si="56"/>
        <v>3.6590814626770882</v>
      </c>
      <c r="AA77" s="72">
        <f t="shared" si="57"/>
        <v>19.440918537322915</v>
      </c>
      <c r="AB77" s="72">
        <f t="shared" si="58"/>
        <v>3.1677777175068473</v>
      </c>
      <c r="AC77" s="72">
        <f t="shared" si="59"/>
        <v>0.18868182684282603</v>
      </c>
      <c r="AD77" s="73">
        <f t="shared" si="60"/>
        <v>1206.0988078320233</v>
      </c>
      <c r="AE77" s="71">
        <f t="shared" si="61"/>
        <v>193.25470065891747</v>
      </c>
      <c r="AF77" s="74">
        <f t="shared" si="62"/>
        <v>5.9185302122089158</v>
      </c>
      <c r="AG77" s="75">
        <f t="shared" si="63"/>
        <v>7.0275963116618083</v>
      </c>
      <c r="AH77" s="76">
        <f t="shared" si="64"/>
        <v>4.3012267184041919</v>
      </c>
      <c r="AI77" s="77">
        <f t="shared" si="65"/>
        <v>5.921395408886422</v>
      </c>
    </row>
    <row r="78" spans="1:35" ht="15.75" customHeight="1" x14ac:dyDescent="0.45">
      <c r="A78" s="59">
        <f t="shared" si="41"/>
        <v>45822</v>
      </c>
      <c r="B78" s="60">
        <v>2025</v>
      </c>
      <c r="C78" s="60">
        <v>6</v>
      </c>
      <c r="D78" s="60">
        <v>14</v>
      </c>
      <c r="E78" s="61">
        <v>165</v>
      </c>
      <c r="F78" s="62">
        <v>35</v>
      </c>
      <c r="G78" s="62">
        <v>15</v>
      </c>
      <c r="H78" s="70">
        <f t="shared" si="42"/>
        <v>25</v>
      </c>
      <c r="I78" s="62">
        <v>98</v>
      </c>
      <c r="J78" s="62">
        <v>75</v>
      </c>
      <c r="K78" s="62">
        <v>1</v>
      </c>
      <c r="L78" s="62">
        <v>30</v>
      </c>
      <c r="M78" s="71">
        <f t="shared" si="43"/>
        <v>23.279956747329123</v>
      </c>
      <c r="N78" s="72">
        <f t="shared" si="44"/>
        <v>0.40631284509671767</v>
      </c>
      <c r="O78" s="72">
        <f t="shared" si="45"/>
        <v>1.9248225013545346</v>
      </c>
      <c r="P78" s="72">
        <f t="shared" si="46"/>
        <v>0.96848603205556816</v>
      </c>
      <c r="Q78" s="71">
        <f t="shared" si="47"/>
        <v>41.590394455630225</v>
      </c>
      <c r="R78" s="72">
        <f t="shared" si="48"/>
        <v>0.9426408016882275</v>
      </c>
      <c r="S78" s="71">
        <f t="shared" si="49"/>
        <v>14.704526366344803</v>
      </c>
      <c r="T78" s="72">
        <f t="shared" si="50"/>
        <v>5.6226812384961216</v>
      </c>
      <c r="U78" s="72">
        <f t="shared" si="51"/>
        <v>1.7053462321157722</v>
      </c>
      <c r="V78" s="72">
        <f t="shared" si="52"/>
        <v>4.2170109288720914</v>
      </c>
      <c r="W78" s="72">
        <f t="shared" si="53"/>
        <v>1.6712393074734566</v>
      </c>
      <c r="X78" s="72">
        <f t="shared" si="54"/>
        <v>2.9441251181727739</v>
      </c>
      <c r="Y78" s="72">
        <f t="shared" si="55"/>
        <v>0.71988861713317309</v>
      </c>
      <c r="Z78" s="72">
        <f t="shared" si="56"/>
        <v>3.6567286413751852</v>
      </c>
      <c r="AA78" s="72">
        <f t="shared" si="57"/>
        <v>19.443271358624816</v>
      </c>
      <c r="AB78" s="72">
        <f t="shared" si="58"/>
        <v>3.1677777175068473</v>
      </c>
      <c r="AC78" s="72">
        <f t="shared" si="59"/>
        <v>0.18868182684282603</v>
      </c>
      <c r="AD78" s="73">
        <f t="shared" si="60"/>
        <v>1206.0988078320233</v>
      </c>
      <c r="AE78" s="71">
        <f t="shared" si="61"/>
        <v>193.25470065891747</v>
      </c>
      <c r="AF78" s="74">
        <f t="shared" si="62"/>
        <v>5.9191824913156985</v>
      </c>
      <c r="AG78" s="75">
        <f t="shared" si="63"/>
        <v>7.0308991185472474</v>
      </c>
      <c r="AH78" s="76">
        <f t="shared" si="64"/>
        <v>4.3012267184041919</v>
      </c>
      <c r="AI78" s="77">
        <f t="shared" si="65"/>
        <v>5.9220434613016586</v>
      </c>
    </row>
    <row r="79" spans="1:35" ht="15.75" customHeight="1" x14ac:dyDescent="0.45">
      <c r="A79" s="59">
        <f t="shared" si="41"/>
        <v>45823</v>
      </c>
      <c r="B79" s="60">
        <v>2025</v>
      </c>
      <c r="C79" s="60">
        <v>6</v>
      </c>
      <c r="D79" s="60">
        <v>15</v>
      </c>
      <c r="E79" s="61">
        <v>166</v>
      </c>
      <c r="F79" s="62">
        <v>35</v>
      </c>
      <c r="G79" s="62">
        <v>15</v>
      </c>
      <c r="H79" s="70">
        <f t="shared" si="42"/>
        <v>25</v>
      </c>
      <c r="I79" s="62">
        <v>98</v>
      </c>
      <c r="J79" s="62">
        <v>75</v>
      </c>
      <c r="K79" s="62">
        <v>1</v>
      </c>
      <c r="L79" s="62">
        <v>30</v>
      </c>
      <c r="M79" s="71">
        <f t="shared" si="43"/>
        <v>23.325030142979116</v>
      </c>
      <c r="N79" s="72">
        <f t="shared" si="44"/>
        <v>0.40709952609546218</v>
      </c>
      <c r="O79" s="72">
        <f t="shared" si="45"/>
        <v>1.9256237662224045</v>
      </c>
      <c r="P79" s="72">
        <f t="shared" si="46"/>
        <v>0.9683221594474094</v>
      </c>
      <c r="Q79" s="71">
        <f t="shared" si="47"/>
        <v>41.60673317762248</v>
      </c>
      <c r="R79" s="72">
        <f t="shared" si="48"/>
        <v>0.94207428504072133</v>
      </c>
      <c r="S79" s="71">
        <f t="shared" si="49"/>
        <v>14.710647564724251</v>
      </c>
      <c r="T79" s="72">
        <f t="shared" si="50"/>
        <v>5.6226812384961216</v>
      </c>
      <c r="U79" s="72">
        <f t="shared" si="51"/>
        <v>1.7053462321157722</v>
      </c>
      <c r="V79" s="72">
        <f t="shared" si="52"/>
        <v>4.2170109288720914</v>
      </c>
      <c r="W79" s="72">
        <f t="shared" si="53"/>
        <v>1.6712393074734566</v>
      </c>
      <c r="X79" s="72">
        <f t="shared" si="54"/>
        <v>2.9441251181727739</v>
      </c>
      <c r="Y79" s="72">
        <f t="shared" si="55"/>
        <v>0.71988861713317309</v>
      </c>
      <c r="Z79" s="72">
        <f t="shared" si="56"/>
        <v>3.6547627159751084</v>
      </c>
      <c r="AA79" s="72">
        <f t="shared" si="57"/>
        <v>19.445237284024891</v>
      </c>
      <c r="AB79" s="72">
        <f t="shared" si="58"/>
        <v>3.1677777175068473</v>
      </c>
      <c r="AC79" s="72">
        <f t="shared" si="59"/>
        <v>0.18868182684282603</v>
      </c>
      <c r="AD79" s="73">
        <f t="shared" si="60"/>
        <v>1206.0988078320233</v>
      </c>
      <c r="AE79" s="71">
        <f t="shared" si="61"/>
        <v>193.25470065891747</v>
      </c>
      <c r="AF79" s="74">
        <f t="shared" si="62"/>
        <v>5.9197275102097926</v>
      </c>
      <c r="AG79" s="75">
        <f t="shared" si="63"/>
        <v>7.0336611963673104</v>
      </c>
      <c r="AH79" s="76">
        <f t="shared" si="64"/>
        <v>4.3012267184041919</v>
      </c>
      <c r="AI79" s="77">
        <f t="shared" si="65"/>
        <v>5.9225849485377138</v>
      </c>
    </row>
    <row r="80" spans="1:35" ht="15.75" customHeight="1" x14ac:dyDescent="0.45">
      <c r="A80" s="59">
        <f t="shared" si="41"/>
        <v>45824</v>
      </c>
      <c r="B80" s="60">
        <v>2025</v>
      </c>
      <c r="C80" s="60">
        <v>6</v>
      </c>
      <c r="D80" s="60">
        <v>16</v>
      </c>
      <c r="E80" s="61">
        <v>167</v>
      </c>
      <c r="F80" s="62">
        <v>35</v>
      </c>
      <c r="G80" s="62">
        <v>15</v>
      </c>
      <c r="H80" s="70">
        <f t="shared" si="42"/>
        <v>25</v>
      </c>
      <c r="I80" s="62">
        <v>98</v>
      </c>
      <c r="J80" s="62">
        <v>75</v>
      </c>
      <c r="K80" s="62">
        <v>1</v>
      </c>
      <c r="L80" s="62">
        <v>30</v>
      </c>
      <c r="M80" s="71">
        <f t="shared" si="43"/>
        <v>23.363191796477963</v>
      </c>
      <c r="N80" s="72">
        <f t="shared" si="44"/>
        <v>0.40776557415452874</v>
      </c>
      <c r="O80" s="72">
        <f t="shared" si="45"/>
        <v>1.9263027729813924</v>
      </c>
      <c r="P80" s="72">
        <f t="shared" si="46"/>
        <v>0.96816767371097012</v>
      </c>
      <c r="Q80" s="71">
        <f t="shared" si="47"/>
        <v>41.619875614468057</v>
      </c>
      <c r="R80" s="72">
        <f t="shared" si="48"/>
        <v>0.9416189167836575</v>
      </c>
      <c r="S80" s="71">
        <f t="shared" si="49"/>
        <v>14.715834782134396</v>
      </c>
      <c r="T80" s="72">
        <f t="shared" si="50"/>
        <v>5.6226812384961216</v>
      </c>
      <c r="U80" s="72">
        <f t="shared" si="51"/>
        <v>1.7053462321157722</v>
      </c>
      <c r="V80" s="72">
        <f t="shared" si="52"/>
        <v>4.2170109288720914</v>
      </c>
      <c r="W80" s="72">
        <f t="shared" si="53"/>
        <v>1.6712393074734566</v>
      </c>
      <c r="X80" s="72">
        <f t="shared" si="54"/>
        <v>2.9441251181727739</v>
      </c>
      <c r="Y80" s="72">
        <f t="shared" si="55"/>
        <v>0.71988861713317309</v>
      </c>
      <c r="Z80" s="72">
        <f t="shared" si="56"/>
        <v>3.6531824975880731</v>
      </c>
      <c r="AA80" s="72">
        <f t="shared" si="57"/>
        <v>19.446817502411928</v>
      </c>
      <c r="AB80" s="72">
        <f t="shared" si="58"/>
        <v>3.1677777175068473</v>
      </c>
      <c r="AC80" s="72">
        <f t="shared" si="59"/>
        <v>0.18868182684282603</v>
      </c>
      <c r="AD80" s="73">
        <f t="shared" si="60"/>
        <v>1206.0988078320233</v>
      </c>
      <c r="AE80" s="71">
        <f t="shared" si="61"/>
        <v>193.25470065891747</v>
      </c>
      <c r="AF80" s="74">
        <f t="shared" si="62"/>
        <v>5.9201655984900992</v>
      </c>
      <c r="AG80" s="75">
        <f t="shared" si="63"/>
        <v>7.0358829388836437</v>
      </c>
      <c r="AH80" s="76">
        <f t="shared" si="64"/>
        <v>4.3012267184041919</v>
      </c>
      <c r="AI80" s="77">
        <f t="shared" si="65"/>
        <v>5.9230201980577233</v>
      </c>
    </row>
    <row r="81" spans="1:35" ht="15.75" customHeight="1" x14ac:dyDescent="0.45">
      <c r="A81" s="59">
        <f t="shared" si="41"/>
        <v>45825</v>
      </c>
      <c r="B81" s="60">
        <v>2025</v>
      </c>
      <c r="C81" s="60">
        <v>6</v>
      </c>
      <c r="D81" s="60">
        <v>17</v>
      </c>
      <c r="E81" s="61">
        <v>168</v>
      </c>
      <c r="F81" s="62">
        <v>35</v>
      </c>
      <c r="G81" s="62">
        <v>15</v>
      </c>
      <c r="H81" s="70">
        <f t="shared" si="42"/>
        <v>25</v>
      </c>
      <c r="I81" s="62">
        <v>98</v>
      </c>
      <c r="J81" s="62">
        <v>75</v>
      </c>
      <c r="K81" s="62">
        <v>1</v>
      </c>
      <c r="L81" s="62">
        <v>30</v>
      </c>
      <c r="M81" s="71">
        <f t="shared" si="43"/>
        <v>23.394430399651242</v>
      </c>
      <c r="N81" s="72">
        <f t="shared" si="44"/>
        <v>0.40831079190857972</v>
      </c>
      <c r="O81" s="72">
        <f t="shared" si="45"/>
        <v>1.9268590169433435</v>
      </c>
      <c r="P81" s="72">
        <f t="shared" si="46"/>
        <v>0.96802262062392208</v>
      </c>
      <c r="Q81" s="71">
        <f t="shared" si="47"/>
        <v>41.629824124580757</v>
      </c>
      <c r="R81" s="72">
        <f t="shared" si="48"/>
        <v>0.94127440511026284</v>
      </c>
      <c r="S81" s="71">
        <f t="shared" si="49"/>
        <v>14.720084163050753</v>
      </c>
      <c r="T81" s="72">
        <f t="shared" si="50"/>
        <v>5.6226812384961216</v>
      </c>
      <c r="U81" s="72">
        <f t="shared" si="51"/>
        <v>1.7053462321157722</v>
      </c>
      <c r="V81" s="72">
        <f t="shared" si="52"/>
        <v>4.2170109288720914</v>
      </c>
      <c r="W81" s="72">
        <f t="shared" si="53"/>
        <v>1.6712393074734566</v>
      </c>
      <c r="X81" s="72">
        <f t="shared" si="54"/>
        <v>2.9441251181727739</v>
      </c>
      <c r="Y81" s="72">
        <f t="shared" si="55"/>
        <v>0.71988861713317309</v>
      </c>
      <c r="Z81" s="72">
        <f t="shared" si="56"/>
        <v>3.651986973586562</v>
      </c>
      <c r="AA81" s="72">
        <f t="shared" si="57"/>
        <v>19.448013026413438</v>
      </c>
      <c r="AB81" s="72">
        <f t="shared" si="58"/>
        <v>3.1677777175068473</v>
      </c>
      <c r="AC81" s="72">
        <f t="shared" si="59"/>
        <v>0.18868182684282603</v>
      </c>
      <c r="AD81" s="73">
        <f t="shared" si="60"/>
        <v>1206.0988078320233</v>
      </c>
      <c r="AE81" s="71">
        <f t="shared" si="61"/>
        <v>193.25470065891747</v>
      </c>
      <c r="AF81" s="74">
        <f t="shared" si="62"/>
        <v>5.9204970368901222</v>
      </c>
      <c r="AG81" s="75">
        <f t="shared" si="63"/>
        <v>7.0375647447885346</v>
      </c>
      <c r="AH81" s="76">
        <f t="shared" si="64"/>
        <v>4.3012267184041919</v>
      </c>
      <c r="AI81" s="77">
        <f t="shared" si="65"/>
        <v>5.9233494887760738</v>
      </c>
    </row>
    <row r="82" spans="1:35" ht="15.75" customHeight="1" x14ac:dyDescent="0.45">
      <c r="A82" s="59">
        <f t="shared" si="41"/>
        <v>45826</v>
      </c>
      <c r="B82" s="60">
        <v>2025</v>
      </c>
      <c r="C82" s="60">
        <v>6</v>
      </c>
      <c r="D82" s="60">
        <v>18</v>
      </c>
      <c r="E82" s="61">
        <v>169</v>
      </c>
      <c r="F82" s="62">
        <v>35</v>
      </c>
      <c r="G82" s="62">
        <v>15</v>
      </c>
      <c r="H82" s="70">
        <f t="shared" si="42"/>
        <v>25</v>
      </c>
      <c r="I82" s="62">
        <v>98</v>
      </c>
      <c r="J82" s="62">
        <v>75</v>
      </c>
      <c r="K82" s="62">
        <v>1</v>
      </c>
      <c r="L82" s="62">
        <v>30</v>
      </c>
      <c r="M82" s="71">
        <f t="shared" si="43"/>
        <v>23.418736695783362</v>
      </c>
      <c r="N82" s="72">
        <f t="shared" si="44"/>
        <v>0.40873501779707228</v>
      </c>
      <c r="O82" s="72">
        <f t="shared" si="45"/>
        <v>1.9272920833524565</v>
      </c>
      <c r="P82" s="72">
        <f t="shared" si="46"/>
        <v>0.96788704316882668</v>
      </c>
      <c r="Q82" s="71">
        <f t="shared" si="47"/>
        <v>41.636581090116408</v>
      </c>
      <c r="R82" s="72">
        <f t="shared" si="48"/>
        <v>0.9410405088289695</v>
      </c>
      <c r="S82" s="71">
        <f t="shared" si="49"/>
        <v>14.723392538979803</v>
      </c>
      <c r="T82" s="72">
        <f t="shared" si="50"/>
        <v>5.6226812384961216</v>
      </c>
      <c r="U82" s="72">
        <f t="shared" si="51"/>
        <v>1.7053462321157722</v>
      </c>
      <c r="V82" s="72">
        <f t="shared" si="52"/>
        <v>4.2170109288720914</v>
      </c>
      <c r="W82" s="72">
        <f t="shared" si="53"/>
        <v>1.6712393074734566</v>
      </c>
      <c r="X82" s="72">
        <f t="shared" si="54"/>
        <v>2.9441251181727739</v>
      </c>
      <c r="Y82" s="72">
        <f t="shared" si="55"/>
        <v>0.71988861713317309</v>
      </c>
      <c r="Z82" s="72">
        <f t="shared" si="56"/>
        <v>3.6511753069878798</v>
      </c>
      <c r="AA82" s="72">
        <f t="shared" si="57"/>
        <v>19.448824693012121</v>
      </c>
      <c r="AB82" s="72">
        <f t="shared" si="58"/>
        <v>3.1677777175068473</v>
      </c>
      <c r="AC82" s="72">
        <f t="shared" si="59"/>
        <v>0.18868182684282603</v>
      </c>
      <c r="AD82" s="73">
        <f t="shared" si="60"/>
        <v>1206.0988078320233</v>
      </c>
      <c r="AE82" s="71">
        <f t="shared" si="61"/>
        <v>193.25470065891747</v>
      </c>
      <c r="AF82" s="74">
        <f t="shared" si="62"/>
        <v>5.9207220574488737</v>
      </c>
      <c r="AG82" s="75">
        <f t="shared" si="63"/>
        <v>7.0387070167878862</v>
      </c>
      <c r="AH82" s="76">
        <f t="shared" si="64"/>
        <v>4.3012267184041919</v>
      </c>
      <c r="AI82" s="77">
        <f t="shared" si="65"/>
        <v>5.9235730512281899</v>
      </c>
    </row>
    <row r="83" spans="1:35" ht="15.75" customHeight="1" x14ac:dyDescent="0.45">
      <c r="A83" s="59">
        <f t="shared" si="41"/>
        <v>45827</v>
      </c>
      <c r="B83" s="60">
        <v>2025</v>
      </c>
      <c r="C83" s="60">
        <v>6</v>
      </c>
      <c r="D83" s="60">
        <v>19</v>
      </c>
      <c r="E83" s="61">
        <v>170</v>
      </c>
      <c r="F83" s="62">
        <v>35</v>
      </c>
      <c r="G83" s="62">
        <v>15</v>
      </c>
      <c r="H83" s="70">
        <f t="shared" si="42"/>
        <v>25</v>
      </c>
      <c r="I83" s="62">
        <v>98</v>
      </c>
      <c r="J83" s="62">
        <v>75</v>
      </c>
      <c r="K83" s="62">
        <v>1</v>
      </c>
      <c r="L83" s="62">
        <v>30</v>
      </c>
      <c r="M83" s="71">
        <f t="shared" si="43"/>
        <v>23.436103482360515</v>
      </c>
      <c r="N83" s="72">
        <f t="shared" si="44"/>
        <v>0.40903812611213219</v>
      </c>
      <c r="O83" s="72">
        <f t="shared" si="45"/>
        <v>1.9276016484771308</v>
      </c>
      <c r="P83" s="72">
        <f t="shared" si="46"/>
        <v>0.96776098152039758</v>
      </c>
      <c r="Q83" s="71">
        <f t="shared" si="47"/>
        <v>41.640148912262113</v>
      </c>
      <c r="R83" s="72">
        <f t="shared" si="48"/>
        <v>0.94091703721864728</v>
      </c>
      <c r="S83" s="71">
        <f t="shared" si="49"/>
        <v>14.725757436800082</v>
      </c>
      <c r="T83" s="72">
        <f t="shared" si="50"/>
        <v>5.6226812384961216</v>
      </c>
      <c r="U83" s="72">
        <f t="shared" si="51"/>
        <v>1.7053462321157722</v>
      </c>
      <c r="V83" s="72">
        <f t="shared" si="52"/>
        <v>4.2170109288720914</v>
      </c>
      <c r="W83" s="72">
        <f t="shared" si="53"/>
        <v>1.6712393074734566</v>
      </c>
      <c r="X83" s="72">
        <f t="shared" si="54"/>
        <v>2.9441251181727739</v>
      </c>
      <c r="Y83" s="72">
        <f t="shared" si="55"/>
        <v>0.71988861713317309</v>
      </c>
      <c r="Z83" s="72">
        <f t="shared" si="56"/>
        <v>3.6507468359517872</v>
      </c>
      <c r="AA83" s="72">
        <f t="shared" si="57"/>
        <v>19.449253164048216</v>
      </c>
      <c r="AB83" s="72">
        <f t="shared" si="58"/>
        <v>3.1677777175068473</v>
      </c>
      <c r="AC83" s="72">
        <f t="shared" si="59"/>
        <v>0.18868182684282603</v>
      </c>
      <c r="AD83" s="73">
        <f t="shared" si="60"/>
        <v>1206.0988078320233</v>
      </c>
      <c r="AE83" s="71">
        <f t="shared" si="61"/>
        <v>193.25470065891747</v>
      </c>
      <c r="AF83" s="74">
        <f t="shared" si="62"/>
        <v>5.9208408436501374</v>
      </c>
      <c r="AG83" s="75">
        <f t="shared" si="63"/>
        <v>7.0393101608048561</v>
      </c>
      <c r="AH83" s="76">
        <f t="shared" si="64"/>
        <v>4.3012267184041919</v>
      </c>
      <c r="AI83" s="77">
        <f t="shared" si="65"/>
        <v>5.9236910677089059</v>
      </c>
    </row>
    <row r="84" spans="1:35" ht="15.75" customHeight="1" x14ac:dyDescent="0.45">
      <c r="A84" s="59">
        <f t="shared" si="41"/>
        <v>45828</v>
      </c>
      <c r="B84" s="60">
        <v>2025</v>
      </c>
      <c r="C84" s="60">
        <v>6</v>
      </c>
      <c r="D84" s="60">
        <v>20</v>
      </c>
      <c r="E84" s="61">
        <v>171</v>
      </c>
      <c r="F84" s="62">
        <v>35</v>
      </c>
      <c r="G84" s="62">
        <v>15</v>
      </c>
      <c r="H84" s="70">
        <f t="shared" si="42"/>
        <v>25</v>
      </c>
      <c r="I84" s="62">
        <v>98</v>
      </c>
      <c r="J84" s="62">
        <v>75</v>
      </c>
      <c r="K84" s="62">
        <v>1</v>
      </c>
      <c r="L84" s="62">
        <v>30</v>
      </c>
      <c r="M84" s="71">
        <f t="shared" si="43"/>
        <v>23.446525613204976</v>
      </c>
      <c r="N84" s="72">
        <f t="shared" si="44"/>
        <v>0.40922002703580418</v>
      </c>
      <c r="O84" s="72">
        <f t="shared" si="45"/>
        <v>1.9277874804654238</v>
      </c>
      <c r="P84" s="72">
        <f t="shared" si="46"/>
        <v>0.96764447303359669</v>
      </c>
      <c r="Q84" s="71">
        <f t="shared" si="47"/>
        <v>41.640530007218253</v>
      </c>
      <c r="R84" s="72">
        <f t="shared" si="48"/>
        <v>0.94090384991735676</v>
      </c>
      <c r="S84" s="71">
        <f t="shared" si="49"/>
        <v>14.727177085297354</v>
      </c>
      <c r="T84" s="72">
        <f t="shared" si="50"/>
        <v>5.6226812384961216</v>
      </c>
      <c r="U84" s="72">
        <f t="shared" si="51"/>
        <v>1.7053462321157722</v>
      </c>
      <c r="V84" s="72">
        <f t="shared" si="52"/>
        <v>4.2170109288720914</v>
      </c>
      <c r="W84" s="72">
        <f t="shared" si="53"/>
        <v>1.6712393074734566</v>
      </c>
      <c r="X84" s="72">
        <f t="shared" si="54"/>
        <v>2.9441251181727739</v>
      </c>
      <c r="Y84" s="72">
        <f t="shared" si="55"/>
        <v>0.71988861713317309</v>
      </c>
      <c r="Z84" s="72">
        <f t="shared" si="56"/>
        <v>3.6507010733944472</v>
      </c>
      <c r="AA84" s="72">
        <f t="shared" si="57"/>
        <v>19.449298926605554</v>
      </c>
      <c r="AB84" s="72">
        <f t="shared" si="58"/>
        <v>3.1677777175068473</v>
      </c>
      <c r="AC84" s="72">
        <f t="shared" si="59"/>
        <v>0.18868182684282603</v>
      </c>
      <c r="AD84" s="73">
        <f t="shared" si="60"/>
        <v>1206.0988078320233</v>
      </c>
      <c r="AE84" s="71">
        <f t="shared" si="61"/>
        <v>193.25470065891747</v>
      </c>
      <c r="AF84" s="74">
        <f t="shared" si="62"/>
        <v>5.9208535305295005</v>
      </c>
      <c r="AG84" s="75">
        <f t="shared" si="63"/>
        <v>7.0393745853006147</v>
      </c>
      <c r="AH84" s="76">
        <f t="shared" si="64"/>
        <v>4.3012267184041919</v>
      </c>
      <c r="AI84" s="77">
        <f t="shared" si="65"/>
        <v>5.9237036723787897</v>
      </c>
    </row>
    <row r="85" spans="1:35" ht="15.75" customHeight="1" x14ac:dyDescent="0.45">
      <c r="A85" s="59">
        <f t="shared" si="41"/>
        <v>45829</v>
      </c>
      <c r="B85" s="60">
        <v>2025</v>
      </c>
      <c r="C85" s="60">
        <v>6</v>
      </c>
      <c r="D85" s="60">
        <v>21</v>
      </c>
      <c r="E85" s="61">
        <v>172</v>
      </c>
      <c r="F85" s="62">
        <v>35</v>
      </c>
      <c r="G85" s="62">
        <v>15</v>
      </c>
      <c r="H85" s="70">
        <f t="shared" si="42"/>
        <v>25</v>
      </c>
      <c r="I85" s="62">
        <v>98</v>
      </c>
      <c r="J85" s="62">
        <v>75</v>
      </c>
      <c r="K85" s="62">
        <v>1</v>
      </c>
      <c r="L85" s="62">
        <v>30</v>
      </c>
      <c r="M85" s="71">
        <f t="shared" si="43"/>
        <v>23.45</v>
      </c>
      <c r="N85" s="72">
        <f t="shared" si="44"/>
        <v>0.40928066666666663</v>
      </c>
      <c r="O85" s="72">
        <f t="shared" si="45"/>
        <v>1.9278494399594586</v>
      </c>
      <c r="P85" s="72">
        <f t="shared" si="46"/>
        <v>0.96753755223256444</v>
      </c>
      <c r="Q85" s="71">
        <f t="shared" si="47"/>
        <v>41.63772680285669</v>
      </c>
      <c r="R85" s="72">
        <f t="shared" si="48"/>
        <v>0.94100085684513179</v>
      </c>
      <c r="S85" s="71">
        <f t="shared" si="49"/>
        <v>14.727650419858355</v>
      </c>
      <c r="T85" s="72">
        <f t="shared" si="50"/>
        <v>5.6226812384961216</v>
      </c>
      <c r="U85" s="72">
        <f t="shared" si="51"/>
        <v>1.7053462321157722</v>
      </c>
      <c r="V85" s="72">
        <f t="shared" si="52"/>
        <v>4.2170109288720914</v>
      </c>
      <c r="W85" s="72">
        <f t="shared" si="53"/>
        <v>1.6712393074734566</v>
      </c>
      <c r="X85" s="72">
        <f t="shared" si="54"/>
        <v>2.9441251181727739</v>
      </c>
      <c r="Y85" s="72">
        <f t="shared" si="55"/>
        <v>0.71988861713317309</v>
      </c>
      <c r="Z85" s="72">
        <f t="shared" si="56"/>
        <v>3.6510377067204685</v>
      </c>
      <c r="AA85" s="72">
        <f t="shared" si="57"/>
        <v>19.448962293279532</v>
      </c>
      <c r="AB85" s="72">
        <f t="shared" si="58"/>
        <v>3.1677777175068473</v>
      </c>
      <c r="AC85" s="72">
        <f t="shared" si="59"/>
        <v>0.18868182684282603</v>
      </c>
      <c r="AD85" s="73">
        <f t="shared" si="60"/>
        <v>1206.0988078320233</v>
      </c>
      <c r="AE85" s="71">
        <f t="shared" si="61"/>
        <v>193.25470065891747</v>
      </c>
      <c r="AF85" s="74">
        <f t="shared" si="62"/>
        <v>5.9207602047486487</v>
      </c>
      <c r="AG85" s="75">
        <f t="shared" si="63"/>
        <v>7.038900700709406</v>
      </c>
      <c r="AH85" s="76">
        <f t="shared" si="64"/>
        <v>4.3012267184041919</v>
      </c>
      <c r="AI85" s="77">
        <f t="shared" si="65"/>
        <v>5.9236109513379693</v>
      </c>
    </row>
    <row r="86" spans="1:35" ht="15.75" customHeight="1" x14ac:dyDescent="0.45">
      <c r="A86" s="59">
        <f t="shared" si="41"/>
        <v>45830</v>
      </c>
      <c r="B86" s="60">
        <v>2025</v>
      </c>
      <c r="C86" s="60">
        <v>6</v>
      </c>
      <c r="D86" s="60">
        <v>22</v>
      </c>
      <c r="E86" s="61">
        <v>173</v>
      </c>
      <c r="F86" s="62">
        <v>35</v>
      </c>
      <c r="G86" s="62">
        <v>15</v>
      </c>
      <c r="H86" s="70">
        <f t="shared" si="42"/>
        <v>25</v>
      </c>
      <c r="I86" s="62">
        <v>98</v>
      </c>
      <c r="J86" s="62">
        <v>75</v>
      </c>
      <c r="K86" s="62">
        <v>1</v>
      </c>
      <c r="L86" s="62">
        <v>30</v>
      </c>
      <c r="M86" s="71">
        <f t="shared" si="43"/>
        <v>23.446525613204976</v>
      </c>
      <c r="N86" s="72">
        <f t="shared" si="44"/>
        <v>0.40922002703580418</v>
      </c>
      <c r="O86" s="72">
        <f t="shared" si="45"/>
        <v>1.9277874804654238</v>
      </c>
      <c r="P86" s="72">
        <f t="shared" si="46"/>
        <v>0.96744025080039009</v>
      </c>
      <c r="Q86" s="71">
        <f t="shared" si="47"/>
        <v>41.631741736043281</v>
      </c>
      <c r="R86" s="72">
        <f t="shared" si="48"/>
        <v>0.94120801816115551</v>
      </c>
      <c r="S86" s="71">
        <f t="shared" si="49"/>
        <v>14.727177085297354</v>
      </c>
      <c r="T86" s="72">
        <f t="shared" si="50"/>
        <v>5.6226812384961216</v>
      </c>
      <c r="U86" s="72">
        <f t="shared" si="51"/>
        <v>1.7053462321157722</v>
      </c>
      <c r="V86" s="72">
        <f t="shared" si="52"/>
        <v>4.2170109288720914</v>
      </c>
      <c r="W86" s="72">
        <f t="shared" si="53"/>
        <v>1.6712393074734566</v>
      </c>
      <c r="X86" s="72">
        <f t="shared" si="54"/>
        <v>2.9441251181727739</v>
      </c>
      <c r="Y86" s="72">
        <f t="shared" si="55"/>
        <v>0.71988861713317309</v>
      </c>
      <c r="Z86" s="72">
        <f t="shared" si="56"/>
        <v>3.6517565976742952</v>
      </c>
      <c r="AA86" s="72">
        <f t="shared" si="57"/>
        <v>19.448243402325705</v>
      </c>
      <c r="AB86" s="72">
        <f t="shared" si="58"/>
        <v>3.1677777175068473</v>
      </c>
      <c r="AC86" s="72">
        <f t="shared" si="59"/>
        <v>0.18868182684282603</v>
      </c>
      <c r="AD86" s="73">
        <f t="shared" si="60"/>
        <v>1206.0988078320233</v>
      </c>
      <c r="AE86" s="71">
        <f t="shared" si="61"/>
        <v>193.25470065891747</v>
      </c>
      <c r="AF86" s="74">
        <f t="shared" si="62"/>
        <v>5.9205609046365408</v>
      </c>
      <c r="AG86" s="75">
        <f t="shared" si="63"/>
        <v>7.0378889189859182</v>
      </c>
      <c r="AH86" s="76">
        <f t="shared" si="64"/>
        <v>4.3012267184041919</v>
      </c>
      <c r="AI86" s="77">
        <f t="shared" si="65"/>
        <v>5.9234129426670412</v>
      </c>
    </row>
    <row r="87" spans="1:35" ht="15.75" customHeight="1" x14ac:dyDescent="0.45">
      <c r="A87" s="59">
        <f t="shared" si="41"/>
        <v>45831</v>
      </c>
      <c r="B87" s="60">
        <v>2025</v>
      </c>
      <c r="C87" s="60">
        <v>6</v>
      </c>
      <c r="D87" s="60">
        <v>23</v>
      </c>
      <c r="E87" s="61">
        <v>174</v>
      </c>
      <c r="F87" s="62">
        <v>35</v>
      </c>
      <c r="G87" s="62">
        <v>15</v>
      </c>
      <c r="H87" s="70">
        <f t="shared" si="42"/>
        <v>25</v>
      </c>
      <c r="I87" s="62">
        <v>98</v>
      </c>
      <c r="J87" s="62">
        <v>75</v>
      </c>
      <c r="K87" s="62">
        <v>1</v>
      </c>
      <c r="L87" s="62">
        <v>30</v>
      </c>
      <c r="M87" s="71">
        <f t="shared" si="43"/>
        <v>23.436103482360515</v>
      </c>
      <c r="N87" s="72">
        <f t="shared" si="44"/>
        <v>0.40903812611213219</v>
      </c>
      <c r="O87" s="72">
        <f t="shared" si="45"/>
        <v>1.9276016484771308</v>
      </c>
      <c r="P87" s="72">
        <f t="shared" si="46"/>
        <v>0.96735259756972247</v>
      </c>
      <c r="Q87" s="71">
        <f t="shared" si="47"/>
        <v>41.622577250618164</v>
      </c>
      <c r="R87" s="72">
        <f t="shared" si="48"/>
        <v>0.94152534425553625</v>
      </c>
      <c r="S87" s="71">
        <f t="shared" si="49"/>
        <v>14.725757436800082</v>
      </c>
      <c r="T87" s="72">
        <f t="shared" si="50"/>
        <v>5.6226812384961216</v>
      </c>
      <c r="U87" s="72">
        <f t="shared" si="51"/>
        <v>1.7053462321157722</v>
      </c>
      <c r="V87" s="72">
        <f t="shared" si="52"/>
        <v>4.2170109288720914</v>
      </c>
      <c r="W87" s="72">
        <f t="shared" si="53"/>
        <v>1.6712393074734566</v>
      </c>
      <c r="X87" s="72">
        <f t="shared" si="54"/>
        <v>2.9441251181727739</v>
      </c>
      <c r="Y87" s="72">
        <f t="shared" si="55"/>
        <v>0.71988861713317309</v>
      </c>
      <c r="Z87" s="72">
        <f t="shared" si="56"/>
        <v>3.6528577823116688</v>
      </c>
      <c r="AA87" s="72">
        <f t="shared" si="57"/>
        <v>19.447142217688331</v>
      </c>
      <c r="AB87" s="72">
        <f t="shared" si="58"/>
        <v>3.1677777175068473</v>
      </c>
      <c r="AC87" s="72">
        <f t="shared" si="59"/>
        <v>0.18868182684282603</v>
      </c>
      <c r="AD87" s="73">
        <f t="shared" si="60"/>
        <v>1206.0988078320233</v>
      </c>
      <c r="AE87" s="71">
        <f t="shared" si="61"/>
        <v>193.25470065891747</v>
      </c>
      <c r="AF87" s="74">
        <f t="shared" si="62"/>
        <v>5.9202556201973486</v>
      </c>
      <c r="AG87" s="75">
        <f t="shared" si="63"/>
        <v>7.03633965326385</v>
      </c>
      <c r="AH87" s="76">
        <f t="shared" si="64"/>
        <v>4.3012267184041919</v>
      </c>
      <c r="AI87" s="77">
        <f t="shared" si="65"/>
        <v>5.9231096364349467</v>
      </c>
    </row>
    <row r="88" spans="1:35" ht="15.75" customHeight="1" x14ac:dyDescent="0.45">
      <c r="A88" s="59">
        <f t="shared" si="41"/>
        <v>45832</v>
      </c>
      <c r="B88" s="60">
        <v>2025</v>
      </c>
      <c r="C88" s="60">
        <v>6</v>
      </c>
      <c r="D88" s="60">
        <v>24</v>
      </c>
      <c r="E88" s="61">
        <v>175</v>
      </c>
      <c r="F88" s="62">
        <v>35</v>
      </c>
      <c r="G88" s="62">
        <v>15</v>
      </c>
      <c r="H88" s="70">
        <f t="shared" si="42"/>
        <v>25</v>
      </c>
      <c r="I88" s="62">
        <v>98</v>
      </c>
      <c r="J88" s="62">
        <v>75</v>
      </c>
      <c r="K88" s="62">
        <v>1</v>
      </c>
      <c r="L88" s="62">
        <v>30</v>
      </c>
      <c r="M88" s="71">
        <f t="shared" si="43"/>
        <v>23.418736695783362</v>
      </c>
      <c r="N88" s="72">
        <f t="shared" si="44"/>
        <v>0.40873501779707228</v>
      </c>
      <c r="O88" s="72">
        <f t="shared" si="45"/>
        <v>1.9272920833524565</v>
      </c>
      <c r="P88" s="72">
        <f t="shared" si="46"/>
        <v>0.96727461851422725</v>
      </c>
      <c r="Q88" s="71">
        <f t="shared" si="47"/>
        <v>41.610235796031951</v>
      </c>
      <c r="R88" s="72">
        <f t="shared" si="48"/>
        <v>0.94195289577574903</v>
      </c>
      <c r="S88" s="71">
        <f t="shared" si="49"/>
        <v>14.723392538979803</v>
      </c>
      <c r="T88" s="72">
        <f t="shared" si="50"/>
        <v>5.6226812384961216</v>
      </c>
      <c r="U88" s="72">
        <f t="shared" si="51"/>
        <v>1.7053462321157722</v>
      </c>
      <c r="V88" s="72">
        <f t="shared" si="52"/>
        <v>4.2170109288720914</v>
      </c>
      <c r="W88" s="72">
        <f t="shared" si="53"/>
        <v>1.6712393074734566</v>
      </c>
      <c r="X88" s="72">
        <f t="shared" si="54"/>
        <v>2.9441251181727739</v>
      </c>
      <c r="Y88" s="72">
        <f t="shared" si="55"/>
        <v>0.71988861713317309</v>
      </c>
      <c r="Z88" s="72">
        <f t="shared" si="56"/>
        <v>3.6543414710913855</v>
      </c>
      <c r="AA88" s="72">
        <f t="shared" si="57"/>
        <v>19.445658528908616</v>
      </c>
      <c r="AB88" s="72">
        <f t="shared" si="58"/>
        <v>3.1677777175068473</v>
      </c>
      <c r="AC88" s="72">
        <f t="shared" si="59"/>
        <v>0.18868182684282603</v>
      </c>
      <c r="AD88" s="73">
        <f t="shared" si="60"/>
        <v>1206.0988078320233</v>
      </c>
      <c r="AE88" s="71">
        <f t="shared" si="61"/>
        <v>193.25470065891747</v>
      </c>
      <c r="AF88" s="74">
        <f t="shared" si="62"/>
        <v>5.9198442930850037</v>
      </c>
      <c r="AG88" s="75">
        <f t="shared" si="63"/>
        <v>7.0342533176253577</v>
      </c>
      <c r="AH88" s="76">
        <f t="shared" si="64"/>
        <v>4.3012267184041919</v>
      </c>
      <c r="AI88" s="77">
        <f t="shared" si="65"/>
        <v>5.9227009746736909</v>
      </c>
    </row>
    <row r="89" spans="1:35" ht="15.75" customHeight="1" x14ac:dyDescent="0.45">
      <c r="A89" s="59">
        <f t="shared" si="41"/>
        <v>45833</v>
      </c>
      <c r="B89" s="60">
        <v>2025</v>
      </c>
      <c r="C89" s="60">
        <v>6</v>
      </c>
      <c r="D89" s="60">
        <v>25</v>
      </c>
      <c r="E89" s="61">
        <v>176</v>
      </c>
      <c r="F89" s="62">
        <v>35</v>
      </c>
      <c r="G89" s="62">
        <v>15</v>
      </c>
      <c r="H89" s="70">
        <f t="shared" si="42"/>
        <v>25</v>
      </c>
      <c r="I89" s="62">
        <v>98</v>
      </c>
      <c r="J89" s="62">
        <v>75</v>
      </c>
      <c r="K89" s="62">
        <v>1</v>
      </c>
      <c r="L89" s="62">
        <v>30</v>
      </c>
      <c r="M89" s="71">
        <f t="shared" si="43"/>
        <v>23.394430399651242</v>
      </c>
      <c r="N89" s="72">
        <f t="shared" si="44"/>
        <v>0.40831079190857972</v>
      </c>
      <c r="O89" s="72">
        <f t="shared" si="45"/>
        <v>1.9268590169433435</v>
      </c>
      <c r="P89" s="72">
        <f t="shared" si="46"/>
        <v>0.96720633674088952</v>
      </c>
      <c r="Q89" s="71">
        <f t="shared" si="47"/>
        <v>41.594719826641445</v>
      </c>
      <c r="R89" s="72">
        <f t="shared" si="48"/>
        <v>0.94249078368764394</v>
      </c>
      <c r="S89" s="71">
        <f t="shared" si="49"/>
        <v>14.720084163050753</v>
      </c>
      <c r="T89" s="72">
        <f t="shared" si="50"/>
        <v>5.6226812384961216</v>
      </c>
      <c r="U89" s="72">
        <f t="shared" si="51"/>
        <v>1.7053462321157722</v>
      </c>
      <c r="V89" s="72">
        <f t="shared" si="52"/>
        <v>4.2170109288720914</v>
      </c>
      <c r="W89" s="72">
        <f t="shared" si="53"/>
        <v>1.6712393074734566</v>
      </c>
      <c r="X89" s="72">
        <f t="shared" si="54"/>
        <v>2.9441251181727739</v>
      </c>
      <c r="Y89" s="72">
        <f t="shared" si="55"/>
        <v>0.71988861713317309</v>
      </c>
      <c r="Z89" s="72">
        <f t="shared" si="56"/>
        <v>3.6562080490870068</v>
      </c>
      <c r="AA89" s="72">
        <f t="shared" si="57"/>
        <v>19.443791950912996</v>
      </c>
      <c r="AB89" s="72">
        <f t="shared" si="58"/>
        <v>3.1677777175068473</v>
      </c>
      <c r="AC89" s="72">
        <f t="shared" si="59"/>
        <v>0.18868182684282603</v>
      </c>
      <c r="AD89" s="73">
        <f t="shared" si="60"/>
        <v>1206.0988078320233</v>
      </c>
      <c r="AE89" s="71">
        <f t="shared" si="61"/>
        <v>193.25470065891747</v>
      </c>
      <c r="AF89" s="74">
        <f t="shared" si="62"/>
        <v>5.919326816544503</v>
      </c>
      <c r="AG89" s="75">
        <f t="shared" si="63"/>
        <v>7.031630326981988</v>
      </c>
      <c r="AH89" s="76">
        <f t="shared" si="64"/>
        <v>4.3012267184041919</v>
      </c>
      <c r="AI89" s="77">
        <f t="shared" si="65"/>
        <v>5.9221868513200322</v>
      </c>
    </row>
    <row r="90" spans="1:35" ht="15.75" customHeight="1" x14ac:dyDescent="0.45">
      <c r="A90" s="59">
        <f t="shared" si="41"/>
        <v>45834</v>
      </c>
      <c r="B90" s="60">
        <v>2025</v>
      </c>
      <c r="C90" s="60">
        <v>6</v>
      </c>
      <c r="D90" s="60">
        <v>26</v>
      </c>
      <c r="E90" s="61">
        <v>177</v>
      </c>
      <c r="F90" s="62">
        <v>35</v>
      </c>
      <c r="G90" s="62">
        <v>15</v>
      </c>
      <c r="H90" s="70">
        <f t="shared" si="42"/>
        <v>25</v>
      </c>
      <c r="I90" s="62">
        <v>98</v>
      </c>
      <c r="J90" s="62">
        <v>75</v>
      </c>
      <c r="K90" s="62">
        <v>1</v>
      </c>
      <c r="L90" s="62">
        <v>30</v>
      </c>
      <c r="M90" s="71">
        <f t="shared" si="43"/>
        <v>23.363191796477963</v>
      </c>
      <c r="N90" s="72">
        <f t="shared" si="44"/>
        <v>0.40776557415452874</v>
      </c>
      <c r="O90" s="72">
        <f t="shared" si="45"/>
        <v>1.9263027729813924</v>
      </c>
      <c r="P90" s="72">
        <f t="shared" si="46"/>
        <v>0.96714777248316686</v>
      </c>
      <c r="Q90" s="71">
        <f t="shared" si="47"/>
        <v>41.576031801673203</v>
      </c>
      <c r="R90" s="72">
        <f t="shared" si="48"/>
        <v>0.9431391693707849</v>
      </c>
      <c r="S90" s="71">
        <f t="shared" si="49"/>
        <v>14.715834782134396</v>
      </c>
      <c r="T90" s="72">
        <f t="shared" si="50"/>
        <v>5.6226812384961216</v>
      </c>
      <c r="U90" s="72">
        <f t="shared" si="51"/>
        <v>1.7053462321157722</v>
      </c>
      <c r="V90" s="72">
        <f t="shared" si="52"/>
        <v>4.2170109288720914</v>
      </c>
      <c r="W90" s="72">
        <f t="shared" si="53"/>
        <v>1.6712393074734566</v>
      </c>
      <c r="X90" s="72">
        <f t="shared" si="54"/>
        <v>2.9441251181727739</v>
      </c>
      <c r="Y90" s="72">
        <f t="shared" si="55"/>
        <v>0.71988861713317309</v>
      </c>
      <c r="Z90" s="72">
        <f t="shared" si="56"/>
        <v>3.6584580763177059</v>
      </c>
      <c r="AA90" s="72">
        <f t="shared" si="57"/>
        <v>19.441541923682294</v>
      </c>
      <c r="AB90" s="72">
        <f t="shared" si="58"/>
        <v>3.1677777175068473</v>
      </c>
      <c r="AC90" s="72">
        <f t="shared" si="59"/>
        <v>0.18868182684282603</v>
      </c>
      <c r="AD90" s="73">
        <f t="shared" si="60"/>
        <v>1206.0988078320233</v>
      </c>
      <c r="AE90" s="71">
        <f t="shared" si="61"/>
        <v>193.25470065891747</v>
      </c>
      <c r="AF90" s="74">
        <f t="shared" si="62"/>
        <v>5.9187030353201937</v>
      </c>
      <c r="AG90" s="75">
        <f t="shared" si="63"/>
        <v>7.0284710970685351</v>
      </c>
      <c r="AH90" s="76">
        <f t="shared" si="64"/>
        <v>4.3012267184041919</v>
      </c>
      <c r="AI90" s="77">
        <f t="shared" si="65"/>
        <v>5.9215671121243583</v>
      </c>
    </row>
    <row r="91" spans="1:35" ht="15.75" customHeight="1" x14ac:dyDescent="0.45">
      <c r="A91" s="59">
        <f t="shared" si="41"/>
        <v>45835</v>
      </c>
      <c r="B91" s="60">
        <v>2025</v>
      </c>
      <c r="C91" s="60">
        <v>6</v>
      </c>
      <c r="D91" s="60">
        <v>27</v>
      </c>
      <c r="E91" s="61">
        <v>178</v>
      </c>
      <c r="F91" s="62">
        <v>35</v>
      </c>
      <c r="G91" s="62">
        <v>15</v>
      </c>
      <c r="H91" s="70">
        <f t="shared" si="42"/>
        <v>25</v>
      </c>
      <c r="I91" s="62">
        <v>98</v>
      </c>
      <c r="J91" s="62">
        <v>75</v>
      </c>
      <c r="K91" s="62">
        <v>1</v>
      </c>
      <c r="L91" s="62">
        <v>30</v>
      </c>
      <c r="M91" s="71">
        <f t="shared" si="43"/>
        <v>23.325030142979116</v>
      </c>
      <c r="N91" s="72">
        <f t="shared" si="44"/>
        <v>0.40709952609546218</v>
      </c>
      <c r="O91" s="72">
        <f t="shared" si="45"/>
        <v>1.9256237662224045</v>
      </c>
      <c r="P91" s="72">
        <f t="shared" si="46"/>
        <v>0.96709894309499411</v>
      </c>
      <c r="Q91" s="71">
        <f t="shared" si="47"/>
        <v>41.554174185868654</v>
      </c>
      <c r="R91" s="72">
        <f t="shared" si="48"/>
        <v>0.9438982647477141</v>
      </c>
      <c r="S91" s="71">
        <f t="shared" si="49"/>
        <v>14.710647564724251</v>
      </c>
      <c r="T91" s="72">
        <f t="shared" si="50"/>
        <v>5.6226812384961216</v>
      </c>
      <c r="U91" s="72">
        <f t="shared" si="51"/>
        <v>1.7053462321157722</v>
      </c>
      <c r="V91" s="72">
        <f t="shared" si="52"/>
        <v>4.2170109288720914</v>
      </c>
      <c r="W91" s="72">
        <f t="shared" si="53"/>
        <v>1.6712393074734566</v>
      </c>
      <c r="X91" s="72">
        <f t="shared" si="54"/>
        <v>2.9441251181727739</v>
      </c>
      <c r="Y91" s="72">
        <f t="shared" si="55"/>
        <v>0.71988861713317309</v>
      </c>
      <c r="Z91" s="72">
        <f t="shared" si="56"/>
        <v>3.6610922881968366</v>
      </c>
      <c r="AA91" s="72">
        <f t="shared" si="57"/>
        <v>19.438907711803164</v>
      </c>
      <c r="AB91" s="72">
        <f t="shared" si="58"/>
        <v>3.1677777175068473</v>
      </c>
      <c r="AC91" s="72">
        <f t="shared" si="59"/>
        <v>0.18868182684282603</v>
      </c>
      <c r="AD91" s="73">
        <f t="shared" si="60"/>
        <v>1206.0988078320233</v>
      </c>
      <c r="AE91" s="71">
        <f t="shared" si="61"/>
        <v>193.25470065891747</v>
      </c>
      <c r="AF91" s="74">
        <f t="shared" si="62"/>
        <v>5.9179727455314159</v>
      </c>
      <c r="AG91" s="75">
        <f t="shared" si="63"/>
        <v>7.0247760445520768</v>
      </c>
      <c r="AH91" s="76">
        <f t="shared" si="64"/>
        <v>4.3012267184041919</v>
      </c>
      <c r="AI91" s="77">
        <f t="shared" si="65"/>
        <v>5.9208415545271285</v>
      </c>
    </row>
    <row r="92" spans="1:35" ht="15.75" customHeight="1" x14ac:dyDescent="0.45">
      <c r="A92" s="59">
        <f t="shared" si="41"/>
        <v>45836</v>
      </c>
      <c r="B92" s="60">
        <v>2025</v>
      </c>
      <c r="C92" s="60">
        <v>6</v>
      </c>
      <c r="D92" s="60">
        <v>28</v>
      </c>
      <c r="E92" s="61">
        <v>179</v>
      </c>
      <c r="F92" s="62">
        <v>35</v>
      </c>
      <c r="G92" s="62">
        <v>15</v>
      </c>
      <c r="H92" s="70">
        <f t="shared" si="42"/>
        <v>25</v>
      </c>
      <c r="I92" s="62">
        <v>98</v>
      </c>
      <c r="J92" s="62">
        <v>75</v>
      </c>
      <c r="K92" s="62">
        <v>1</v>
      </c>
      <c r="L92" s="62">
        <v>30</v>
      </c>
      <c r="M92" s="71">
        <f t="shared" si="43"/>
        <v>23.279956747329123</v>
      </c>
      <c r="N92" s="72">
        <f t="shared" si="44"/>
        <v>0.40631284509671767</v>
      </c>
      <c r="O92" s="72">
        <f t="shared" si="45"/>
        <v>1.9248225013545346</v>
      </c>
      <c r="P92" s="72">
        <f t="shared" si="46"/>
        <v>0.96705986304564029</v>
      </c>
      <c r="Q92" s="71">
        <f t="shared" si="47"/>
        <v>41.529149450828861</v>
      </c>
      <c r="R92" s="72">
        <f t="shared" si="48"/>
        <v>0.94476833244660852</v>
      </c>
      <c r="S92" s="71">
        <f t="shared" si="49"/>
        <v>14.704526366344803</v>
      </c>
      <c r="T92" s="72">
        <f t="shared" si="50"/>
        <v>5.6226812384961216</v>
      </c>
      <c r="U92" s="72">
        <f t="shared" si="51"/>
        <v>1.7053462321157722</v>
      </c>
      <c r="V92" s="72">
        <f t="shared" si="52"/>
        <v>4.2170109288720914</v>
      </c>
      <c r="W92" s="72">
        <f t="shared" si="53"/>
        <v>1.6712393074734566</v>
      </c>
      <c r="X92" s="72">
        <f t="shared" si="54"/>
        <v>2.9441251181727739</v>
      </c>
      <c r="Y92" s="72">
        <f t="shared" si="55"/>
        <v>0.71988861713317309</v>
      </c>
      <c r="Z92" s="72">
        <f t="shared" si="56"/>
        <v>3.6641115960963875</v>
      </c>
      <c r="AA92" s="72">
        <f t="shared" si="57"/>
        <v>19.435888403903615</v>
      </c>
      <c r="AB92" s="72">
        <f t="shared" si="58"/>
        <v>3.1677777175068473</v>
      </c>
      <c r="AC92" s="72">
        <f t="shared" si="59"/>
        <v>0.18868182684282603</v>
      </c>
      <c r="AD92" s="73">
        <f t="shared" si="60"/>
        <v>1206.0988078320233</v>
      </c>
      <c r="AE92" s="71">
        <f t="shared" si="61"/>
        <v>193.25470065891747</v>
      </c>
      <c r="AF92" s="74">
        <f t="shared" si="62"/>
        <v>5.9171356945160118</v>
      </c>
      <c r="AG92" s="75">
        <f t="shared" si="63"/>
        <v>7.0205455872593259</v>
      </c>
      <c r="AH92" s="76">
        <f t="shared" si="64"/>
        <v>4.3012267184041919</v>
      </c>
      <c r="AI92" s="77">
        <f t="shared" si="65"/>
        <v>5.9200099275034068</v>
      </c>
    </row>
    <row r="93" spans="1:35" ht="15.75" customHeight="1" x14ac:dyDescent="0.45">
      <c r="A93" s="59">
        <f t="shared" si="41"/>
        <v>45837</v>
      </c>
      <c r="B93" s="60">
        <v>2025</v>
      </c>
      <c r="C93" s="60">
        <v>6</v>
      </c>
      <c r="D93" s="60">
        <v>29</v>
      </c>
      <c r="E93" s="61">
        <v>180</v>
      </c>
      <c r="F93" s="62">
        <v>35</v>
      </c>
      <c r="G93" s="62">
        <v>15</v>
      </c>
      <c r="H93" s="70">
        <f t="shared" si="42"/>
        <v>25</v>
      </c>
      <c r="I93" s="62">
        <v>98</v>
      </c>
      <c r="J93" s="62">
        <v>75</v>
      </c>
      <c r="K93" s="62">
        <v>1</v>
      </c>
      <c r="L93" s="62">
        <v>30</v>
      </c>
      <c r="M93" s="71">
        <f t="shared" si="43"/>
        <v>23.227984965810336</v>
      </c>
      <c r="N93" s="72">
        <f t="shared" si="44"/>
        <v>0.40540576426994301</v>
      </c>
      <c r="O93" s="72">
        <f t="shared" si="45"/>
        <v>1.9238995716759775</v>
      </c>
      <c r="P93" s="72">
        <f t="shared" si="46"/>
        <v>0.96703054391542176</v>
      </c>
      <c r="Q93" s="71">
        <f t="shared" si="47"/>
        <v>41.50096007708192</v>
      </c>
      <c r="R93" s="72">
        <f t="shared" si="48"/>
        <v>0.94574968599663323</v>
      </c>
      <c r="S93" s="71">
        <f t="shared" si="49"/>
        <v>14.697475719449791</v>
      </c>
      <c r="T93" s="72">
        <f t="shared" si="50"/>
        <v>5.6226812384961216</v>
      </c>
      <c r="U93" s="72">
        <f t="shared" si="51"/>
        <v>1.7053462321157722</v>
      </c>
      <c r="V93" s="72">
        <f t="shared" si="52"/>
        <v>4.2170109288720914</v>
      </c>
      <c r="W93" s="72">
        <f t="shared" si="53"/>
        <v>1.6712393074734566</v>
      </c>
      <c r="X93" s="72">
        <f t="shared" si="54"/>
        <v>2.9441251181727739</v>
      </c>
      <c r="Y93" s="72">
        <f t="shared" si="55"/>
        <v>0.71988861713317309</v>
      </c>
      <c r="Z93" s="72">
        <f t="shared" si="56"/>
        <v>3.6675170880248982</v>
      </c>
      <c r="AA93" s="72">
        <f t="shared" si="57"/>
        <v>19.432482911975104</v>
      </c>
      <c r="AB93" s="72">
        <f t="shared" si="58"/>
        <v>3.1677777175068473</v>
      </c>
      <c r="AC93" s="72">
        <f t="shared" si="59"/>
        <v>0.18868182684282603</v>
      </c>
      <c r="AD93" s="73">
        <f t="shared" si="60"/>
        <v>1206.0988078320233</v>
      </c>
      <c r="AE93" s="71">
        <f t="shared" si="61"/>
        <v>193.25470065891747</v>
      </c>
      <c r="AF93" s="74">
        <f t="shared" si="62"/>
        <v>5.916191580642387</v>
      </c>
      <c r="AG93" s="75">
        <f t="shared" si="63"/>
        <v>7.0157801445261203</v>
      </c>
      <c r="AH93" s="76">
        <f t="shared" si="64"/>
        <v>4.3012267184041919</v>
      </c>
      <c r="AI93" s="77">
        <f t="shared" si="65"/>
        <v>5.9190719313761351</v>
      </c>
    </row>
    <row r="94" spans="1:35" ht="15.75" customHeight="1" x14ac:dyDescent="0.45">
      <c r="A94" s="59">
        <f t="shared" si="41"/>
        <v>45838</v>
      </c>
      <c r="B94" s="60">
        <v>2025</v>
      </c>
      <c r="C94" s="60">
        <v>6</v>
      </c>
      <c r="D94" s="60">
        <v>30</v>
      </c>
      <c r="E94" s="61">
        <v>181</v>
      </c>
      <c r="F94" s="62">
        <v>35</v>
      </c>
      <c r="G94" s="62">
        <v>15</v>
      </c>
      <c r="H94" s="70">
        <f t="shared" si="42"/>
        <v>25</v>
      </c>
      <c r="I94" s="62">
        <v>98</v>
      </c>
      <c r="J94" s="62">
        <v>75</v>
      </c>
      <c r="K94" s="62">
        <v>1</v>
      </c>
      <c r="L94" s="62">
        <v>30</v>
      </c>
      <c r="M94" s="71">
        <f t="shared" si="43"/>
        <v>23.169130198855285</v>
      </c>
      <c r="N94" s="72">
        <f t="shared" si="44"/>
        <v>0.40437855240402093</v>
      </c>
      <c r="O94" s="72">
        <f t="shared" si="45"/>
        <v>1.9228556575493134</v>
      </c>
      <c r="P94" s="72">
        <f t="shared" si="46"/>
        <v>0.96701099439227012</v>
      </c>
      <c r="Q94" s="71">
        <f t="shared" si="47"/>
        <v>41.469608556899949</v>
      </c>
      <c r="R94" s="72">
        <f t="shared" si="48"/>
        <v>0.94684269005516963</v>
      </c>
      <c r="S94" s="71">
        <f t="shared" si="49"/>
        <v>14.689500821614313</v>
      </c>
      <c r="T94" s="72">
        <f t="shared" si="50"/>
        <v>5.6226812384961216</v>
      </c>
      <c r="U94" s="72">
        <f t="shared" si="51"/>
        <v>1.7053462321157722</v>
      </c>
      <c r="V94" s="72">
        <f t="shared" si="52"/>
        <v>4.2170109288720914</v>
      </c>
      <c r="W94" s="72">
        <f t="shared" si="53"/>
        <v>1.6712393074734566</v>
      </c>
      <c r="X94" s="72">
        <f t="shared" si="54"/>
        <v>2.9441251181727739</v>
      </c>
      <c r="Y94" s="72">
        <f t="shared" si="55"/>
        <v>0.71988861713317309</v>
      </c>
      <c r="Z94" s="72">
        <f t="shared" si="56"/>
        <v>3.6713100294159808</v>
      </c>
      <c r="AA94" s="72">
        <f t="shared" si="57"/>
        <v>19.428689970584021</v>
      </c>
      <c r="AB94" s="72">
        <f t="shared" si="58"/>
        <v>3.1677777175068473</v>
      </c>
      <c r="AC94" s="72">
        <f t="shared" si="59"/>
        <v>0.18868182684282603</v>
      </c>
      <c r="AD94" s="73">
        <f t="shared" si="60"/>
        <v>1206.0988078320233</v>
      </c>
      <c r="AE94" s="71">
        <f t="shared" si="61"/>
        <v>193.25470065891747</v>
      </c>
      <c r="AF94" s="74">
        <f t="shared" si="62"/>
        <v>5.9151400530909077</v>
      </c>
      <c r="AG94" s="75">
        <f t="shared" si="63"/>
        <v>7.0104801376736328</v>
      </c>
      <c r="AH94" s="76">
        <f t="shared" si="64"/>
        <v>4.3012267184041919</v>
      </c>
      <c r="AI94" s="77">
        <f t="shared" si="65"/>
        <v>5.9180272175989517</v>
      </c>
    </row>
    <row r="95" spans="1:35" ht="15.75" customHeight="1" x14ac:dyDescent="0.45">
      <c r="A95" s="59">
        <f t="shared" si="41"/>
        <v>45839</v>
      </c>
      <c r="B95" s="60">
        <v>2025</v>
      </c>
      <c r="C95" s="60">
        <v>7</v>
      </c>
      <c r="D95" s="60">
        <v>1</v>
      </c>
      <c r="E95" s="61">
        <v>182</v>
      </c>
      <c r="F95" s="62">
        <v>35</v>
      </c>
      <c r="G95" s="62">
        <v>15</v>
      </c>
      <c r="H95" s="70">
        <f t="shared" si="42"/>
        <v>25</v>
      </c>
      <c r="I95" s="62">
        <v>98</v>
      </c>
      <c r="J95" s="62">
        <v>75</v>
      </c>
      <c r="K95" s="62">
        <v>1</v>
      </c>
      <c r="L95" s="62">
        <v>30</v>
      </c>
      <c r="M95" s="71">
        <f t="shared" si="43"/>
        <v>23.103409886483174</v>
      </c>
      <c r="N95" s="72">
        <f t="shared" si="44"/>
        <v>0.40323151388541967</v>
      </c>
      <c r="O95" s="72">
        <f t="shared" si="45"/>
        <v>1.9216915246407735</v>
      </c>
      <c r="P95" s="72">
        <f t="shared" si="46"/>
        <v>0.96700122026915802</v>
      </c>
      <c r="Q95" s="71">
        <f t="shared" si="47"/>
        <v>41.435097397896506</v>
      </c>
      <c r="R95" s="72">
        <f t="shared" si="48"/>
        <v>0.94804776066596053</v>
      </c>
      <c r="S95" s="71">
        <f t="shared" si="49"/>
        <v>14.680607522083832</v>
      </c>
      <c r="T95" s="72">
        <f t="shared" si="50"/>
        <v>5.6226812384961216</v>
      </c>
      <c r="U95" s="72">
        <f t="shared" si="51"/>
        <v>1.7053462321157722</v>
      </c>
      <c r="V95" s="72">
        <f t="shared" si="52"/>
        <v>4.2170109288720914</v>
      </c>
      <c r="W95" s="72">
        <f t="shared" si="53"/>
        <v>1.6712393074734566</v>
      </c>
      <c r="X95" s="72">
        <f t="shared" si="54"/>
        <v>2.9441251181727739</v>
      </c>
      <c r="Y95" s="72">
        <f t="shared" si="55"/>
        <v>0.71988861713317309</v>
      </c>
      <c r="Z95" s="72">
        <f t="shared" si="56"/>
        <v>3.6754918640241407</v>
      </c>
      <c r="AA95" s="72">
        <f t="shared" si="57"/>
        <v>19.424508135975859</v>
      </c>
      <c r="AB95" s="72">
        <f t="shared" si="58"/>
        <v>3.1677777175068473</v>
      </c>
      <c r="AC95" s="72">
        <f t="shared" si="59"/>
        <v>0.18868182684282603</v>
      </c>
      <c r="AD95" s="73">
        <f t="shared" si="60"/>
        <v>1206.0988078320233</v>
      </c>
      <c r="AE95" s="71">
        <f t="shared" si="61"/>
        <v>193.25470065891747</v>
      </c>
      <c r="AF95" s="74">
        <f t="shared" si="62"/>
        <v>5.9139807116055501</v>
      </c>
      <c r="AG95" s="75">
        <f t="shared" si="63"/>
        <v>7.004645990616523</v>
      </c>
      <c r="AH95" s="76">
        <f t="shared" si="64"/>
        <v>4.3012267184041919</v>
      </c>
      <c r="AI95" s="77">
        <f t="shared" si="65"/>
        <v>5.9168753885094443</v>
      </c>
    </row>
    <row r="96" spans="1:35" ht="15.75" customHeight="1" x14ac:dyDescent="0.45">
      <c r="A96" s="59">
        <f t="shared" si="41"/>
        <v>45840</v>
      </c>
      <c r="B96" s="60">
        <v>2025</v>
      </c>
      <c r="C96" s="60">
        <v>7</v>
      </c>
      <c r="D96" s="60">
        <v>2</v>
      </c>
      <c r="E96" s="61">
        <v>183</v>
      </c>
      <c r="F96" s="62">
        <v>35</v>
      </c>
      <c r="G96" s="62">
        <v>15</v>
      </c>
      <c r="H96" s="70">
        <f t="shared" si="42"/>
        <v>25</v>
      </c>
      <c r="I96" s="62">
        <v>98</v>
      </c>
      <c r="J96" s="62">
        <v>75</v>
      </c>
      <c r="K96" s="62">
        <v>1</v>
      </c>
      <c r="L96" s="62">
        <v>30</v>
      </c>
      <c r="M96" s="71">
        <f t="shared" si="43"/>
        <v>23.030843503131994</v>
      </c>
      <c r="N96" s="72">
        <f t="shared" si="44"/>
        <v>0.40196498860799701</v>
      </c>
      <c r="O96" s="72">
        <f t="shared" si="45"/>
        <v>1.9204080219537629</v>
      </c>
      <c r="P96" s="72">
        <f t="shared" si="46"/>
        <v>0.96700122444238279</v>
      </c>
      <c r="Q96" s="71">
        <f t="shared" si="47"/>
        <v>41.397429127439111</v>
      </c>
      <c r="R96" s="72">
        <f t="shared" si="48"/>
        <v>0.94936536554707707</v>
      </c>
      <c r="S96" s="71">
        <f t="shared" si="49"/>
        <v>14.670802306751435</v>
      </c>
      <c r="T96" s="72">
        <f t="shared" si="50"/>
        <v>5.6226812384961216</v>
      </c>
      <c r="U96" s="72">
        <f t="shared" si="51"/>
        <v>1.7053462321157722</v>
      </c>
      <c r="V96" s="72">
        <f t="shared" si="52"/>
        <v>4.2170109288720914</v>
      </c>
      <c r="W96" s="72">
        <f t="shared" si="53"/>
        <v>1.6712393074734566</v>
      </c>
      <c r="X96" s="72">
        <f t="shared" si="54"/>
        <v>2.9441251181727739</v>
      </c>
      <c r="Y96" s="72">
        <f t="shared" si="55"/>
        <v>0.71988861713317309</v>
      </c>
      <c r="Z96" s="72">
        <f t="shared" si="56"/>
        <v>3.6800642149240743</v>
      </c>
      <c r="AA96" s="72">
        <f t="shared" si="57"/>
        <v>19.419935785075928</v>
      </c>
      <c r="AB96" s="72">
        <f t="shared" si="58"/>
        <v>3.1677777175068473</v>
      </c>
      <c r="AC96" s="72">
        <f t="shared" si="59"/>
        <v>0.18868182684282603</v>
      </c>
      <c r="AD96" s="73">
        <f t="shared" si="60"/>
        <v>1206.0988078320233</v>
      </c>
      <c r="AE96" s="71">
        <f t="shared" si="61"/>
        <v>193.25470065891747</v>
      </c>
      <c r="AF96" s="74">
        <f t="shared" si="62"/>
        <v>5.9127131062168656</v>
      </c>
      <c r="AG96" s="75">
        <f t="shared" si="63"/>
        <v>6.998278130608881</v>
      </c>
      <c r="AH96" s="76">
        <f t="shared" si="64"/>
        <v>4.3012267184041919</v>
      </c>
      <c r="AI96" s="77">
        <f t="shared" si="65"/>
        <v>5.9156159970539095</v>
      </c>
    </row>
    <row r="97" spans="1:35" ht="15.75" customHeight="1" x14ac:dyDescent="0.45">
      <c r="A97" s="59">
        <f t="shared" si="41"/>
        <v>45841</v>
      </c>
      <c r="B97" s="60">
        <v>2025</v>
      </c>
      <c r="C97" s="60">
        <v>7</v>
      </c>
      <c r="D97" s="60">
        <v>3</v>
      </c>
      <c r="E97" s="61">
        <v>184</v>
      </c>
      <c r="F97" s="62">
        <v>35</v>
      </c>
      <c r="G97" s="62">
        <v>15</v>
      </c>
      <c r="H97" s="70">
        <f t="shared" si="42"/>
        <v>25</v>
      </c>
      <c r="I97" s="62">
        <v>98</v>
      </c>
      <c r="J97" s="62">
        <v>75</v>
      </c>
      <c r="K97" s="62">
        <v>1</v>
      </c>
      <c r="L97" s="62">
        <v>30</v>
      </c>
      <c r="M97" s="71">
        <f t="shared" si="43"/>
        <v>22.951452551887805</v>
      </c>
      <c r="N97" s="72">
        <f t="shared" si="44"/>
        <v>0.40057935187228183</v>
      </c>
      <c r="O97" s="72">
        <f t="shared" si="45"/>
        <v>1.919006079666955</v>
      </c>
      <c r="P97" s="72">
        <f t="shared" si="46"/>
        <v>0.96701100691070763</v>
      </c>
      <c r="Q97" s="71">
        <f t="shared" si="47"/>
        <v>41.356606297913942</v>
      </c>
      <c r="R97" s="72">
        <f t="shared" si="48"/>
        <v>0.95079602440750666</v>
      </c>
      <c r="S97" s="71">
        <f t="shared" si="49"/>
        <v>14.660092281642131</v>
      </c>
      <c r="T97" s="72">
        <f t="shared" si="50"/>
        <v>5.6226812384961216</v>
      </c>
      <c r="U97" s="72">
        <f t="shared" si="51"/>
        <v>1.7053462321157722</v>
      </c>
      <c r="V97" s="72">
        <f t="shared" si="52"/>
        <v>4.2170109288720914</v>
      </c>
      <c r="W97" s="72">
        <f t="shared" si="53"/>
        <v>1.6712393074734566</v>
      </c>
      <c r="X97" s="72">
        <f t="shared" si="54"/>
        <v>2.9441251181727739</v>
      </c>
      <c r="Y97" s="72">
        <f t="shared" si="55"/>
        <v>0.71988861713317309</v>
      </c>
      <c r="Z97" s="72">
        <f t="shared" si="56"/>
        <v>3.6850288856092943</v>
      </c>
      <c r="AA97" s="72">
        <f t="shared" si="57"/>
        <v>19.414971114390706</v>
      </c>
      <c r="AB97" s="72">
        <f t="shared" si="58"/>
        <v>3.1677777175068473</v>
      </c>
      <c r="AC97" s="72">
        <f t="shared" si="59"/>
        <v>0.18868182684282603</v>
      </c>
      <c r="AD97" s="73">
        <f t="shared" si="60"/>
        <v>1206.0988078320233</v>
      </c>
      <c r="AE97" s="71">
        <f t="shared" si="61"/>
        <v>193.25470065891747</v>
      </c>
      <c r="AF97" s="74">
        <f t="shared" si="62"/>
        <v>5.9113367369373906</v>
      </c>
      <c r="AG97" s="75">
        <f t="shared" si="63"/>
        <v>6.9913769891342223</v>
      </c>
      <c r="AH97" s="76">
        <f t="shared" si="64"/>
        <v>4.3012267184041919</v>
      </c>
      <c r="AI97" s="77">
        <f t="shared" si="65"/>
        <v>5.9142485464847487</v>
      </c>
    </row>
    <row r="98" spans="1:35" ht="15.75" customHeight="1" x14ac:dyDescent="0.45">
      <c r="A98" s="59">
        <f t="shared" si="41"/>
        <v>45842</v>
      </c>
      <c r="B98" s="60">
        <v>2025</v>
      </c>
      <c r="C98" s="60">
        <v>7</v>
      </c>
      <c r="D98" s="60">
        <v>4</v>
      </c>
      <c r="E98" s="61">
        <v>185</v>
      </c>
      <c r="F98" s="62">
        <v>35</v>
      </c>
      <c r="G98" s="62">
        <v>15</v>
      </c>
      <c r="H98" s="70">
        <f t="shared" si="42"/>
        <v>25</v>
      </c>
      <c r="I98" s="62">
        <v>98</v>
      </c>
      <c r="J98" s="62">
        <v>75</v>
      </c>
      <c r="K98" s="62">
        <v>1</v>
      </c>
      <c r="L98" s="62">
        <v>30</v>
      </c>
      <c r="M98" s="71">
        <f t="shared" si="43"/>
        <v>22.865260558112887</v>
      </c>
      <c r="N98" s="72">
        <f t="shared" si="44"/>
        <v>0.39907501427426356</v>
      </c>
      <c r="O98" s="72">
        <f t="shared" si="45"/>
        <v>1.917486706788174</v>
      </c>
      <c r="P98" s="72">
        <f t="shared" si="46"/>
        <v>0.96703056477536264</v>
      </c>
      <c r="Q98" s="71">
        <f t="shared" si="47"/>
        <v>41.312631492882495</v>
      </c>
      <c r="R98" s="72">
        <f t="shared" si="48"/>
        <v>0.95234030929104674</v>
      </c>
      <c r="S98" s="71">
        <f t="shared" si="49"/>
        <v>14.648485154989871</v>
      </c>
      <c r="T98" s="72">
        <f t="shared" si="50"/>
        <v>5.6226812384961216</v>
      </c>
      <c r="U98" s="72">
        <f t="shared" si="51"/>
        <v>1.7053462321157722</v>
      </c>
      <c r="V98" s="72">
        <f t="shared" si="52"/>
        <v>4.2170109288720914</v>
      </c>
      <c r="W98" s="72">
        <f t="shared" si="53"/>
        <v>1.6712393074734566</v>
      </c>
      <c r="X98" s="72">
        <f t="shared" si="54"/>
        <v>2.9441251181727739</v>
      </c>
      <c r="Y98" s="72">
        <f t="shared" si="55"/>
        <v>0.71988861713317309</v>
      </c>
      <c r="Z98" s="72">
        <f t="shared" si="56"/>
        <v>3.6903878611855117</v>
      </c>
      <c r="AA98" s="72">
        <f t="shared" si="57"/>
        <v>19.409612138814488</v>
      </c>
      <c r="AB98" s="72">
        <f t="shared" si="58"/>
        <v>3.1677777175068473</v>
      </c>
      <c r="AC98" s="72">
        <f t="shared" si="59"/>
        <v>0.18868182684282603</v>
      </c>
      <c r="AD98" s="73">
        <f t="shared" si="60"/>
        <v>1206.0988078320233</v>
      </c>
      <c r="AE98" s="71">
        <f t="shared" si="61"/>
        <v>193.25470065891747</v>
      </c>
      <c r="AF98" s="74">
        <f t="shared" si="62"/>
        <v>5.9098510534308266</v>
      </c>
      <c r="AG98" s="75">
        <f t="shared" si="63"/>
        <v>6.9839430029462886</v>
      </c>
      <c r="AH98" s="76">
        <f t="shared" si="64"/>
        <v>4.3012267184041919</v>
      </c>
      <c r="AI98" s="77">
        <f t="shared" si="65"/>
        <v>5.9127724900317737</v>
      </c>
    </row>
    <row r="99" spans="1:35" ht="15.75" customHeight="1" x14ac:dyDescent="0.45">
      <c r="A99" s="59">
        <f t="shared" si="41"/>
        <v>45843</v>
      </c>
      <c r="B99" s="60">
        <v>2025</v>
      </c>
      <c r="C99" s="60">
        <v>7</v>
      </c>
      <c r="D99" s="60">
        <v>5</v>
      </c>
      <c r="E99" s="61">
        <v>186</v>
      </c>
      <c r="F99" s="62">
        <v>35</v>
      </c>
      <c r="G99" s="62">
        <v>15</v>
      </c>
      <c r="H99" s="70">
        <f t="shared" si="42"/>
        <v>25</v>
      </c>
      <c r="I99" s="62">
        <v>98</v>
      </c>
      <c r="J99" s="62">
        <v>75</v>
      </c>
      <c r="K99" s="62">
        <v>1</v>
      </c>
      <c r="L99" s="62">
        <v>30</v>
      </c>
      <c r="M99" s="71">
        <f t="shared" si="43"/>
        <v>22.77229306247461</v>
      </c>
      <c r="N99" s="72">
        <f t="shared" si="44"/>
        <v>0.39745242158372351</v>
      </c>
      <c r="O99" s="72">
        <f t="shared" si="45"/>
        <v>1.9158509886360746</v>
      </c>
      <c r="P99" s="72">
        <f t="shared" si="46"/>
        <v>0.96705989224090327</v>
      </c>
      <c r="Q99" s="71">
        <f t="shared" si="47"/>
        <v>41.265507334172263</v>
      </c>
      <c r="R99" s="72">
        <f t="shared" si="48"/>
        <v>0.95399884494606879</v>
      </c>
      <c r="S99" s="71">
        <f t="shared" si="49"/>
        <v>14.635989217999041</v>
      </c>
      <c r="T99" s="72">
        <f t="shared" si="50"/>
        <v>5.6226812384961216</v>
      </c>
      <c r="U99" s="72">
        <f t="shared" si="51"/>
        <v>1.7053462321157722</v>
      </c>
      <c r="V99" s="72">
        <f t="shared" si="52"/>
        <v>4.2170109288720914</v>
      </c>
      <c r="W99" s="72">
        <f t="shared" si="53"/>
        <v>1.6712393074734566</v>
      </c>
      <c r="X99" s="72">
        <f t="shared" si="54"/>
        <v>2.9441251181727739</v>
      </c>
      <c r="Y99" s="72">
        <f t="shared" si="55"/>
        <v>0.71988861713317309</v>
      </c>
      <c r="Z99" s="72">
        <f t="shared" si="56"/>
        <v>3.696143309653785</v>
      </c>
      <c r="AA99" s="72">
        <f t="shared" si="57"/>
        <v>19.403856690346217</v>
      </c>
      <c r="AB99" s="72">
        <f t="shared" si="58"/>
        <v>3.1677777175068473</v>
      </c>
      <c r="AC99" s="72">
        <f t="shared" si="59"/>
        <v>0.18868182684282603</v>
      </c>
      <c r="AD99" s="73">
        <f t="shared" si="60"/>
        <v>1206.0988078320233</v>
      </c>
      <c r="AE99" s="71">
        <f t="shared" si="61"/>
        <v>193.25470065891747</v>
      </c>
      <c r="AF99" s="74">
        <f t="shared" si="62"/>
        <v>5.9082554546562882</v>
      </c>
      <c r="AG99" s="75">
        <f t="shared" si="63"/>
        <v>6.9759766152677223</v>
      </c>
      <c r="AH99" s="76">
        <f t="shared" si="64"/>
        <v>4.3012267184041919</v>
      </c>
      <c r="AI99" s="77">
        <f t="shared" si="65"/>
        <v>5.9111872305487756</v>
      </c>
    </row>
    <row r="100" spans="1:35" ht="15.75" customHeight="1" x14ac:dyDescent="0.45">
      <c r="A100" s="59">
        <f t="shared" si="41"/>
        <v>45844</v>
      </c>
      <c r="B100" s="60">
        <v>2025</v>
      </c>
      <c r="C100" s="60">
        <v>7</v>
      </c>
      <c r="D100" s="60">
        <v>6</v>
      </c>
      <c r="E100" s="61">
        <v>187</v>
      </c>
      <c r="F100" s="62">
        <v>35</v>
      </c>
      <c r="G100" s="62">
        <v>15</v>
      </c>
      <c r="H100" s="70">
        <f t="shared" si="42"/>
        <v>25</v>
      </c>
      <c r="I100" s="62">
        <v>98</v>
      </c>
      <c r="J100" s="62">
        <v>75</v>
      </c>
      <c r="K100" s="62">
        <v>1</v>
      </c>
      <c r="L100" s="62">
        <v>30</v>
      </c>
      <c r="M100" s="71">
        <f t="shared" si="43"/>
        <v>22.672577613377179</v>
      </c>
      <c r="N100" s="72">
        <f t="shared" si="44"/>
        <v>0.39571205461214304</v>
      </c>
      <c r="O100" s="72">
        <f t="shared" si="45"/>
        <v>1.9141000841623339</v>
      </c>
      <c r="P100" s="72">
        <f t="shared" si="46"/>
        <v>0.96709898061692789</v>
      </c>
      <c r="Q100" s="71">
        <f t="shared" si="47"/>
        <v>41.215236489944012</v>
      </c>
      <c r="R100" s="72">
        <f t="shared" si="48"/>
        <v>0.9557723092196555</v>
      </c>
      <c r="S100" s="71">
        <f t="shared" si="49"/>
        <v>14.622613324387579</v>
      </c>
      <c r="T100" s="72">
        <f t="shared" si="50"/>
        <v>5.6226812384961216</v>
      </c>
      <c r="U100" s="72">
        <f t="shared" si="51"/>
        <v>1.7053462321157722</v>
      </c>
      <c r="V100" s="72">
        <f t="shared" si="52"/>
        <v>4.2170109288720914</v>
      </c>
      <c r="W100" s="72">
        <f t="shared" si="53"/>
        <v>1.6712393074734566</v>
      </c>
      <c r="X100" s="72">
        <f t="shared" si="54"/>
        <v>2.9441251181727739</v>
      </c>
      <c r="Y100" s="72">
        <f t="shared" si="55"/>
        <v>0.71988861713317309</v>
      </c>
      <c r="Z100" s="72">
        <f t="shared" si="56"/>
        <v>3.7022975832782592</v>
      </c>
      <c r="AA100" s="72">
        <f t="shared" si="57"/>
        <v>19.397702416721742</v>
      </c>
      <c r="AB100" s="72">
        <f t="shared" si="58"/>
        <v>3.1677777175068473</v>
      </c>
      <c r="AC100" s="72">
        <f t="shared" si="59"/>
        <v>0.18868182684282603</v>
      </c>
      <c r="AD100" s="73">
        <f t="shared" si="60"/>
        <v>1206.0988078320233</v>
      </c>
      <c r="AE100" s="71">
        <f t="shared" si="61"/>
        <v>193.25470065891747</v>
      </c>
      <c r="AF100" s="74">
        <f t="shared" si="62"/>
        <v>5.9065492884891313</v>
      </c>
      <c r="AG100" s="75">
        <f t="shared" si="63"/>
        <v>6.9674782771538553</v>
      </c>
      <c r="AH100" s="76">
        <f t="shared" si="64"/>
        <v>4.3012267184041919</v>
      </c>
      <c r="AI100" s="77">
        <f t="shared" si="65"/>
        <v>5.9094921201367985</v>
      </c>
    </row>
    <row r="101" spans="1:35" ht="15.75" customHeight="1" x14ac:dyDescent="0.45">
      <c r="A101" s="59">
        <f t="shared" si="41"/>
        <v>45845</v>
      </c>
      <c r="B101" s="60">
        <v>2025</v>
      </c>
      <c r="C101" s="60">
        <v>7</v>
      </c>
      <c r="D101" s="60">
        <v>7</v>
      </c>
      <c r="E101" s="61">
        <v>188</v>
      </c>
      <c r="F101" s="62">
        <v>35</v>
      </c>
      <c r="G101" s="62">
        <v>15</v>
      </c>
      <c r="H101" s="70">
        <f t="shared" si="42"/>
        <v>25</v>
      </c>
      <c r="I101" s="62">
        <v>98</v>
      </c>
      <c r="J101" s="62">
        <v>75</v>
      </c>
      <c r="K101" s="62">
        <v>1</v>
      </c>
      <c r="L101" s="62">
        <v>30</v>
      </c>
      <c r="M101" s="71">
        <f t="shared" si="43"/>
        <v>22.566143758798379</v>
      </c>
      <c r="N101" s="72">
        <f t="shared" si="44"/>
        <v>0.39385442907022772</v>
      </c>
      <c r="O101" s="72">
        <f t="shared" si="45"/>
        <v>1.9122352231276625</v>
      </c>
      <c r="P101" s="72">
        <f t="shared" si="46"/>
        <v>0.96714781832065289</v>
      </c>
      <c r="Q101" s="71">
        <f t="shared" si="47"/>
        <v>41.161821683779763</v>
      </c>
      <c r="R101" s="72">
        <f t="shared" si="48"/>
        <v>0.95766143347449595</v>
      </c>
      <c r="S101" s="71">
        <f t="shared" si="49"/>
        <v>14.608366868813311</v>
      </c>
      <c r="T101" s="72">
        <f t="shared" si="50"/>
        <v>5.6226812384961216</v>
      </c>
      <c r="U101" s="72">
        <f t="shared" si="51"/>
        <v>1.7053462321157722</v>
      </c>
      <c r="V101" s="72">
        <f t="shared" si="52"/>
        <v>4.2170109288720914</v>
      </c>
      <c r="W101" s="72">
        <f t="shared" si="53"/>
        <v>1.6712393074734566</v>
      </c>
      <c r="X101" s="72">
        <f t="shared" si="54"/>
        <v>2.9441251181727739</v>
      </c>
      <c r="Y101" s="72">
        <f t="shared" si="55"/>
        <v>0.71988861713317309</v>
      </c>
      <c r="Z101" s="72">
        <f t="shared" si="56"/>
        <v>3.7088532200328732</v>
      </c>
      <c r="AA101" s="72">
        <f t="shared" si="57"/>
        <v>19.39114677996713</v>
      </c>
      <c r="AB101" s="72">
        <f t="shared" si="58"/>
        <v>3.1677777175068473</v>
      </c>
      <c r="AC101" s="72">
        <f t="shared" si="59"/>
        <v>0.18868182684282603</v>
      </c>
      <c r="AD101" s="73">
        <f t="shared" si="60"/>
        <v>1206.0988078320233</v>
      </c>
      <c r="AE101" s="71">
        <f t="shared" si="61"/>
        <v>193.25470065891747</v>
      </c>
      <c r="AF101" s="74">
        <f t="shared" si="62"/>
        <v>5.904731851319875</v>
      </c>
      <c r="AG101" s="75">
        <f t="shared" si="63"/>
        <v>6.9584484490290404</v>
      </c>
      <c r="AH101" s="76">
        <f t="shared" si="64"/>
        <v>4.3012267184041919</v>
      </c>
      <c r="AI101" s="77">
        <f t="shared" si="65"/>
        <v>5.9076864597456691</v>
      </c>
    </row>
    <row r="102" spans="1:35" ht="15.75" customHeight="1" x14ac:dyDescent="0.45">
      <c r="A102" s="59">
        <f t="shared" si="41"/>
        <v>45846</v>
      </c>
      <c r="B102" s="60">
        <v>2025</v>
      </c>
      <c r="C102" s="60">
        <v>7</v>
      </c>
      <c r="D102" s="60">
        <v>8</v>
      </c>
      <c r="E102" s="61">
        <v>189</v>
      </c>
      <c r="F102" s="62">
        <v>35</v>
      </c>
      <c r="G102" s="62">
        <v>15</v>
      </c>
      <c r="H102" s="70">
        <f t="shared" si="42"/>
        <v>25</v>
      </c>
      <c r="I102" s="62">
        <v>98</v>
      </c>
      <c r="J102" s="62">
        <v>75</v>
      </c>
      <c r="K102" s="62">
        <v>1</v>
      </c>
      <c r="L102" s="62">
        <v>30</v>
      </c>
      <c r="M102" s="71">
        <f t="shared" si="43"/>
        <v>22.453023037533853</v>
      </c>
      <c r="N102" s="72">
        <f t="shared" si="44"/>
        <v>0.39188009541509089</v>
      </c>
      <c r="O102" s="72">
        <f t="shared" si="45"/>
        <v>1.9102577031454291</v>
      </c>
      <c r="P102" s="72">
        <f t="shared" si="46"/>
        <v>0.96720639088034499</v>
      </c>
      <c r="Q102" s="71">
        <f t="shared" si="47"/>
        <v>41.105265704835212</v>
      </c>
      <c r="R102" s="72">
        <f t="shared" si="48"/>
        <v>0.95966700302687014</v>
      </c>
      <c r="S102" s="71">
        <f t="shared" si="49"/>
        <v>14.593259764288991</v>
      </c>
      <c r="T102" s="72">
        <f t="shared" si="50"/>
        <v>5.6226812384961216</v>
      </c>
      <c r="U102" s="72">
        <f t="shared" si="51"/>
        <v>1.7053462321157722</v>
      </c>
      <c r="V102" s="72">
        <f t="shared" si="52"/>
        <v>4.2170109288720914</v>
      </c>
      <c r="W102" s="72">
        <f t="shared" si="53"/>
        <v>1.6712393074734566</v>
      </c>
      <c r="X102" s="72">
        <f t="shared" si="54"/>
        <v>2.9441251181727739</v>
      </c>
      <c r="Y102" s="72">
        <f t="shared" si="55"/>
        <v>0.71988861713317309</v>
      </c>
      <c r="Z102" s="72">
        <f t="shared" si="56"/>
        <v>3.7158129451212516</v>
      </c>
      <c r="AA102" s="72">
        <f t="shared" si="57"/>
        <v>19.384187054878751</v>
      </c>
      <c r="AB102" s="72">
        <f t="shared" si="58"/>
        <v>3.1677777175068473</v>
      </c>
      <c r="AC102" s="72">
        <f t="shared" si="59"/>
        <v>0.18868182684282603</v>
      </c>
      <c r="AD102" s="73">
        <f t="shared" si="60"/>
        <v>1206.0988078320233</v>
      </c>
      <c r="AE102" s="71">
        <f t="shared" si="61"/>
        <v>193.25470065891747</v>
      </c>
      <c r="AF102" s="74">
        <f t="shared" si="62"/>
        <v>5.9028023876328399</v>
      </c>
      <c r="AG102" s="75">
        <f t="shared" si="63"/>
        <v>6.9488876024029276</v>
      </c>
      <c r="AH102" s="76">
        <f t="shared" si="64"/>
        <v>4.3012267184041919</v>
      </c>
      <c r="AI102" s="77">
        <f t="shared" si="65"/>
        <v>5.9057694987553608</v>
      </c>
    </row>
    <row r="103" spans="1:35" ht="15.75" customHeight="1" x14ac:dyDescent="0.45">
      <c r="A103" s="59">
        <f t="shared" si="41"/>
        <v>45847</v>
      </c>
      <c r="B103" s="60">
        <v>2025</v>
      </c>
      <c r="C103" s="60">
        <v>7</v>
      </c>
      <c r="D103" s="60">
        <v>9</v>
      </c>
      <c r="E103" s="61">
        <v>190</v>
      </c>
      <c r="F103" s="62">
        <v>35</v>
      </c>
      <c r="G103" s="62">
        <v>15</v>
      </c>
      <c r="H103" s="70">
        <f t="shared" si="42"/>
        <v>25</v>
      </c>
      <c r="I103" s="62">
        <v>98</v>
      </c>
      <c r="J103" s="62">
        <v>75</v>
      </c>
      <c r="K103" s="62">
        <v>1</v>
      </c>
      <c r="L103" s="62">
        <v>30</v>
      </c>
      <c r="M103" s="71">
        <f t="shared" si="43"/>
        <v>22.333248969851425</v>
      </c>
      <c r="N103" s="72">
        <f t="shared" si="44"/>
        <v>0.38978963868714017</v>
      </c>
      <c r="O103" s="72">
        <f t="shared" si="45"/>
        <v>1.9081688866070761</v>
      </c>
      <c r="P103" s="72">
        <f t="shared" si="46"/>
        <v>0.96727468093960944</v>
      </c>
      <c r="Q103" s="71">
        <f t="shared" si="47"/>
        <v>41.045571419099744</v>
      </c>
      <c r="R103" s="72">
        <f t="shared" si="48"/>
        <v>0.96178985760398472</v>
      </c>
      <c r="S103" s="71">
        <f t="shared" si="49"/>
        <v>14.577302418694241</v>
      </c>
      <c r="T103" s="72">
        <f t="shared" si="50"/>
        <v>5.6226812384961216</v>
      </c>
      <c r="U103" s="72">
        <f t="shared" si="51"/>
        <v>1.7053462321157722</v>
      </c>
      <c r="V103" s="72">
        <f t="shared" si="52"/>
        <v>4.2170109288720914</v>
      </c>
      <c r="W103" s="72">
        <f t="shared" si="53"/>
        <v>1.6712393074734566</v>
      </c>
      <c r="X103" s="72">
        <f t="shared" si="54"/>
        <v>2.9441251181727739</v>
      </c>
      <c r="Y103" s="72">
        <f t="shared" si="55"/>
        <v>0.71988861713317309</v>
      </c>
      <c r="Z103" s="72">
        <f t="shared" si="56"/>
        <v>3.7231796725637554</v>
      </c>
      <c r="AA103" s="72">
        <f t="shared" si="57"/>
        <v>19.376820327436246</v>
      </c>
      <c r="AB103" s="72">
        <f t="shared" si="58"/>
        <v>3.1677777175068473</v>
      </c>
      <c r="AC103" s="72">
        <f t="shared" si="59"/>
        <v>0.18868182684282603</v>
      </c>
      <c r="AD103" s="73">
        <f t="shared" si="60"/>
        <v>1206.0988078320233</v>
      </c>
      <c r="AE103" s="71">
        <f t="shared" si="61"/>
        <v>193.25470065891747</v>
      </c>
      <c r="AF103" s="74">
        <f t="shared" si="62"/>
        <v>5.9007600895661616</v>
      </c>
      <c r="AG103" s="75">
        <f t="shared" si="63"/>
        <v>6.9387962217739814</v>
      </c>
      <c r="AH103" s="76">
        <f t="shared" si="64"/>
        <v>4.3012267184041919</v>
      </c>
      <c r="AI103" s="77">
        <f t="shared" si="65"/>
        <v>5.9037404345388582</v>
      </c>
    </row>
    <row r="104" spans="1:35" ht="15.75" customHeight="1" x14ac:dyDescent="0.45">
      <c r="A104" s="59">
        <f t="shared" si="41"/>
        <v>45848</v>
      </c>
      <c r="B104" s="60">
        <v>2025</v>
      </c>
      <c r="C104" s="60">
        <v>7</v>
      </c>
      <c r="D104" s="60">
        <v>10</v>
      </c>
      <c r="E104" s="61">
        <v>191</v>
      </c>
      <c r="F104" s="62">
        <v>35</v>
      </c>
      <c r="G104" s="62">
        <v>15</v>
      </c>
      <c r="H104" s="70">
        <f t="shared" si="42"/>
        <v>25</v>
      </c>
      <c r="I104" s="62">
        <v>98</v>
      </c>
      <c r="J104" s="62">
        <v>75</v>
      </c>
      <c r="K104" s="62">
        <v>1</v>
      </c>
      <c r="L104" s="62">
        <v>30</v>
      </c>
      <c r="M104" s="71">
        <f t="shared" si="43"/>
        <v>22.206857047558266</v>
      </c>
      <c r="N104" s="72">
        <f t="shared" si="44"/>
        <v>0.38758367833671692</v>
      </c>
      <c r="O104" s="72">
        <f t="shared" si="45"/>
        <v>1.9059701975037753</v>
      </c>
      <c r="P104" s="72">
        <f t="shared" si="46"/>
        <v>0.96735266826253341</v>
      </c>
      <c r="Q104" s="71">
        <f t="shared" si="47"/>
        <v>40.982741781806467</v>
      </c>
      <c r="R104" s="72">
        <f t="shared" si="48"/>
        <v>0.9640308918188556</v>
      </c>
      <c r="S104" s="71">
        <f t="shared" si="49"/>
        <v>14.560505710494846</v>
      </c>
      <c r="T104" s="72">
        <f t="shared" si="50"/>
        <v>5.6226812384961216</v>
      </c>
      <c r="U104" s="72">
        <f t="shared" si="51"/>
        <v>1.7053462321157722</v>
      </c>
      <c r="V104" s="72">
        <f t="shared" si="52"/>
        <v>4.2170109288720914</v>
      </c>
      <c r="W104" s="72">
        <f t="shared" si="53"/>
        <v>1.6712393074734566</v>
      </c>
      <c r="X104" s="72">
        <f t="shared" si="54"/>
        <v>2.9441251181727739</v>
      </c>
      <c r="Y104" s="72">
        <f t="shared" si="55"/>
        <v>0.71988861713317309</v>
      </c>
      <c r="Z104" s="72">
        <f t="shared" si="56"/>
        <v>3.7309565068454127</v>
      </c>
      <c r="AA104" s="72">
        <f t="shared" si="57"/>
        <v>19.369043493154589</v>
      </c>
      <c r="AB104" s="72">
        <f t="shared" si="58"/>
        <v>3.1677777175068473</v>
      </c>
      <c r="AC104" s="72">
        <f t="shared" si="59"/>
        <v>0.18868182684282603</v>
      </c>
      <c r="AD104" s="73">
        <f t="shared" si="60"/>
        <v>1206.0988078320233</v>
      </c>
      <c r="AE104" s="71">
        <f t="shared" si="61"/>
        <v>193.25470065891747</v>
      </c>
      <c r="AF104" s="74">
        <f t="shared" si="62"/>
        <v>5.898604096454938</v>
      </c>
      <c r="AG104" s="75">
        <f t="shared" si="63"/>
        <v>6.9281748067274069</v>
      </c>
      <c r="AH104" s="76">
        <f t="shared" si="64"/>
        <v>4.3012267184041919</v>
      </c>
      <c r="AI104" s="77">
        <f t="shared" si="65"/>
        <v>5.9015984120082647</v>
      </c>
    </row>
    <row r="105" spans="1:35" ht="15.75" customHeight="1" x14ac:dyDescent="0.45">
      <c r="A105" s="59">
        <f t="shared" si="41"/>
        <v>45849</v>
      </c>
      <c r="B105" s="60">
        <v>2025</v>
      </c>
      <c r="C105" s="60">
        <v>7</v>
      </c>
      <c r="D105" s="60">
        <v>11</v>
      </c>
      <c r="E105" s="61">
        <v>192</v>
      </c>
      <c r="F105" s="62">
        <v>35</v>
      </c>
      <c r="G105" s="62">
        <v>15</v>
      </c>
      <c r="H105" s="70">
        <f t="shared" si="42"/>
        <v>25</v>
      </c>
      <c r="I105" s="62">
        <v>98</v>
      </c>
      <c r="J105" s="62">
        <v>75</v>
      </c>
      <c r="K105" s="62">
        <v>1</v>
      </c>
      <c r="L105" s="62">
        <v>30</v>
      </c>
      <c r="M105" s="71">
        <f t="shared" si="43"/>
        <v>22.073884723483872</v>
      </c>
      <c r="N105" s="72">
        <f t="shared" si="44"/>
        <v>0.3852628680405385</v>
      </c>
      <c r="O105" s="72">
        <f t="shared" si="45"/>
        <v>1.9036631181589354</v>
      </c>
      <c r="P105" s="72">
        <f t="shared" si="46"/>
        <v>0.96744032973968164</v>
      </c>
      <c r="Q105" s="71">
        <f t="shared" si="47"/>
        <v>40.916779851032324</v>
      </c>
      <c r="R105" s="72">
        <f t="shared" si="48"/>
        <v>0.96639105566090167</v>
      </c>
      <c r="S105" s="71">
        <f t="shared" si="49"/>
        <v>14.54288096378102</v>
      </c>
      <c r="T105" s="72">
        <f t="shared" si="50"/>
        <v>5.6226812384961216</v>
      </c>
      <c r="U105" s="72">
        <f t="shared" si="51"/>
        <v>1.7053462321157722</v>
      </c>
      <c r="V105" s="72">
        <f t="shared" si="52"/>
        <v>4.2170109288720914</v>
      </c>
      <c r="W105" s="72">
        <f t="shared" si="53"/>
        <v>1.6712393074734566</v>
      </c>
      <c r="X105" s="72">
        <f t="shared" si="54"/>
        <v>2.9441251181727739</v>
      </c>
      <c r="Y105" s="72">
        <f t="shared" si="55"/>
        <v>0.71988861713317309</v>
      </c>
      <c r="Z105" s="72">
        <f t="shared" si="56"/>
        <v>3.7391467446183819</v>
      </c>
      <c r="AA105" s="72">
        <f t="shared" si="57"/>
        <v>19.36085325538162</v>
      </c>
      <c r="AB105" s="72">
        <f t="shared" si="58"/>
        <v>3.1677777175068473</v>
      </c>
      <c r="AC105" s="72">
        <f t="shared" si="59"/>
        <v>0.18868182684282603</v>
      </c>
      <c r="AD105" s="73">
        <f t="shared" si="60"/>
        <v>1206.0988078320233</v>
      </c>
      <c r="AE105" s="71">
        <f t="shared" si="61"/>
        <v>193.25470065891747</v>
      </c>
      <c r="AF105" s="74">
        <f t="shared" si="62"/>
        <v>5.8963334943592427</v>
      </c>
      <c r="AG105" s="75">
        <f t="shared" si="63"/>
        <v>6.9170238742342711</v>
      </c>
      <c r="AH105" s="76">
        <f t="shared" si="64"/>
        <v>4.3012267184041919</v>
      </c>
      <c r="AI105" s="77">
        <f t="shared" si="65"/>
        <v>5.8993425231458785</v>
      </c>
    </row>
    <row r="106" spans="1:35" ht="15.75" customHeight="1" x14ac:dyDescent="0.45">
      <c r="A106" s="59">
        <f t="shared" si="41"/>
        <v>45850</v>
      </c>
      <c r="B106" s="60">
        <v>2025</v>
      </c>
      <c r="C106" s="60">
        <v>7</v>
      </c>
      <c r="D106" s="60">
        <v>12</v>
      </c>
      <c r="E106" s="61">
        <v>193</v>
      </c>
      <c r="F106" s="62">
        <v>35</v>
      </c>
      <c r="G106" s="62">
        <v>15</v>
      </c>
      <c r="H106" s="70">
        <f t="shared" si="42"/>
        <v>25</v>
      </c>
      <c r="I106" s="62">
        <v>98</v>
      </c>
      <c r="J106" s="62">
        <v>75</v>
      </c>
      <c r="K106" s="62">
        <v>1</v>
      </c>
      <c r="L106" s="62">
        <v>30</v>
      </c>
      <c r="M106" s="71">
        <f t="shared" si="43"/>
        <v>21.934371400381924</v>
      </c>
      <c r="N106" s="72">
        <f t="shared" si="44"/>
        <v>0.38282789550799917</v>
      </c>
      <c r="O106" s="72">
        <f t="shared" si="45"/>
        <v>1.9012491858862441</v>
      </c>
      <c r="P106" s="72">
        <f t="shared" si="46"/>
        <v>0.96753763939494541</v>
      </c>
      <c r="Q106" s="71">
        <f t="shared" si="47"/>
        <v>40.847688802526363</v>
      </c>
      <c r="R106" s="72">
        <f t="shared" si="48"/>
        <v>0.96887135500036159</v>
      </c>
      <c r="S106" s="71">
        <f t="shared" si="49"/>
        <v>14.524439922736777</v>
      </c>
      <c r="T106" s="72">
        <f t="shared" si="50"/>
        <v>5.6226812384961216</v>
      </c>
      <c r="U106" s="72">
        <f t="shared" si="51"/>
        <v>1.7053462321157722</v>
      </c>
      <c r="V106" s="72">
        <f t="shared" si="52"/>
        <v>4.2170109288720914</v>
      </c>
      <c r="W106" s="72">
        <f t="shared" si="53"/>
        <v>1.6712393074734566</v>
      </c>
      <c r="X106" s="72">
        <f t="shared" si="54"/>
        <v>2.9441251181727739</v>
      </c>
      <c r="Y106" s="72">
        <f t="shared" si="55"/>
        <v>0.71988861713317309</v>
      </c>
      <c r="Z106" s="72">
        <f t="shared" si="56"/>
        <v>3.7477538764523763</v>
      </c>
      <c r="AA106" s="72">
        <f t="shared" si="57"/>
        <v>19.352246123547626</v>
      </c>
      <c r="AB106" s="72">
        <f t="shared" si="58"/>
        <v>3.1677777175068473</v>
      </c>
      <c r="AC106" s="72">
        <f t="shared" si="59"/>
        <v>0.18868182684282603</v>
      </c>
      <c r="AD106" s="73">
        <f t="shared" si="60"/>
        <v>1206.0988078320233</v>
      </c>
      <c r="AE106" s="71">
        <f t="shared" si="61"/>
        <v>193.25470065891747</v>
      </c>
      <c r="AF106" s="74">
        <f t="shared" si="62"/>
        <v>5.8939473155788553</v>
      </c>
      <c r="AG106" s="75">
        <f t="shared" si="63"/>
        <v>6.9053439611582297</v>
      </c>
      <c r="AH106" s="76">
        <f t="shared" si="64"/>
        <v>4.3012267184041919</v>
      </c>
      <c r="AI106" s="77">
        <f t="shared" si="65"/>
        <v>5.8969718065220604</v>
      </c>
    </row>
    <row r="107" spans="1:35" ht="15.75" customHeight="1" x14ac:dyDescent="0.45">
      <c r="A107" s="59">
        <f t="shared" si="41"/>
        <v>45851</v>
      </c>
      <c r="B107" s="60">
        <v>2025</v>
      </c>
      <c r="C107" s="60">
        <v>7</v>
      </c>
      <c r="D107" s="60">
        <v>13</v>
      </c>
      <c r="E107" s="61">
        <v>194</v>
      </c>
      <c r="F107" s="62">
        <v>35</v>
      </c>
      <c r="G107" s="62">
        <v>15</v>
      </c>
      <c r="H107" s="70">
        <f t="shared" si="42"/>
        <v>25</v>
      </c>
      <c r="I107" s="62">
        <v>98</v>
      </c>
      <c r="J107" s="62">
        <v>75</v>
      </c>
      <c r="K107" s="62">
        <v>1</v>
      </c>
      <c r="L107" s="62">
        <v>30</v>
      </c>
      <c r="M107" s="71">
        <f t="shared" si="43"/>
        <v>21.78835841925434</v>
      </c>
      <c r="N107" s="72">
        <f t="shared" si="44"/>
        <v>0.38027948227738573</v>
      </c>
      <c r="O107" s="72">
        <f t="shared" si="45"/>
        <v>1.8987299895878773</v>
      </c>
      <c r="P107" s="72">
        <f t="shared" si="46"/>
        <v>0.96764456839323865</v>
      </c>
      <c r="Q107" s="71">
        <f t="shared" si="47"/>
        <v>40.775471945800774</v>
      </c>
      <c r="R107" s="72">
        <f t="shared" si="48"/>
        <v>0.97147285210463519</v>
      </c>
      <c r="S107" s="71">
        <f t="shared" si="49"/>
        <v>14.505194725652233</v>
      </c>
      <c r="T107" s="72">
        <f t="shared" si="50"/>
        <v>5.6226812384961216</v>
      </c>
      <c r="U107" s="72">
        <f t="shared" si="51"/>
        <v>1.7053462321157722</v>
      </c>
      <c r="V107" s="72">
        <f t="shared" si="52"/>
        <v>4.2170109288720914</v>
      </c>
      <c r="W107" s="72">
        <f t="shared" si="53"/>
        <v>1.6712393074734566</v>
      </c>
      <c r="X107" s="72">
        <f t="shared" si="54"/>
        <v>2.9441251181727739</v>
      </c>
      <c r="Y107" s="72">
        <f t="shared" si="55"/>
        <v>0.71988861713317309</v>
      </c>
      <c r="Z107" s="72">
        <f t="shared" si="56"/>
        <v>3.7567815886264677</v>
      </c>
      <c r="AA107" s="72">
        <f t="shared" si="57"/>
        <v>19.343218411373535</v>
      </c>
      <c r="AB107" s="72">
        <f t="shared" si="58"/>
        <v>3.1677777175068473</v>
      </c>
      <c r="AC107" s="72">
        <f t="shared" si="59"/>
        <v>0.18868182684282603</v>
      </c>
      <c r="AD107" s="73">
        <f t="shared" si="60"/>
        <v>1206.0988078320233</v>
      </c>
      <c r="AE107" s="71">
        <f t="shared" si="61"/>
        <v>193.25470065891747</v>
      </c>
      <c r="AF107" s="74">
        <f t="shared" si="62"/>
        <v>5.8914445381565104</v>
      </c>
      <c r="AG107" s="75">
        <f t="shared" si="63"/>
        <v>6.8931356269757318</v>
      </c>
      <c r="AH107" s="76">
        <f t="shared" si="64"/>
        <v>4.3012267184041919</v>
      </c>
      <c r="AI107" s="77">
        <f t="shared" si="65"/>
        <v>5.8944852468017102</v>
      </c>
    </row>
    <row r="108" spans="1:35" ht="15.75" customHeight="1" x14ac:dyDescent="0.45">
      <c r="A108" s="59">
        <f t="shared" si="41"/>
        <v>45852</v>
      </c>
      <c r="B108" s="60">
        <v>2025</v>
      </c>
      <c r="C108" s="60">
        <v>7</v>
      </c>
      <c r="D108" s="60">
        <v>14</v>
      </c>
      <c r="E108" s="61">
        <v>195</v>
      </c>
      <c r="F108" s="62">
        <v>35</v>
      </c>
      <c r="G108" s="62">
        <v>15</v>
      </c>
      <c r="H108" s="70">
        <f t="shared" si="42"/>
        <v>25</v>
      </c>
      <c r="I108" s="62">
        <v>98</v>
      </c>
      <c r="J108" s="62">
        <v>75</v>
      </c>
      <c r="K108" s="62">
        <v>1</v>
      </c>
      <c r="L108" s="62">
        <v>30</v>
      </c>
      <c r="M108" s="71">
        <f t="shared" si="43"/>
        <v>21.635889047100992</v>
      </c>
      <c r="N108" s="72">
        <f t="shared" si="44"/>
        <v>0.37761838350206933</v>
      </c>
      <c r="O108" s="72">
        <f t="shared" si="45"/>
        <v>1.8961071663073836</v>
      </c>
      <c r="P108" s="72">
        <f t="shared" si="46"/>
        <v>0.96776108504904335</v>
      </c>
      <c r="Q108" s="71">
        <f t="shared" si="47"/>
        <v>40.700132741516249</v>
      </c>
      <c r="R108" s="72">
        <f t="shared" si="48"/>
        <v>0.97419666616460154</v>
      </c>
      <c r="S108" s="71">
        <f t="shared" si="49"/>
        <v>14.485157878589638</v>
      </c>
      <c r="T108" s="72">
        <f t="shared" si="50"/>
        <v>5.6226812384961216</v>
      </c>
      <c r="U108" s="72">
        <f t="shared" si="51"/>
        <v>1.7053462321157722</v>
      </c>
      <c r="V108" s="72">
        <f t="shared" si="52"/>
        <v>4.2170109288720914</v>
      </c>
      <c r="W108" s="72">
        <f t="shared" si="53"/>
        <v>1.6712393074734566</v>
      </c>
      <c r="X108" s="72">
        <f t="shared" si="54"/>
        <v>2.9441251181727739</v>
      </c>
      <c r="Y108" s="72">
        <f t="shared" si="55"/>
        <v>0.71988861713317309</v>
      </c>
      <c r="Z108" s="72">
        <f t="shared" si="56"/>
        <v>3.7662337649555244</v>
      </c>
      <c r="AA108" s="72">
        <f t="shared" si="57"/>
        <v>19.333766235044479</v>
      </c>
      <c r="AB108" s="72">
        <f t="shared" si="58"/>
        <v>3.1677777175068473</v>
      </c>
      <c r="AC108" s="72">
        <f t="shared" si="59"/>
        <v>0.18868182684282603</v>
      </c>
      <c r="AD108" s="73">
        <f t="shared" si="60"/>
        <v>1206.0988078320233</v>
      </c>
      <c r="AE108" s="71">
        <f t="shared" si="61"/>
        <v>193.25470065891747</v>
      </c>
      <c r="AF108" s="74">
        <f t="shared" si="62"/>
        <v>5.888824085371553</v>
      </c>
      <c r="AG108" s="75">
        <f t="shared" si="63"/>
        <v>6.880399456715045</v>
      </c>
      <c r="AH108" s="76">
        <f t="shared" si="64"/>
        <v>4.3012267184041919</v>
      </c>
      <c r="AI108" s="77">
        <f t="shared" si="65"/>
        <v>5.8918817742411944</v>
      </c>
    </row>
    <row r="109" spans="1:35" ht="15.75" customHeight="1" x14ac:dyDescent="0.45">
      <c r="A109" s="59">
        <f t="shared" si="41"/>
        <v>45853</v>
      </c>
      <c r="B109" s="60">
        <v>2025</v>
      </c>
      <c r="C109" s="60">
        <v>7</v>
      </c>
      <c r="D109" s="60">
        <v>15</v>
      </c>
      <c r="E109" s="61">
        <v>196</v>
      </c>
      <c r="F109" s="62">
        <v>35</v>
      </c>
      <c r="G109" s="62">
        <v>15</v>
      </c>
      <c r="H109" s="70">
        <f t="shared" si="42"/>
        <v>25</v>
      </c>
      <c r="I109" s="62">
        <v>98</v>
      </c>
      <c r="J109" s="62">
        <v>75</v>
      </c>
      <c r="K109" s="62">
        <v>1</v>
      </c>
      <c r="L109" s="62">
        <v>30</v>
      </c>
      <c r="M109" s="71">
        <f t="shared" si="43"/>
        <v>21.477008464098706</v>
      </c>
      <c r="N109" s="72">
        <f t="shared" si="44"/>
        <v>0.37484538772673603</v>
      </c>
      <c r="O109" s="72">
        <f t="shared" si="45"/>
        <v>1.8933823977515192</v>
      </c>
      <c r="P109" s="72">
        <f t="shared" si="46"/>
        <v>0.96788715483579824</v>
      </c>
      <c r="Q109" s="71">
        <f t="shared" si="47"/>
        <v>40.621674820188495</v>
      </c>
      <c r="R109" s="72">
        <f t="shared" si="48"/>
        <v>0.97704397382898422</v>
      </c>
      <c r="S109" s="71">
        <f t="shared" si="49"/>
        <v>14.464342228812216</v>
      </c>
      <c r="T109" s="72">
        <f t="shared" si="50"/>
        <v>5.6226812384961216</v>
      </c>
      <c r="U109" s="72">
        <f t="shared" si="51"/>
        <v>1.7053462321157722</v>
      </c>
      <c r="V109" s="72">
        <f t="shared" si="52"/>
        <v>4.2170109288720914</v>
      </c>
      <c r="W109" s="72">
        <f t="shared" si="53"/>
        <v>1.6712393074734566</v>
      </c>
      <c r="X109" s="72">
        <f t="shared" si="54"/>
        <v>2.9441251181727739</v>
      </c>
      <c r="Y109" s="72">
        <f t="shared" si="55"/>
        <v>0.71988861713317309</v>
      </c>
      <c r="Z109" s="72">
        <f t="shared" si="56"/>
        <v>3.7761144886445521</v>
      </c>
      <c r="AA109" s="72">
        <f t="shared" si="57"/>
        <v>19.323885511355449</v>
      </c>
      <c r="AB109" s="72">
        <f t="shared" si="58"/>
        <v>3.1677777175068473</v>
      </c>
      <c r="AC109" s="72">
        <f t="shared" si="59"/>
        <v>0.18868182684282603</v>
      </c>
      <c r="AD109" s="73">
        <f t="shared" si="60"/>
        <v>1206.0988078320233</v>
      </c>
      <c r="AE109" s="71">
        <f t="shared" si="61"/>
        <v>193.25470065891747</v>
      </c>
      <c r="AF109" s="74">
        <f t="shared" si="62"/>
        <v>5.8860848252258533</v>
      </c>
      <c r="AG109" s="75">
        <f t="shared" si="63"/>
        <v>6.8671360641185917</v>
      </c>
      <c r="AH109" s="76">
        <f t="shared" si="64"/>
        <v>4.3012267184041919</v>
      </c>
      <c r="AI109" s="77">
        <f t="shared" si="65"/>
        <v>5.8891602641775966</v>
      </c>
    </row>
    <row r="110" spans="1:35" ht="15.75" customHeight="1" x14ac:dyDescent="0.45">
      <c r="A110" s="59">
        <f t="shared" si="41"/>
        <v>45854</v>
      </c>
      <c r="B110" s="60">
        <v>2025</v>
      </c>
      <c r="C110" s="60">
        <v>7</v>
      </c>
      <c r="D110" s="60">
        <v>16</v>
      </c>
      <c r="E110" s="61">
        <v>197</v>
      </c>
      <c r="F110" s="62">
        <v>35</v>
      </c>
      <c r="G110" s="62">
        <v>15</v>
      </c>
      <c r="H110" s="70">
        <f t="shared" si="42"/>
        <v>25</v>
      </c>
      <c r="I110" s="62">
        <v>98</v>
      </c>
      <c r="J110" s="62">
        <v>75</v>
      </c>
      <c r="K110" s="62">
        <v>1</v>
      </c>
      <c r="L110" s="62">
        <v>30</v>
      </c>
      <c r="M110" s="71">
        <f t="shared" si="43"/>
        <v>21.311763750213327</v>
      </c>
      <c r="N110" s="72">
        <f t="shared" si="44"/>
        <v>0.37196131665372323</v>
      </c>
      <c r="O110" s="72">
        <f t="shared" si="45"/>
        <v>1.8905574067950013</v>
      </c>
      <c r="P110" s="72">
        <f t="shared" si="46"/>
        <v>0.96802274039613001</v>
      </c>
      <c r="Q110" s="71">
        <f t="shared" si="47"/>
        <v>40.540102002238299</v>
      </c>
      <c r="R110" s="72">
        <f t="shared" si="48"/>
        <v>0.9800160097448023</v>
      </c>
      <c r="S110" s="71">
        <f t="shared" si="49"/>
        <v>14.442760938082515</v>
      </c>
      <c r="T110" s="72">
        <f t="shared" si="50"/>
        <v>5.6226812384961216</v>
      </c>
      <c r="U110" s="72">
        <f t="shared" si="51"/>
        <v>1.7053462321157722</v>
      </c>
      <c r="V110" s="72">
        <f t="shared" si="52"/>
        <v>4.2170109288720914</v>
      </c>
      <c r="W110" s="72">
        <f t="shared" si="53"/>
        <v>1.6712393074734566</v>
      </c>
      <c r="X110" s="72">
        <f t="shared" si="54"/>
        <v>2.9441251181727739</v>
      </c>
      <c r="Y110" s="72">
        <f t="shared" si="55"/>
        <v>0.71988861713317309</v>
      </c>
      <c r="Z110" s="72">
        <f t="shared" si="56"/>
        <v>3.786428044164178</v>
      </c>
      <c r="AA110" s="72">
        <f t="shared" si="57"/>
        <v>19.313571955835823</v>
      </c>
      <c r="AB110" s="72">
        <f t="shared" si="58"/>
        <v>3.1677777175068473</v>
      </c>
      <c r="AC110" s="72">
        <f t="shared" si="59"/>
        <v>0.18868182684282603</v>
      </c>
      <c r="AD110" s="73">
        <f t="shared" si="60"/>
        <v>1206.0988078320233</v>
      </c>
      <c r="AE110" s="71">
        <f t="shared" si="61"/>
        <v>193.25470065891747</v>
      </c>
      <c r="AF110" s="74">
        <f t="shared" si="62"/>
        <v>5.8832255699238623</v>
      </c>
      <c r="AG110" s="75">
        <f t="shared" si="63"/>
        <v>6.8533460950324523</v>
      </c>
      <c r="AH110" s="76">
        <f t="shared" si="64"/>
        <v>4.3012267184041919</v>
      </c>
      <c r="AI110" s="77">
        <f t="shared" si="65"/>
        <v>5.8863195365121408</v>
      </c>
    </row>
    <row r="111" spans="1:35" ht="15.75" customHeight="1" x14ac:dyDescent="0.45">
      <c r="A111" s="59">
        <f t="shared" si="41"/>
        <v>45855</v>
      </c>
      <c r="B111" s="60">
        <v>2025</v>
      </c>
      <c r="C111" s="60">
        <v>7</v>
      </c>
      <c r="D111" s="60">
        <v>17</v>
      </c>
      <c r="E111" s="61">
        <v>198</v>
      </c>
      <c r="F111" s="62">
        <v>35</v>
      </c>
      <c r="G111" s="62">
        <v>15</v>
      </c>
      <c r="H111" s="70">
        <f t="shared" si="42"/>
        <v>25</v>
      </c>
      <c r="I111" s="62">
        <v>98</v>
      </c>
      <c r="J111" s="62">
        <v>75</v>
      </c>
      <c r="K111" s="62">
        <v>1</v>
      </c>
      <c r="L111" s="62">
        <v>30</v>
      </c>
      <c r="M111" s="71">
        <f t="shared" si="43"/>
        <v>21.140203871248858</v>
      </c>
      <c r="N111" s="72">
        <f t="shared" si="44"/>
        <v>0.36896702489953004</v>
      </c>
      <c r="O111" s="72">
        <f t="shared" si="45"/>
        <v>1.8876339539817568</v>
      </c>
      <c r="P111" s="72">
        <f t="shared" si="46"/>
        <v>0.96816780155292315</v>
      </c>
      <c r="Q111" s="71">
        <f t="shared" si="47"/>
        <v>40.455418319402533</v>
      </c>
      <c r="R111" s="72">
        <f t="shared" si="48"/>
        <v>0.98311406710195426</v>
      </c>
      <c r="S111" s="71">
        <f t="shared" si="49"/>
        <v>14.420427455933972</v>
      </c>
      <c r="T111" s="72">
        <f t="shared" si="50"/>
        <v>5.6226812384961216</v>
      </c>
      <c r="U111" s="72">
        <f t="shared" si="51"/>
        <v>1.7053462321157722</v>
      </c>
      <c r="V111" s="72">
        <f t="shared" si="52"/>
        <v>4.2170109288720914</v>
      </c>
      <c r="W111" s="72">
        <f t="shared" si="53"/>
        <v>1.6712393074734566</v>
      </c>
      <c r="X111" s="72">
        <f t="shared" si="54"/>
        <v>2.9441251181727739</v>
      </c>
      <c r="Y111" s="72">
        <f t="shared" si="55"/>
        <v>0.71988861713317309</v>
      </c>
      <c r="Z111" s="72">
        <f t="shared" si="56"/>
        <v>3.7971789191404568</v>
      </c>
      <c r="AA111" s="72">
        <f t="shared" si="57"/>
        <v>19.302821080859545</v>
      </c>
      <c r="AB111" s="72">
        <f t="shared" si="58"/>
        <v>3.1677777175068473</v>
      </c>
      <c r="AC111" s="72">
        <f t="shared" si="59"/>
        <v>0.18868182684282603</v>
      </c>
      <c r="AD111" s="73">
        <f t="shared" si="60"/>
        <v>1206.0988078320233</v>
      </c>
      <c r="AE111" s="71">
        <f t="shared" si="61"/>
        <v>193.25470065891747</v>
      </c>
      <c r="AF111" s="74">
        <f t="shared" si="62"/>
        <v>5.8802450753486921</v>
      </c>
      <c r="AG111" s="75">
        <f t="shared" si="63"/>
        <v>6.8390302310259088</v>
      </c>
      <c r="AH111" s="76">
        <f t="shared" si="64"/>
        <v>4.3012267184041919</v>
      </c>
      <c r="AI111" s="77">
        <f t="shared" si="65"/>
        <v>5.8833583551896727</v>
      </c>
    </row>
    <row r="112" spans="1:35" ht="15.75" customHeight="1" x14ac:dyDescent="0.45">
      <c r="A112" s="59">
        <f t="shared" si="41"/>
        <v>45856</v>
      </c>
      <c r="B112" s="60">
        <v>2025</v>
      </c>
      <c r="C112" s="60">
        <v>7</v>
      </c>
      <c r="D112" s="60">
        <v>18</v>
      </c>
      <c r="E112" s="61">
        <v>199</v>
      </c>
      <c r="F112" s="62">
        <v>35</v>
      </c>
      <c r="G112" s="62">
        <v>15</v>
      </c>
      <c r="H112" s="70">
        <f t="shared" si="42"/>
        <v>25</v>
      </c>
      <c r="I112" s="62">
        <v>98</v>
      </c>
      <c r="J112" s="62">
        <v>75</v>
      </c>
      <c r="K112" s="62">
        <v>1</v>
      </c>
      <c r="L112" s="62">
        <v>30</v>
      </c>
      <c r="M112" s="71">
        <f t="shared" si="43"/>
        <v>20.962379664337746</v>
      </c>
      <c r="N112" s="72">
        <f t="shared" si="44"/>
        <v>0.36586339974157484</v>
      </c>
      <c r="O112" s="72">
        <f t="shared" si="45"/>
        <v>1.8846138340357816</v>
      </c>
      <c r="P112" s="72">
        <f t="shared" si="46"/>
        <v>0.96832229532122505</v>
      </c>
      <c r="Q112" s="71">
        <f t="shared" si="47"/>
        <v>40.367628037517434</v>
      </c>
      <c r="R112" s="72">
        <f t="shared" si="48"/>
        <v>0.98633949817998601</v>
      </c>
      <c r="S112" s="71">
        <f t="shared" si="49"/>
        <v>14.397355493015903</v>
      </c>
      <c r="T112" s="72">
        <f t="shared" si="50"/>
        <v>5.6226812384961216</v>
      </c>
      <c r="U112" s="72">
        <f t="shared" si="51"/>
        <v>1.7053462321157722</v>
      </c>
      <c r="V112" s="72">
        <f t="shared" si="52"/>
        <v>4.2170109288720914</v>
      </c>
      <c r="W112" s="72">
        <f t="shared" si="53"/>
        <v>1.6712393074734566</v>
      </c>
      <c r="X112" s="72">
        <f t="shared" si="54"/>
        <v>2.9441251181727739</v>
      </c>
      <c r="Y112" s="72">
        <f t="shared" si="55"/>
        <v>0.71988861713317309</v>
      </c>
      <c r="Z112" s="72">
        <f t="shared" si="56"/>
        <v>3.8083718062522705</v>
      </c>
      <c r="AA112" s="72">
        <f t="shared" si="57"/>
        <v>19.29162819374773</v>
      </c>
      <c r="AB112" s="72">
        <f t="shared" si="58"/>
        <v>3.1677777175068473</v>
      </c>
      <c r="AC112" s="72">
        <f t="shared" si="59"/>
        <v>0.18868182684282603</v>
      </c>
      <c r="AD112" s="73">
        <f t="shared" si="60"/>
        <v>1206.0988078320233</v>
      </c>
      <c r="AE112" s="71">
        <f t="shared" si="61"/>
        <v>193.25470065891747</v>
      </c>
      <c r="AF112" s="74">
        <f t="shared" si="62"/>
        <v>5.8771420405360946</v>
      </c>
      <c r="AG112" s="75">
        <f t="shared" si="63"/>
        <v>6.8241891932429786</v>
      </c>
      <c r="AH112" s="76">
        <f t="shared" si="64"/>
        <v>4.3012267184041919</v>
      </c>
      <c r="AI112" s="77">
        <f t="shared" si="65"/>
        <v>5.8802754276760387</v>
      </c>
    </row>
    <row r="113" spans="1:35" ht="15.75" customHeight="1" x14ac:dyDescent="0.45">
      <c r="A113" s="59">
        <f t="shared" si="41"/>
        <v>45857</v>
      </c>
      <c r="B113" s="60">
        <v>2025</v>
      </c>
      <c r="C113" s="60">
        <v>7</v>
      </c>
      <c r="D113" s="60">
        <v>19</v>
      </c>
      <c r="E113" s="61">
        <v>200</v>
      </c>
      <c r="F113" s="62">
        <v>35</v>
      </c>
      <c r="G113" s="62">
        <v>15</v>
      </c>
      <c r="H113" s="70">
        <f t="shared" si="42"/>
        <v>25</v>
      </c>
      <c r="I113" s="62">
        <v>98</v>
      </c>
      <c r="J113" s="62">
        <v>75</v>
      </c>
      <c r="K113" s="62">
        <v>1</v>
      </c>
      <c r="L113" s="62">
        <v>30</v>
      </c>
      <c r="M113" s="71">
        <f t="shared" si="43"/>
        <v>20.778343822876703</v>
      </c>
      <c r="N113" s="72">
        <f t="shared" si="44"/>
        <v>0.36265136085527472</v>
      </c>
      <c r="O113" s="72">
        <f t="shared" si="45"/>
        <v>1.8814988723942019</v>
      </c>
      <c r="P113" s="72">
        <f t="shared" si="46"/>
        <v>0.96848617592098396</v>
      </c>
      <c r="Q113" s="71">
        <f t="shared" si="47"/>
        <v>40.276735680680034</v>
      </c>
      <c r="R113" s="72">
        <f t="shared" si="48"/>
        <v>0.9896937148950935</v>
      </c>
      <c r="S113" s="71">
        <f t="shared" si="49"/>
        <v>14.373558994608112</v>
      </c>
      <c r="T113" s="72">
        <f t="shared" si="50"/>
        <v>5.6226812384961216</v>
      </c>
      <c r="U113" s="72">
        <f t="shared" si="51"/>
        <v>1.7053462321157722</v>
      </c>
      <c r="V113" s="72">
        <f t="shared" si="52"/>
        <v>4.2170109288720914</v>
      </c>
      <c r="W113" s="72">
        <f t="shared" si="53"/>
        <v>1.6712393074734566</v>
      </c>
      <c r="X113" s="72">
        <f t="shared" si="54"/>
        <v>2.9441251181727739</v>
      </c>
      <c r="Y113" s="72">
        <f t="shared" si="55"/>
        <v>0.71988861713317309</v>
      </c>
      <c r="Z113" s="72">
        <f t="shared" si="56"/>
        <v>3.820011605129531</v>
      </c>
      <c r="AA113" s="72">
        <f t="shared" si="57"/>
        <v>19.279988394870472</v>
      </c>
      <c r="AB113" s="72">
        <f t="shared" si="58"/>
        <v>3.1677777175068473</v>
      </c>
      <c r="AC113" s="72">
        <f t="shared" si="59"/>
        <v>0.18868182684282603</v>
      </c>
      <c r="AD113" s="73">
        <f t="shared" si="60"/>
        <v>1206.0988078320233</v>
      </c>
      <c r="AE113" s="71">
        <f t="shared" si="61"/>
        <v>193.25470065891747</v>
      </c>
      <c r="AF113" s="74">
        <f t="shared" si="62"/>
        <v>5.8739151071482274</v>
      </c>
      <c r="AG113" s="75">
        <f t="shared" si="63"/>
        <v>6.8088237464869374</v>
      </c>
      <c r="AH113" s="76">
        <f t="shared" si="64"/>
        <v>4.3012267184041919</v>
      </c>
      <c r="AI113" s="77">
        <f t="shared" si="65"/>
        <v>5.8770694044352627</v>
      </c>
    </row>
    <row r="114" spans="1:35" ht="15.75" customHeight="1" x14ac:dyDescent="0.45">
      <c r="A114" s="59">
        <f t="shared" si="41"/>
        <v>45858</v>
      </c>
      <c r="B114" s="60">
        <v>2025</v>
      </c>
      <c r="C114" s="60">
        <v>7</v>
      </c>
      <c r="D114" s="60">
        <v>20</v>
      </c>
      <c r="E114" s="61">
        <v>201</v>
      </c>
      <c r="F114" s="62">
        <v>35</v>
      </c>
      <c r="G114" s="62">
        <v>15</v>
      </c>
      <c r="H114" s="70">
        <f t="shared" si="42"/>
        <v>25</v>
      </c>
      <c r="I114" s="62">
        <v>98</v>
      </c>
      <c r="J114" s="62">
        <v>75</v>
      </c>
      <c r="K114" s="62">
        <v>1</v>
      </c>
      <c r="L114" s="62">
        <v>30</v>
      </c>
      <c r="M114" s="71">
        <f t="shared" si="43"/>
        <v>20.588150880912405</v>
      </c>
      <c r="N114" s="72">
        <f t="shared" si="44"/>
        <v>0.35933186004152445</v>
      </c>
      <c r="O114" s="72">
        <f t="shared" si="45"/>
        <v>1.8782909217745445</v>
      </c>
      <c r="P114" s="72">
        <f t="shared" si="46"/>
        <v>0.96865939479061414</v>
      </c>
      <c r="Q114" s="71">
        <f t="shared" si="47"/>
        <v>40.182746056786733</v>
      </c>
      <c r="R114" s="72">
        <f t="shared" si="48"/>
        <v>0.99317818934542923</v>
      </c>
      <c r="S114" s="71">
        <f t="shared" si="49"/>
        <v>14.349052114396827</v>
      </c>
      <c r="T114" s="72">
        <f t="shared" si="50"/>
        <v>5.6226812384961216</v>
      </c>
      <c r="U114" s="72">
        <f t="shared" si="51"/>
        <v>1.7053462321157722</v>
      </c>
      <c r="V114" s="72">
        <f t="shared" si="52"/>
        <v>4.2170109288720914</v>
      </c>
      <c r="W114" s="72">
        <f t="shared" si="53"/>
        <v>1.6712393074734566</v>
      </c>
      <c r="X114" s="72">
        <f t="shared" si="54"/>
        <v>2.9441251181727739</v>
      </c>
      <c r="Y114" s="72">
        <f t="shared" si="55"/>
        <v>0.71988861713317309</v>
      </c>
      <c r="Z114" s="72">
        <f t="shared" si="56"/>
        <v>3.8321034242455059</v>
      </c>
      <c r="AA114" s="72">
        <f t="shared" si="57"/>
        <v>19.267896575754495</v>
      </c>
      <c r="AB114" s="72">
        <f t="shared" si="58"/>
        <v>3.1677777175068473</v>
      </c>
      <c r="AC114" s="72">
        <f t="shared" si="59"/>
        <v>0.18868182684282603</v>
      </c>
      <c r="AD114" s="73">
        <f t="shared" si="60"/>
        <v>1206.0988078320233</v>
      </c>
      <c r="AE114" s="71">
        <f t="shared" si="61"/>
        <v>193.25470065891747</v>
      </c>
      <c r="AF114" s="74">
        <f t="shared" si="62"/>
        <v>5.8705628589490217</v>
      </c>
      <c r="AG114" s="75">
        <f t="shared" si="63"/>
        <v>6.7929347035376324</v>
      </c>
      <c r="AH114" s="76">
        <f t="shared" si="64"/>
        <v>4.3012267184041919</v>
      </c>
      <c r="AI114" s="77">
        <f t="shared" si="65"/>
        <v>5.8737388784083207</v>
      </c>
    </row>
    <row r="115" spans="1:35" ht="15.75" customHeight="1" x14ac:dyDescent="0.45">
      <c r="A115" s="59">
        <f t="shared" si="41"/>
        <v>45859</v>
      </c>
      <c r="B115" s="60">
        <v>2025</v>
      </c>
      <c r="C115" s="60">
        <v>7</v>
      </c>
      <c r="D115" s="60">
        <v>21</v>
      </c>
      <c r="E115" s="61">
        <v>202</v>
      </c>
      <c r="F115" s="62">
        <v>35</v>
      </c>
      <c r="G115" s="62">
        <v>15</v>
      </c>
      <c r="H115" s="70">
        <f t="shared" si="42"/>
        <v>25</v>
      </c>
      <c r="I115" s="62">
        <v>98</v>
      </c>
      <c r="J115" s="62">
        <v>75</v>
      </c>
      <c r="K115" s="62">
        <v>1</v>
      </c>
      <c r="L115" s="62">
        <v>30</v>
      </c>
      <c r="M115" s="71">
        <f t="shared" si="43"/>
        <v>20.391857196981835</v>
      </c>
      <c r="N115" s="72">
        <f t="shared" si="44"/>
        <v>0.35590588094465631</v>
      </c>
      <c r="O115" s="72">
        <f t="shared" si="45"/>
        <v>1.8749918587875989</v>
      </c>
      <c r="P115" s="72">
        <f t="shared" si="46"/>
        <v>0.96884190060138597</v>
      </c>
      <c r="Q115" s="71">
        <f t="shared" si="47"/>
        <v>40.085664284441954</v>
      </c>
      <c r="R115" s="72">
        <f t="shared" si="48"/>
        <v>0.99679445435277958</v>
      </c>
      <c r="S115" s="71">
        <f t="shared" si="49"/>
        <v>14.323849188598922</v>
      </c>
      <c r="T115" s="72">
        <f t="shared" si="50"/>
        <v>5.6226812384961216</v>
      </c>
      <c r="U115" s="72">
        <f t="shared" si="51"/>
        <v>1.7053462321157722</v>
      </c>
      <c r="V115" s="72">
        <f t="shared" si="52"/>
        <v>4.2170109288720914</v>
      </c>
      <c r="W115" s="72">
        <f t="shared" si="53"/>
        <v>1.6712393074734566</v>
      </c>
      <c r="X115" s="72">
        <f t="shared" si="54"/>
        <v>2.9441251181727739</v>
      </c>
      <c r="Y115" s="72">
        <f t="shared" si="55"/>
        <v>0.71988861713317309</v>
      </c>
      <c r="Z115" s="72">
        <f t="shared" si="56"/>
        <v>3.844652582796547</v>
      </c>
      <c r="AA115" s="72">
        <f t="shared" si="57"/>
        <v>19.255347417203453</v>
      </c>
      <c r="AB115" s="72">
        <f t="shared" si="58"/>
        <v>3.1677777175068473</v>
      </c>
      <c r="AC115" s="72">
        <f t="shared" si="59"/>
        <v>0.18868182684282603</v>
      </c>
      <c r="AD115" s="73">
        <f t="shared" si="60"/>
        <v>1206.0988078320233</v>
      </c>
      <c r="AE115" s="71">
        <f t="shared" si="61"/>
        <v>193.25470065891747</v>
      </c>
      <c r="AF115" s="74">
        <f t="shared" si="62"/>
        <v>5.8670838212830763</v>
      </c>
      <c r="AG115" s="75">
        <f t="shared" si="63"/>
        <v>6.7765229297004295</v>
      </c>
      <c r="AH115" s="76">
        <f t="shared" si="64"/>
        <v>4.3012267184041919</v>
      </c>
      <c r="AI115" s="77">
        <f t="shared" si="65"/>
        <v>5.870282384495404</v>
      </c>
    </row>
    <row r="116" spans="1:35" ht="15.75" customHeight="1" x14ac:dyDescent="0.45">
      <c r="A116" s="59">
        <f t="shared" si="41"/>
        <v>45860</v>
      </c>
      <c r="B116" s="60">
        <v>2025</v>
      </c>
      <c r="C116" s="60">
        <v>7</v>
      </c>
      <c r="D116" s="60">
        <v>22</v>
      </c>
      <c r="E116" s="61">
        <v>203</v>
      </c>
      <c r="F116" s="62">
        <v>35</v>
      </c>
      <c r="G116" s="62">
        <v>15</v>
      </c>
      <c r="H116" s="70">
        <f t="shared" si="42"/>
        <v>25</v>
      </c>
      <c r="I116" s="62">
        <v>98</v>
      </c>
      <c r="J116" s="62">
        <v>75</v>
      </c>
      <c r="K116" s="62">
        <v>1</v>
      </c>
      <c r="L116" s="62">
        <v>30</v>
      </c>
      <c r="M116" s="71">
        <f t="shared" si="43"/>
        <v>20.189520937411931</v>
      </c>
      <c r="N116" s="72">
        <f t="shared" si="44"/>
        <v>0.35237443876096292</v>
      </c>
      <c r="O116" s="72">
        <f t="shared" si="45"/>
        <v>1.8716035806065698</v>
      </c>
      <c r="P116" s="72">
        <f t="shared" si="46"/>
        <v>0.9690336392726363</v>
      </c>
      <c r="Q116" s="71">
        <f t="shared" si="47"/>
        <v>39.985495821222337</v>
      </c>
      <c r="R116" s="72">
        <f t="shared" si="48"/>
        <v>1</v>
      </c>
      <c r="S116" s="71">
        <f t="shared" si="49"/>
        <v>14.297964710516196</v>
      </c>
      <c r="T116" s="72">
        <f t="shared" si="50"/>
        <v>5.6226812384961216</v>
      </c>
      <c r="U116" s="72">
        <f t="shared" si="51"/>
        <v>1.7053462321157722</v>
      </c>
      <c r="V116" s="72">
        <f t="shared" si="52"/>
        <v>4.2170109288720914</v>
      </c>
      <c r="W116" s="72">
        <f t="shared" si="53"/>
        <v>1.6712393074734566</v>
      </c>
      <c r="X116" s="72">
        <f t="shared" si="54"/>
        <v>2.9441251181727739</v>
      </c>
      <c r="Y116" s="72">
        <f t="shared" si="55"/>
        <v>0.71988861713317309</v>
      </c>
      <c r="Z116" s="72">
        <f t="shared" si="56"/>
        <v>3.8557764635098803</v>
      </c>
      <c r="AA116" s="72">
        <f t="shared" si="57"/>
        <v>19.244223536490122</v>
      </c>
      <c r="AB116" s="72">
        <f t="shared" si="58"/>
        <v>3.1677777175068473</v>
      </c>
      <c r="AC116" s="72">
        <f t="shared" si="59"/>
        <v>0.18868182684282603</v>
      </c>
      <c r="AD116" s="73">
        <f t="shared" si="60"/>
        <v>1206.0988078320233</v>
      </c>
      <c r="AE116" s="71">
        <f t="shared" si="61"/>
        <v>193.25470065891747</v>
      </c>
      <c r="AF116" s="74">
        <f t="shared" si="62"/>
        <v>5.8639999173037172</v>
      </c>
      <c r="AG116" s="75">
        <f t="shared" si="63"/>
        <v>6.7595893475842903</v>
      </c>
      <c r="AH116" s="76">
        <f t="shared" si="64"/>
        <v>4.3012267184041919</v>
      </c>
      <c r="AI116" s="77">
        <f t="shared" si="65"/>
        <v>5.8672184638494684</v>
      </c>
    </row>
    <row r="117" spans="1:35" ht="15.75" customHeight="1" x14ac:dyDescent="0.45">
      <c r="A117" s="59">
        <f t="shared" si="41"/>
        <v>45861</v>
      </c>
      <c r="B117" s="60">
        <v>2025</v>
      </c>
      <c r="C117" s="60">
        <v>7</v>
      </c>
      <c r="D117" s="60">
        <v>23</v>
      </c>
      <c r="E117" s="61">
        <v>204</v>
      </c>
      <c r="F117" s="62">
        <v>35</v>
      </c>
      <c r="G117" s="62">
        <v>15</v>
      </c>
      <c r="H117" s="70">
        <f t="shared" si="42"/>
        <v>25</v>
      </c>
      <c r="I117" s="62">
        <v>98</v>
      </c>
      <c r="J117" s="62">
        <v>75</v>
      </c>
      <c r="K117" s="62">
        <v>1</v>
      </c>
      <c r="L117" s="62">
        <v>30</v>
      </c>
      <c r="M117" s="71">
        <f t="shared" si="43"/>
        <v>19.981202059083586</v>
      </c>
      <c r="N117" s="72">
        <f t="shared" si="44"/>
        <v>0.34873857993787222</v>
      </c>
      <c r="O117" s="72">
        <f t="shared" si="45"/>
        <v>1.8681280017025288</v>
      </c>
      <c r="P117" s="72">
        <f t="shared" si="46"/>
        <v>0.9692345539877929</v>
      </c>
      <c r="Q117" s="71">
        <f t="shared" si="47"/>
        <v>39.882246493275147</v>
      </c>
      <c r="R117" s="72">
        <f t="shared" si="48"/>
        <v>1</v>
      </c>
      <c r="S117" s="71">
        <f t="shared" si="49"/>
        <v>14.271413305596097</v>
      </c>
      <c r="T117" s="72">
        <f t="shared" si="50"/>
        <v>5.6226812384961216</v>
      </c>
      <c r="U117" s="72">
        <f t="shared" si="51"/>
        <v>1.7053462321157722</v>
      </c>
      <c r="V117" s="72">
        <f t="shared" si="52"/>
        <v>4.2170109288720914</v>
      </c>
      <c r="W117" s="72">
        <f t="shared" si="53"/>
        <v>1.6712393074734566</v>
      </c>
      <c r="X117" s="72">
        <f t="shared" si="54"/>
        <v>2.9441251181727739</v>
      </c>
      <c r="Y117" s="72">
        <f t="shared" si="55"/>
        <v>0.71988861713317309</v>
      </c>
      <c r="Z117" s="72">
        <f t="shared" si="56"/>
        <v>3.8557764635098803</v>
      </c>
      <c r="AA117" s="72">
        <f t="shared" si="57"/>
        <v>19.244223536490122</v>
      </c>
      <c r="AB117" s="72">
        <f t="shared" si="58"/>
        <v>3.1677777175068473</v>
      </c>
      <c r="AC117" s="72">
        <f t="shared" si="59"/>
        <v>0.18868182684282603</v>
      </c>
      <c r="AD117" s="73">
        <f t="shared" si="60"/>
        <v>1206.0988078320233</v>
      </c>
      <c r="AE117" s="71">
        <f t="shared" si="61"/>
        <v>193.25470065891747</v>
      </c>
      <c r="AF117" s="74">
        <f t="shared" si="62"/>
        <v>5.8639999173037172</v>
      </c>
      <c r="AG117" s="75">
        <f t="shared" si="63"/>
        <v>6.7421349421054257</v>
      </c>
      <c r="AH117" s="76">
        <f t="shared" si="64"/>
        <v>4.3012267184041919</v>
      </c>
      <c r="AI117" s="77">
        <f t="shared" si="65"/>
        <v>5.8672184638494684</v>
      </c>
    </row>
    <row r="118" spans="1:35" ht="15.75" customHeight="1" x14ac:dyDescent="0.45">
      <c r="A118" s="59">
        <f t="shared" si="41"/>
        <v>45862</v>
      </c>
      <c r="B118" s="60">
        <v>2025</v>
      </c>
      <c r="C118" s="60">
        <v>7</v>
      </c>
      <c r="D118" s="60">
        <v>24</v>
      </c>
      <c r="E118" s="61">
        <v>205</v>
      </c>
      <c r="F118" s="62">
        <v>35</v>
      </c>
      <c r="G118" s="62">
        <v>15</v>
      </c>
      <c r="H118" s="70">
        <f t="shared" si="42"/>
        <v>25</v>
      </c>
      <c r="I118" s="62">
        <v>98</v>
      </c>
      <c r="J118" s="62">
        <v>75</v>
      </c>
      <c r="K118" s="62">
        <v>1</v>
      </c>
      <c r="L118" s="62">
        <v>30</v>
      </c>
      <c r="M118" s="71">
        <f t="shared" si="43"/>
        <v>19.766962291665028</v>
      </c>
      <c r="N118" s="72">
        <f t="shared" si="44"/>
        <v>0.34499938186386025</v>
      </c>
      <c r="O118" s="72">
        <f t="shared" si="45"/>
        <v>1.8645670506554344</v>
      </c>
      <c r="P118" s="72">
        <f t="shared" si="46"/>
        <v>0.96944458521121102</v>
      </c>
      <c r="Q118" s="71">
        <f t="shared" si="47"/>
        <v>39.775922526222672</v>
      </c>
      <c r="R118" s="72">
        <f t="shared" si="48"/>
        <v>1</v>
      </c>
      <c r="S118" s="71">
        <f t="shared" si="49"/>
        <v>14.24420970706978</v>
      </c>
      <c r="T118" s="72">
        <f t="shared" si="50"/>
        <v>5.6226812384961216</v>
      </c>
      <c r="U118" s="72">
        <f t="shared" si="51"/>
        <v>1.7053462321157722</v>
      </c>
      <c r="V118" s="72">
        <f t="shared" si="52"/>
        <v>4.2170109288720914</v>
      </c>
      <c r="W118" s="72">
        <f t="shared" si="53"/>
        <v>1.6712393074734566</v>
      </c>
      <c r="X118" s="72">
        <f t="shared" si="54"/>
        <v>2.9441251181727739</v>
      </c>
      <c r="Y118" s="72">
        <f t="shared" si="55"/>
        <v>0.71988861713317309</v>
      </c>
      <c r="Z118" s="72">
        <f t="shared" si="56"/>
        <v>3.8557764635098803</v>
      </c>
      <c r="AA118" s="72">
        <f t="shared" si="57"/>
        <v>19.244223536490122</v>
      </c>
      <c r="AB118" s="72">
        <f t="shared" si="58"/>
        <v>3.1677777175068473</v>
      </c>
      <c r="AC118" s="72">
        <f t="shared" si="59"/>
        <v>0.18868182684282603</v>
      </c>
      <c r="AD118" s="73">
        <f t="shared" si="60"/>
        <v>1206.0988078320233</v>
      </c>
      <c r="AE118" s="71">
        <f t="shared" si="61"/>
        <v>193.25470065891747</v>
      </c>
      <c r="AF118" s="74">
        <f t="shared" si="62"/>
        <v>5.8639999173037172</v>
      </c>
      <c r="AG118" s="75">
        <f t="shared" si="63"/>
        <v>6.7241607657117104</v>
      </c>
      <c r="AH118" s="76">
        <f t="shared" si="64"/>
        <v>4.3012267184041919</v>
      </c>
      <c r="AI118" s="77">
        <f t="shared" si="65"/>
        <v>5.8672184638494684</v>
      </c>
    </row>
    <row r="119" spans="1:35" ht="15.75" customHeight="1" x14ac:dyDescent="0.45">
      <c r="A119" s="59">
        <f t="shared" si="41"/>
        <v>45863</v>
      </c>
      <c r="B119" s="60">
        <v>2025</v>
      </c>
      <c r="C119" s="60">
        <v>7</v>
      </c>
      <c r="D119" s="60">
        <v>25</v>
      </c>
      <c r="E119" s="61">
        <v>206</v>
      </c>
      <c r="F119" s="62">
        <v>35</v>
      </c>
      <c r="G119" s="62">
        <v>15</v>
      </c>
      <c r="H119" s="70">
        <f t="shared" si="42"/>
        <v>25</v>
      </c>
      <c r="I119" s="62">
        <v>98</v>
      </c>
      <c r="J119" s="62">
        <v>75</v>
      </c>
      <c r="K119" s="62">
        <v>1</v>
      </c>
      <c r="L119" s="62">
        <v>30</v>
      </c>
      <c r="M119" s="71">
        <f t="shared" si="43"/>
        <v>19.546865119319914</v>
      </c>
      <c r="N119" s="72">
        <f t="shared" si="44"/>
        <v>0.3411579525491969</v>
      </c>
      <c r="O119" s="72">
        <f t="shared" si="45"/>
        <v>1.8609226670492427</v>
      </c>
      <c r="P119" s="72">
        <f t="shared" si="46"/>
        <v>0.96966367070581549</v>
      </c>
      <c r="Q119" s="71">
        <f t="shared" si="47"/>
        <v>39.666530577336403</v>
      </c>
      <c r="R119" s="72">
        <f t="shared" si="48"/>
        <v>1</v>
      </c>
      <c r="S119" s="71">
        <f t="shared" si="49"/>
        <v>14.216368732232564</v>
      </c>
      <c r="T119" s="72">
        <f t="shared" si="50"/>
        <v>5.6226812384961216</v>
      </c>
      <c r="U119" s="72">
        <f t="shared" si="51"/>
        <v>1.7053462321157722</v>
      </c>
      <c r="V119" s="72">
        <f t="shared" si="52"/>
        <v>4.2170109288720914</v>
      </c>
      <c r="W119" s="72">
        <f t="shared" si="53"/>
        <v>1.6712393074734566</v>
      </c>
      <c r="X119" s="72">
        <f t="shared" si="54"/>
        <v>2.9441251181727739</v>
      </c>
      <c r="Y119" s="72">
        <f t="shared" si="55"/>
        <v>0.71988861713317309</v>
      </c>
      <c r="Z119" s="72">
        <f t="shared" si="56"/>
        <v>3.8557764635098803</v>
      </c>
      <c r="AA119" s="72">
        <f t="shared" si="57"/>
        <v>19.244223536490122</v>
      </c>
      <c r="AB119" s="72">
        <f t="shared" si="58"/>
        <v>3.1677777175068473</v>
      </c>
      <c r="AC119" s="72">
        <f t="shared" si="59"/>
        <v>0.18868182684282603</v>
      </c>
      <c r="AD119" s="73">
        <f t="shared" si="60"/>
        <v>1206.0988078320233</v>
      </c>
      <c r="AE119" s="71">
        <f t="shared" si="61"/>
        <v>193.25470065891747</v>
      </c>
      <c r="AF119" s="74">
        <f t="shared" si="62"/>
        <v>5.8639999173037172</v>
      </c>
      <c r="AG119" s="75">
        <f t="shared" si="63"/>
        <v>6.7056679438217621</v>
      </c>
      <c r="AH119" s="76">
        <f t="shared" si="64"/>
        <v>4.3012267184041919</v>
      </c>
      <c r="AI119" s="77">
        <f t="shared" si="65"/>
        <v>5.8672184638494684</v>
      </c>
    </row>
    <row r="120" spans="1:35" ht="15.75" customHeight="1" x14ac:dyDescent="0.45">
      <c r="A120" s="59">
        <f t="shared" si="41"/>
        <v>45864</v>
      </c>
      <c r="B120" s="60">
        <v>2025</v>
      </c>
      <c r="C120" s="60">
        <v>7</v>
      </c>
      <c r="D120" s="60">
        <v>26</v>
      </c>
      <c r="E120" s="61">
        <v>207</v>
      </c>
      <c r="F120" s="62">
        <v>35</v>
      </c>
      <c r="G120" s="62">
        <v>15</v>
      </c>
      <c r="H120" s="70">
        <f t="shared" si="42"/>
        <v>25</v>
      </c>
      <c r="I120" s="62">
        <v>98</v>
      </c>
      <c r="J120" s="62">
        <v>75</v>
      </c>
      <c r="K120" s="62">
        <v>1</v>
      </c>
      <c r="L120" s="62">
        <v>30</v>
      </c>
      <c r="M120" s="71">
        <f t="shared" si="43"/>
        <v>19.320975761895511</v>
      </c>
      <c r="N120" s="72">
        <f t="shared" si="44"/>
        <v>0.3372154302976163</v>
      </c>
      <c r="O120" s="72">
        <f t="shared" si="45"/>
        <v>1.8571967984588733</v>
      </c>
      <c r="P120" s="72">
        <f t="shared" si="46"/>
        <v>0.96989174555154223</v>
      </c>
      <c r="Q120" s="71">
        <f t="shared" si="47"/>
        <v>39.554077768938029</v>
      </c>
      <c r="R120" s="72">
        <f t="shared" si="48"/>
        <v>1</v>
      </c>
      <c r="S120" s="71">
        <f t="shared" si="49"/>
        <v>14.187905259426076</v>
      </c>
      <c r="T120" s="72">
        <f t="shared" si="50"/>
        <v>5.6226812384961216</v>
      </c>
      <c r="U120" s="72">
        <f t="shared" si="51"/>
        <v>1.7053462321157722</v>
      </c>
      <c r="V120" s="72">
        <f t="shared" si="52"/>
        <v>4.2170109288720914</v>
      </c>
      <c r="W120" s="72">
        <f t="shared" si="53"/>
        <v>1.6712393074734566</v>
      </c>
      <c r="X120" s="72">
        <f t="shared" si="54"/>
        <v>2.9441251181727739</v>
      </c>
      <c r="Y120" s="72">
        <f t="shared" si="55"/>
        <v>0.71988861713317309</v>
      </c>
      <c r="Z120" s="72">
        <f t="shared" si="56"/>
        <v>3.8557764635098803</v>
      </c>
      <c r="AA120" s="72">
        <f t="shared" si="57"/>
        <v>19.244223536490122</v>
      </c>
      <c r="AB120" s="72">
        <f t="shared" si="58"/>
        <v>3.1677777175068473</v>
      </c>
      <c r="AC120" s="72">
        <f t="shared" si="59"/>
        <v>0.18868182684282603</v>
      </c>
      <c r="AD120" s="73">
        <f t="shared" si="60"/>
        <v>1206.0988078320233</v>
      </c>
      <c r="AE120" s="71">
        <f t="shared" si="61"/>
        <v>193.25470065891747</v>
      </c>
      <c r="AF120" s="74">
        <f t="shared" si="62"/>
        <v>5.8639999173037172</v>
      </c>
      <c r="AG120" s="75">
        <f t="shared" si="63"/>
        <v>6.6866576804714173</v>
      </c>
      <c r="AH120" s="76">
        <f t="shared" si="64"/>
        <v>4.3012267184041919</v>
      </c>
      <c r="AI120" s="77">
        <f t="shared" si="65"/>
        <v>5.8672184638494684</v>
      </c>
    </row>
    <row r="121" spans="1:35" ht="15.75" customHeight="1" x14ac:dyDescent="0.45">
      <c r="A121" s="59">
        <f t="shared" si="41"/>
        <v>45865</v>
      </c>
      <c r="B121" s="60">
        <v>2025</v>
      </c>
      <c r="C121" s="60">
        <v>7</v>
      </c>
      <c r="D121" s="60">
        <v>27</v>
      </c>
      <c r="E121" s="61">
        <v>208</v>
      </c>
      <c r="F121" s="62">
        <v>35</v>
      </c>
      <c r="G121" s="62">
        <v>15</v>
      </c>
      <c r="H121" s="70">
        <f t="shared" si="42"/>
        <v>25</v>
      </c>
      <c r="I121" s="62">
        <v>98</v>
      </c>
      <c r="J121" s="62">
        <v>75</v>
      </c>
      <c r="K121" s="62">
        <v>1</v>
      </c>
      <c r="L121" s="62">
        <v>30</v>
      </c>
      <c r="M121" s="71">
        <f t="shared" si="43"/>
        <v>19.089361155596563</v>
      </c>
      <c r="N121" s="72">
        <f t="shared" si="44"/>
        <v>0.33317298336901202</v>
      </c>
      <c r="O121" s="72">
        <f t="shared" si="45"/>
        <v>1.8533913975360281</v>
      </c>
      <c r="P121" s="72">
        <f t="shared" si="46"/>
        <v>0.97012874216457612</v>
      </c>
      <c r="Q121" s="71">
        <f t="shared" si="47"/>
        <v>39.438571722976825</v>
      </c>
      <c r="R121" s="72">
        <f t="shared" si="48"/>
        <v>1</v>
      </c>
      <c r="S121" s="71">
        <f t="shared" si="49"/>
        <v>14.158834205775616</v>
      </c>
      <c r="T121" s="72">
        <f t="shared" si="50"/>
        <v>5.6226812384961216</v>
      </c>
      <c r="U121" s="72">
        <f t="shared" si="51"/>
        <v>1.7053462321157722</v>
      </c>
      <c r="V121" s="72">
        <f t="shared" si="52"/>
        <v>4.2170109288720914</v>
      </c>
      <c r="W121" s="72">
        <f t="shared" si="53"/>
        <v>1.6712393074734566</v>
      </c>
      <c r="X121" s="72">
        <f t="shared" si="54"/>
        <v>2.9441251181727739</v>
      </c>
      <c r="Y121" s="72">
        <f t="shared" si="55"/>
        <v>0.71988861713317309</v>
      </c>
      <c r="Z121" s="72">
        <f t="shared" si="56"/>
        <v>3.8557764635098803</v>
      </c>
      <c r="AA121" s="72">
        <f t="shared" si="57"/>
        <v>19.244223536490122</v>
      </c>
      <c r="AB121" s="72">
        <f t="shared" si="58"/>
        <v>3.1677777175068473</v>
      </c>
      <c r="AC121" s="72">
        <f t="shared" si="59"/>
        <v>0.18868182684282603</v>
      </c>
      <c r="AD121" s="73">
        <f t="shared" si="60"/>
        <v>1206.0988078320233</v>
      </c>
      <c r="AE121" s="71">
        <f t="shared" si="61"/>
        <v>193.25470065891747</v>
      </c>
      <c r="AF121" s="74">
        <f t="shared" si="62"/>
        <v>5.8639999173037172</v>
      </c>
      <c r="AG121" s="75">
        <f t="shared" si="63"/>
        <v>6.6671312641590657</v>
      </c>
      <c r="AH121" s="76">
        <f t="shared" si="64"/>
        <v>4.3012267184041919</v>
      </c>
      <c r="AI121" s="77">
        <f t="shared" si="65"/>
        <v>5.8672184638494684</v>
      </c>
    </row>
    <row r="122" spans="1:35" ht="15.75" customHeight="1" x14ac:dyDescent="0.45">
      <c r="A122" s="59">
        <f t="shared" si="41"/>
        <v>45866</v>
      </c>
      <c r="B122" s="60">
        <v>2025</v>
      </c>
      <c r="C122" s="60">
        <v>7</v>
      </c>
      <c r="D122" s="60">
        <v>28</v>
      </c>
      <c r="E122" s="61">
        <v>209</v>
      </c>
      <c r="F122" s="62">
        <v>35</v>
      </c>
      <c r="G122" s="62">
        <v>15</v>
      </c>
      <c r="H122" s="70">
        <f t="shared" si="42"/>
        <v>25</v>
      </c>
      <c r="I122" s="62">
        <v>98</v>
      </c>
      <c r="J122" s="62">
        <v>75</v>
      </c>
      <c r="K122" s="62">
        <v>1</v>
      </c>
      <c r="L122" s="62">
        <v>30</v>
      </c>
      <c r="M122" s="71">
        <f t="shared" si="43"/>
        <v>18.852089933150545</v>
      </c>
      <c r="N122" s="72">
        <f t="shared" si="44"/>
        <v>0.32903180963325418</v>
      </c>
      <c r="O122" s="72">
        <f t="shared" si="45"/>
        <v>1.8495084192001032</v>
      </c>
      <c r="P122" s="72">
        <f t="shared" si="46"/>
        <v>0.97037459031737761</v>
      </c>
      <c r="Q122" s="71">
        <f t="shared" si="47"/>
        <v>39.320020596725641</v>
      </c>
      <c r="R122" s="72">
        <f t="shared" si="48"/>
        <v>1</v>
      </c>
      <c r="S122" s="71">
        <f t="shared" si="49"/>
        <v>14.129170505730354</v>
      </c>
      <c r="T122" s="72">
        <f t="shared" si="50"/>
        <v>5.6226812384961216</v>
      </c>
      <c r="U122" s="72">
        <f t="shared" si="51"/>
        <v>1.7053462321157722</v>
      </c>
      <c r="V122" s="72">
        <f t="shared" si="52"/>
        <v>4.2170109288720914</v>
      </c>
      <c r="W122" s="72">
        <f t="shared" si="53"/>
        <v>1.6712393074734566</v>
      </c>
      <c r="X122" s="72">
        <f t="shared" si="54"/>
        <v>2.9441251181727739</v>
      </c>
      <c r="Y122" s="72">
        <f t="shared" si="55"/>
        <v>0.71988861713317309</v>
      </c>
      <c r="Z122" s="72">
        <f t="shared" si="56"/>
        <v>3.8557764635098803</v>
      </c>
      <c r="AA122" s="72">
        <f t="shared" si="57"/>
        <v>19.244223536490122</v>
      </c>
      <c r="AB122" s="72">
        <f t="shared" si="58"/>
        <v>3.1677777175068473</v>
      </c>
      <c r="AC122" s="72">
        <f t="shared" si="59"/>
        <v>0.18868182684282603</v>
      </c>
      <c r="AD122" s="73">
        <f t="shared" si="60"/>
        <v>1206.0988078320233</v>
      </c>
      <c r="AE122" s="71">
        <f t="shared" si="61"/>
        <v>193.25470065891747</v>
      </c>
      <c r="AF122" s="74">
        <f t="shared" si="62"/>
        <v>5.8639999173037172</v>
      </c>
      <c r="AG122" s="75">
        <f t="shared" si="63"/>
        <v>6.6470900738801086</v>
      </c>
      <c r="AH122" s="76">
        <f t="shared" si="64"/>
        <v>4.3012267184041919</v>
      </c>
      <c r="AI122" s="77">
        <f t="shared" si="65"/>
        <v>5.8672184638494684</v>
      </c>
    </row>
    <row r="123" spans="1:35" ht="15.75" customHeight="1" x14ac:dyDescent="0.45">
      <c r="A123" s="59">
        <f t="shared" si="41"/>
        <v>45867</v>
      </c>
      <c r="B123" s="60">
        <v>2025</v>
      </c>
      <c r="C123" s="60">
        <v>7</v>
      </c>
      <c r="D123" s="60">
        <v>29</v>
      </c>
      <c r="E123" s="61">
        <v>210</v>
      </c>
      <c r="F123" s="62">
        <v>35</v>
      </c>
      <c r="G123" s="62">
        <v>15</v>
      </c>
      <c r="H123" s="70">
        <f t="shared" si="42"/>
        <v>25</v>
      </c>
      <c r="I123" s="62">
        <v>98</v>
      </c>
      <c r="J123" s="62">
        <v>75</v>
      </c>
      <c r="K123" s="62">
        <v>1</v>
      </c>
      <c r="L123" s="62">
        <v>30</v>
      </c>
      <c r="M123" s="71">
        <f t="shared" si="43"/>
        <v>18.609232403470212</v>
      </c>
      <c r="N123" s="72">
        <f t="shared" si="44"/>
        <v>0.32479313621523342</v>
      </c>
      <c r="O123" s="72">
        <f t="shared" si="45"/>
        <v>1.8455498179396708</v>
      </c>
      <c r="P123" s="72">
        <f t="shared" si="46"/>
        <v>0.97062921715949235</v>
      </c>
      <c r="Q123" s="71">
        <f t="shared" si="47"/>
        <v>39.198433119530755</v>
      </c>
      <c r="R123" s="72">
        <f t="shared" si="48"/>
        <v>1</v>
      </c>
      <c r="S123" s="71">
        <f t="shared" si="49"/>
        <v>14.098929090448211</v>
      </c>
      <c r="T123" s="72">
        <f t="shared" si="50"/>
        <v>5.6226812384961216</v>
      </c>
      <c r="U123" s="72">
        <f t="shared" si="51"/>
        <v>1.7053462321157722</v>
      </c>
      <c r="V123" s="72">
        <f t="shared" si="52"/>
        <v>4.2170109288720914</v>
      </c>
      <c r="W123" s="72">
        <f t="shared" si="53"/>
        <v>1.6712393074734566</v>
      </c>
      <c r="X123" s="72">
        <f t="shared" si="54"/>
        <v>2.9441251181727739</v>
      </c>
      <c r="Y123" s="72">
        <f t="shared" si="55"/>
        <v>0.71988861713317309</v>
      </c>
      <c r="Z123" s="72">
        <f t="shared" si="56"/>
        <v>3.8557764635098803</v>
      </c>
      <c r="AA123" s="72">
        <f t="shared" si="57"/>
        <v>19.244223536490122</v>
      </c>
      <c r="AB123" s="72">
        <f t="shared" si="58"/>
        <v>3.1677777175068473</v>
      </c>
      <c r="AC123" s="72">
        <f t="shared" si="59"/>
        <v>0.18868182684282603</v>
      </c>
      <c r="AD123" s="73">
        <f t="shared" si="60"/>
        <v>1206.0988078320233</v>
      </c>
      <c r="AE123" s="71">
        <f t="shared" si="61"/>
        <v>193.25470065891747</v>
      </c>
      <c r="AF123" s="74">
        <f t="shared" si="62"/>
        <v>5.8639999173037172</v>
      </c>
      <c r="AG123" s="75">
        <f t="shared" si="63"/>
        <v>6.6265355853395409</v>
      </c>
      <c r="AH123" s="76">
        <f t="shared" si="64"/>
        <v>4.3012267184041919</v>
      </c>
      <c r="AI123" s="77">
        <f t="shared" si="65"/>
        <v>5.8672184638494684</v>
      </c>
    </row>
    <row r="124" spans="1:35" ht="15.75" customHeight="1" x14ac:dyDescent="0.45">
      <c r="A124" s="59">
        <f t="shared" si="41"/>
        <v>45868</v>
      </c>
      <c r="B124" s="60">
        <v>2025</v>
      </c>
      <c r="C124" s="60">
        <v>7</v>
      </c>
      <c r="D124" s="60">
        <v>30</v>
      </c>
      <c r="E124" s="61">
        <v>211</v>
      </c>
      <c r="F124" s="62">
        <v>35</v>
      </c>
      <c r="G124" s="62">
        <v>15</v>
      </c>
      <c r="H124" s="70">
        <f t="shared" si="42"/>
        <v>25</v>
      </c>
      <c r="I124" s="62">
        <v>98</v>
      </c>
      <c r="J124" s="62">
        <v>75</v>
      </c>
      <c r="K124" s="62">
        <v>1</v>
      </c>
      <c r="L124" s="62">
        <v>30</v>
      </c>
      <c r="M124" s="71">
        <f t="shared" si="43"/>
        <v>18.360860530819469</v>
      </c>
      <c r="N124" s="72">
        <f t="shared" si="44"/>
        <v>0.32045821913123579</v>
      </c>
      <c r="O124" s="72">
        <f t="shared" si="45"/>
        <v>1.8415175452292725</v>
      </c>
      <c r="P124" s="72">
        <f t="shared" si="46"/>
        <v>0.97089254723913887</v>
      </c>
      <c r="Q124" s="71">
        <f t="shared" si="47"/>
        <v>39.073818630543983</v>
      </c>
      <c r="R124" s="72">
        <f t="shared" si="48"/>
        <v>1</v>
      </c>
      <c r="S124" s="71">
        <f t="shared" si="49"/>
        <v>14.068124868061668</v>
      </c>
      <c r="T124" s="72">
        <f t="shared" si="50"/>
        <v>5.6226812384961216</v>
      </c>
      <c r="U124" s="72">
        <f t="shared" si="51"/>
        <v>1.7053462321157722</v>
      </c>
      <c r="V124" s="72">
        <f t="shared" si="52"/>
        <v>4.2170109288720914</v>
      </c>
      <c r="W124" s="72">
        <f t="shared" si="53"/>
        <v>1.6712393074734566</v>
      </c>
      <c r="X124" s="72">
        <f t="shared" si="54"/>
        <v>2.9441251181727739</v>
      </c>
      <c r="Y124" s="72">
        <f t="shared" si="55"/>
        <v>0.71988861713317309</v>
      </c>
      <c r="Z124" s="72">
        <f t="shared" si="56"/>
        <v>3.8557764635098803</v>
      </c>
      <c r="AA124" s="72">
        <f t="shared" si="57"/>
        <v>19.244223536490122</v>
      </c>
      <c r="AB124" s="72">
        <f t="shared" si="58"/>
        <v>3.1677777175068473</v>
      </c>
      <c r="AC124" s="72">
        <f t="shared" si="59"/>
        <v>0.18868182684282603</v>
      </c>
      <c r="AD124" s="73">
        <f t="shared" si="60"/>
        <v>1206.0988078320233</v>
      </c>
      <c r="AE124" s="71">
        <f t="shared" si="61"/>
        <v>193.25470065891747</v>
      </c>
      <c r="AF124" s="74">
        <f t="shared" si="62"/>
        <v>5.8639999173037172</v>
      </c>
      <c r="AG124" s="75">
        <f t="shared" si="63"/>
        <v>6.6054693773306212</v>
      </c>
      <c r="AH124" s="76">
        <f t="shared" si="64"/>
        <v>4.3012267184041919</v>
      </c>
      <c r="AI124" s="77">
        <f t="shared" si="65"/>
        <v>5.8672184638494684</v>
      </c>
    </row>
    <row r="125" spans="1:35" ht="15.75" customHeight="1" x14ac:dyDescent="0.45">
      <c r="A125" s="59">
        <f t="shared" si="41"/>
        <v>45869</v>
      </c>
      <c r="B125" s="60">
        <v>2025</v>
      </c>
      <c r="C125" s="60">
        <v>7</v>
      </c>
      <c r="D125" s="60">
        <v>31</v>
      </c>
      <c r="E125" s="61">
        <v>212</v>
      </c>
      <c r="F125" s="62">
        <v>35</v>
      </c>
      <c r="G125" s="62">
        <v>15</v>
      </c>
      <c r="H125" s="70">
        <f t="shared" si="42"/>
        <v>25</v>
      </c>
      <c r="I125" s="62">
        <v>98</v>
      </c>
      <c r="J125" s="62">
        <v>75</v>
      </c>
      <c r="K125" s="62">
        <v>1</v>
      </c>
      <c r="L125" s="62">
        <v>30</v>
      </c>
      <c r="M125" s="71">
        <f t="shared" si="43"/>
        <v>18.107047913488678</v>
      </c>
      <c r="N125" s="72">
        <f t="shared" si="44"/>
        <v>0.31602834291675569</v>
      </c>
      <c r="O125" s="72">
        <f t="shared" si="45"/>
        <v>1.8374135470655411</v>
      </c>
      <c r="P125" s="72">
        <f t="shared" si="46"/>
        <v>0.97116450252556663</v>
      </c>
      <c r="Q125" s="71">
        <f t="shared" si="47"/>
        <v>38.946187117358299</v>
      </c>
      <c r="R125" s="72">
        <f t="shared" si="48"/>
        <v>1</v>
      </c>
      <c r="S125" s="71">
        <f t="shared" si="49"/>
        <v>14.036772704855165</v>
      </c>
      <c r="T125" s="72">
        <f t="shared" si="50"/>
        <v>5.6226812384961216</v>
      </c>
      <c r="U125" s="72">
        <f t="shared" si="51"/>
        <v>1.7053462321157722</v>
      </c>
      <c r="V125" s="72">
        <f t="shared" si="52"/>
        <v>4.2170109288720914</v>
      </c>
      <c r="W125" s="72">
        <f t="shared" si="53"/>
        <v>1.6712393074734566</v>
      </c>
      <c r="X125" s="72">
        <f t="shared" si="54"/>
        <v>2.9441251181727739</v>
      </c>
      <c r="Y125" s="72">
        <f t="shared" si="55"/>
        <v>0.71988861713317309</v>
      </c>
      <c r="Z125" s="72">
        <f t="shared" si="56"/>
        <v>3.8557764635098803</v>
      </c>
      <c r="AA125" s="72">
        <f t="shared" si="57"/>
        <v>19.244223536490122</v>
      </c>
      <c r="AB125" s="72">
        <f t="shared" si="58"/>
        <v>3.1677777175068473</v>
      </c>
      <c r="AC125" s="72">
        <f t="shared" si="59"/>
        <v>0.18868182684282603</v>
      </c>
      <c r="AD125" s="73">
        <f t="shared" si="60"/>
        <v>1206.0988078320233</v>
      </c>
      <c r="AE125" s="71">
        <f t="shared" si="61"/>
        <v>193.25470065891747</v>
      </c>
      <c r="AF125" s="74">
        <f t="shared" si="62"/>
        <v>5.8639999173037172</v>
      </c>
      <c r="AG125" s="75">
        <f t="shared" si="63"/>
        <v>6.5838931382662524</v>
      </c>
      <c r="AH125" s="76">
        <f t="shared" si="64"/>
        <v>4.3012267184041919</v>
      </c>
      <c r="AI125" s="77">
        <f t="shared" si="65"/>
        <v>5.8672184638494684</v>
      </c>
    </row>
    <row r="126" spans="1:35" ht="15.75" customHeight="1" x14ac:dyDescent="0.45">
      <c r="A126" s="59">
        <f t="shared" si="41"/>
        <v>45870</v>
      </c>
      <c r="B126" s="60">
        <v>2025</v>
      </c>
      <c r="C126" s="60">
        <v>8</v>
      </c>
      <c r="D126" s="60">
        <v>1</v>
      </c>
      <c r="E126" s="61">
        <v>213</v>
      </c>
      <c r="F126" s="62">
        <v>35</v>
      </c>
      <c r="G126" s="62">
        <v>15</v>
      </c>
      <c r="H126" s="70">
        <f t="shared" si="42"/>
        <v>25</v>
      </c>
      <c r="I126" s="62">
        <v>98</v>
      </c>
      <c r="J126" s="62">
        <v>75</v>
      </c>
      <c r="K126" s="62">
        <v>1</v>
      </c>
      <c r="L126" s="62">
        <v>30</v>
      </c>
      <c r="M126" s="71">
        <f t="shared" si="43"/>
        <v>17.847869761985827</v>
      </c>
      <c r="N126" s="72">
        <f t="shared" si="44"/>
        <v>0.31150482024585929</v>
      </c>
      <c r="O126" s="72">
        <f t="shared" si="45"/>
        <v>1.8332397616259564</v>
      </c>
      <c r="P126" s="72">
        <f t="shared" si="46"/>
        <v>0.97144500243217802</v>
      </c>
      <c r="Q126" s="71">
        <f t="shared" si="47"/>
        <v>38.815549255462386</v>
      </c>
      <c r="R126" s="72">
        <f t="shared" si="48"/>
        <v>1</v>
      </c>
      <c r="S126" s="71">
        <f t="shared" si="49"/>
        <v>14.004887407379346</v>
      </c>
      <c r="T126" s="72">
        <f t="shared" si="50"/>
        <v>5.6226812384961216</v>
      </c>
      <c r="U126" s="72">
        <f t="shared" si="51"/>
        <v>1.7053462321157722</v>
      </c>
      <c r="V126" s="72">
        <f t="shared" si="52"/>
        <v>4.2170109288720914</v>
      </c>
      <c r="W126" s="72">
        <f t="shared" si="53"/>
        <v>1.6712393074734566</v>
      </c>
      <c r="X126" s="72">
        <f t="shared" si="54"/>
        <v>2.9441251181727739</v>
      </c>
      <c r="Y126" s="72">
        <f t="shared" si="55"/>
        <v>0.71988861713317309</v>
      </c>
      <c r="Z126" s="72">
        <f t="shared" si="56"/>
        <v>3.8557764635098803</v>
      </c>
      <c r="AA126" s="72">
        <f t="shared" si="57"/>
        <v>19.244223536490122</v>
      </c>
      <c r="AB126" s="72">
        <f t="shared" si="58"/>
        <v>3.1677777175068473</v>
      </c>
      <c r="AC126" s="72">
        <f t="shared" si="59"/>
        <v>0.18868182684282603</v>
      </c>
      <c r="AD126" s="73">
        <f t="shared" si="60"/>
        <v>1206.0988078320233</v>
      </c>
      <c r="AE126" s="71">
        <f t="shared" si="61"/>
        <v>193.25470065891747</v>
      </c>
      <c r="AF126" s="74">
        <f t="shared" si="62"/>
        <v>5.8639999173037172</v>
      </c>
      <c r="AG126" s="75">
        <f t="shared" si="63"/>
        <v>6.5618086728488167</v>
      </c>
      <c r="AH126" s="76">
        <f t="shared" si="64"/>
        <v>4.3012267184041919</v>
      </c>
      <c r="AI126" s="77">
        <f t="shared" si="65"/>
        <v>5.8672184638494684</v>
      </c>
    </row>
    <row r="127" spans="1:35" ht="15.75" customHeight="1" x14ac:dyDescent="0.45">
      <c r="A127" s="59">
        <f t="shared" si="41"/>
        <v>45871</v>
      </c>
      <c r="B127" s="60">
        <v>2025</v>
      </c>
      <c r="C127" s="60">
        <v>8</v>
      </c>
      <c r="D127" s="60">
        <v>2</v>
      </c>
      <c r="E127" s="61">
        <v>214</v>
      </c>
      <c r="F127" s="62">
        <v>35</v>
      </c>
      <c r="G127" s="62">
        <v>15</v>
      </c>
      <c r="H127" s="70">
        <f t="shared" si="42"/>
        <v>25</v>
      </c>
      <c r="I127" s="62">
        <v>98</v>
      </c>
      <c r="J127" s="62">
        <v>75</v>
      </c>
      <c r="K127" s="62">
        <v>1</v>
      </c>
      <c r="L127" s="62">
        <v>30</v>
      </c>
      <c r="M127" s="71">
        <f t="shared" si="43"/>
        <v>17.583402876749897</v>
      </c>
      <c r="N127" s="72">
        <f t="shared" si="44"/>
        <v>0.30688899154220817</v>
      </c>
      <c r="O127" s="72">
        <f t="shared" si="45"/>
        <v>1.8289981170528733</v>
      </c>
      <c r="P127" s="72">
        <f t="shared" si="46"/>
        <v>0.97173396384040822</v>
      </c>
      <c r="Q127" s="71">
        <f t="shared" si="47"/>
        <v>38.681916448422584</v>
      </c>
      <c r="R127" s="72">
        <f t="shared" si="48"/>
        <v>1</v>
      </c>
      <c r="S127" s="71">
        <f t="shared" si="49"/>
        <v>13.972483705522333</v>
      </c>
      <c r="T127" s="72">
        <f t="shared" si="50"/>
        <v>5.6226812384961216</v>
      </c>
      <c r="U127" s="72">
        <f t="shared" si="51"/>
        <v>1.7053462321157722</v>
      </c>
      <c r="V127" s="72">
        <f t="shared" si="52"/>
        <v>4.2170109288720914</v>
      </c>
      <c r="W127" s="72">
        <f t="shared" si="53"/>
        <v>1.6712393074734566</v>
      </c>
      <c r="X127" s="72">
        <f t="shared" si="54"/>
        <v>2.9441251181727739</v>
      </c>
      <c r="Y127" s="72">
        <f t="shared" si="55"/>
        <v>0.71988861713317309</v>
      </c>
      <c r="Z127" s="72">
        <f t="shared" si="56"/>
        <v>3.8557764635098803</v>
      </c>
      <c r="AA127" s="72">
        <f t="shared" si="57"/>
        <v>19.244223536490122</v>
      </c>
      <c r="AB127" s="72">
        <f t="shared" si="58"/>
        <v>3.1677777175068473</v>
      </c>
      <c r="AC127" s="72">
        <f t="shared" si="59"/>
        <v>0.18868182684282603</v>
      </c>
      <c r="AD127" s="73">
        <f t="shared" si="60"/>
        <v>1206.0988078320233</v>
      </c>
      <c r="AE127" s="71">
        <f t="shared" si="61"/>
        <v>193.25470065891747</v>
      </c>
      <c r="AF127" s="74">
        <f t="shared" si="62"/>
        <v>5.8639999173037172</v>
      </c>
      <c r="AG127" s="75">
        <f t="shared" si="63"/>
        <v>6.5392179088629767</v>
      </c>
      <c r="AH127" s="76">
        <f t="shared" si="64"/>
        <v>4.3012267184041919</v>
      </c>
      <c r="AI127" s="77">
        <f t="shared" si="65"/>
        <v>5.8672184638494684</v>
      </c>
    </row>
    <row r="128" spans="1:35" ht="15.75" customHeight="1" x14ac:dyDescent="0.45">
      <c r="A128" s="59">
        <f t="shared" si="41"/>
        <v>45872</v>
      </c>
      <c r="B128" s="60">
        <v>2025</v>
      </c>
      <c r="C128" s="60">
        <v>8</v>
      </c>
      <c r="D128" s="60">
        <v>3</v>
      </c>
      <c r="E128" s="61">
        <v>215</v>
      </c>
      <c r="F128" s="62">
        <v>35</v>
      </c>
      <c r="G128" s="62">
        <v>15</v>
      </c>
      <c r="H128" s="70">
        <f t="shared" si="42"/>
        <v>25</v>
      </c>
      <c r="I128" s="62">
        <v>98</v>
      </c>
      <c r="J128" s="62">
        <v>75</v>
      </c>
      <c r="K128" s="62">
        <v>1</v>
      </c>
      <c r="L128" s="62">
        <v>30</v>
      </c>
      <c r="M128" s="71">
        <f t="shared" si="43"/>
        <v>17.313725625393154</v>
      </c>
      <c r="N128" s="72">
        <f t="shared" si="44"/>
        <v>0.30218222458186184</v>
      </c>
      <c r="O128" s="72">
        <f t="shared" si="45"/>
        <v>1.824690529364805</v>
      </c>
      <c r="P128" s="72">
        <f t="shared" si="46"/>
        <v>0.97203130112435532</v>
      </c>
      <c r="Q128" s="71">
        <f t="shared" si="47"/>
        <v>38.545300868695641</v>
      </c>
      <c r="R128" s="72">
        <f t="shared" si="48"/>
        <v>1</v>
      </c>
      <c r="S128" s="71">
        <f t="shared" si="49"/>
        <v>13.939576236553133</v>
      </c>
      <c r="T128" s="72">
        <f t="shared" si="50"/>
        <v>5.6226812384961216</v>
      </c>
      <c r="U128" s="72">
        <f t="shared" si="51"/>
        <v>1.7053462321157722</v>
      </c>
      <c r="V128" s="72">
        <f t="shared" si="52"/>
        <v>4.2170109288720914</v>
      </c>
      <c r="W128" s="72">
        <f t="shared" si="53"/>
        <v>1.6712393074734566</v>
      </c>
      <c r="X128" s="72">
        <f t="shared" si="54"/>
        <v>2.9441251181727739</v>
      </c>
      <c r="Y128" s="72">
        <f t="shared" si="55"/>
        <v>0.71988861713317309</v>
      </c>
      <c r="Z128" s="72">
        <f t="shared" si="56"/>
        <v>3.8557764635098803</v>
      </c>
      <c r="AA128" s="72">
        <f t="shared" si="57"/>
        <v>19.244223536490122</v>
      </c>
      <c r="AB128" s="72">
        <f t="shared" si="58"/>
        <v>3.1677777175068473</v>
      </c>
      <c r="AC128" s="72">
        <f t="shared" si="59"/>
        <v>0.18868182684282603</v>
      </c>
      <c r="AD128" s="73">
        <f t="shared" si="60"/>
        <v>1206.0988078320233</v>
      </c>
      <c r="AE128" s="71">
        <f t="shared" si="61"/>
        <v>193.25470065891747</v>
      </c>
      <c r="AF128" s="74">
        <f t="shared" si="62"/>
        <v>5.8639999173037172</v>
      </c>
      <c r="AG128" s="75">
        <f t="shared" si="63"/>
        <v>6.516122904075111</v>
      </c>
      <c r="AH128" s="76">
        <f t="shared" si="64"/>
        <v>4.3012267184041919</v>
      </c>
      <c r="AI128" s="77">
        <f t="shared" si="65"/>
        <v>5.8672184638494684</v>
      </c>
    </row>
    <row r="129" spans="1:35" ht="15.75" customHeight="1" x14ac:dyDescent="0.45">
      <c r="A129" s="59">
        <f t="shared" si="41"/>
        <v>45873</v>
      </c>
      <c r="B129" s="60">
        <v>2025</v>
      </c>
      <c r="C129" s="60">
        <v>8</v>
      </c>
      <c r="D129" s="60">
        <v>4</v>
      </c>
      <c r="E129" s="61">
        <v>216</v>
      </c>
      <c r="F129" s="62">
        <v>35</v>
      </c>
      <c r="G129" s="62">
        <v>15</v>
      </c>
      <c r="H129" s="70">
        <f t="shared" si="42"/>
        <v>25</v>
      </c>
      <c r="I129" s="62">
        <v>98</v>
      </c>
      <c r="J129" s="62">
        <v>75</v>
      </c>
      <c r="K129" s="62">
        <v>1</v>
      </c>
      <c r="L129" s="62">
        <v>30</v>
      </c>
      <c r="M129" s="71">
        <f t="shared" si="43"/>
        <v>17.038917919479015</v>
      </c>
      <c r="N129" s="72">
        <f t="shared" si="44"/>
        <v>0.29738591408797377</v>
      </c>
      <c r="O129" s="72">
        <f t="shared" si="45"/>
        <v>1.8203189004963267</v>
      </c>
      <c r="P129" s="72">
        <f t="shared" si="46"/>
        <v>0.97233692617615297</v>
      </c>
      <c r="Q129" s="71">
        <f t="shared" si="47"/>
        <v>38.405715498969535</v>
      </c>
      <c r="R129" s="72">
        <f t="shared" si="48"/>
        <v>1</v>
      </c>
      <c r="S129" s="71">
        <f t="shared" si="49"/>
        <v>13.906179530147645</v>
      </c>
      <c r="T129" s="72">
        <f t="shared" si="50"/>
        <v>5.6226812384961216</v>
      </c>
      <c r="U129" s="72">
        <f t="shared" si="51"/>
        <v>1.7053462321157722</v>
      </c>
      <c r="V129" s="72">
        <f t="shared" si="52"/>
        <v>4.2170109288720914</v>
      </c>
      <c r="W129" s="72">
        <f t="shared" si="53"/>
        <v>1.6712393074734566</v>
      </c>
      <c r="X129" s="72">
        <f t="shared" si="54"/>
        <v>2.9441251181727739</v>
      </c>
      <c r="Y129" s="72">
        <f t="shared" si="55"/>
        <v>0.71988861713317309</v>
      </c>
      <c r="Z129" s="72">
        <f t="shared" si="56"/>
        <v>3.8557764635098803</v>
      </c>
      <c r="AA129" s="72">
        <f t="shared" si="57"/>
        <v>19.244223536490122</v>
      </c>
      <c r="AB129" s="72">
        <f t="shared" si="58"/>
        <v>3.1677777175068473</v>
      </c>
      <c r="AC129" s="72">
        <f t="shared" si="59"/>
        <v>0.18868182684282603</v>
      </c>
      <c r="AD129" s="73">
        <f t="shared" si="60"/>
        <v>1206.0988078320233</v>
      </c>
      <c r="AE129" s="71">
        <f t="shared" si="61"/>
        <v>193.25470065891747</v>
      </c>
      <c r="AF129" s="74">
        <f t="shared" si="62"/>
        <v>5.8639999173037172</v>
      </c>
      <c r="AG129" s="75">
        <f t="shared" si="63"/>
        <v>6.4925258532220278</v>
      </c>
      <c r="AH129" s="76">
        <f t="shared" si="64"/>
        <v>4.3012267184041919</v>
      </c>
      <c r="AI129" s="77">
        <f t="shared" si="65"/>
        <v>5.8672184638494684</v>
      </c>
    </row>
    <row r="130" spans="1:35" ht="15.75" customHeight="1" x14ac:dyDescent="0.45">
      <c r="A130" s="59">
        <f t="shared" si="41"/>
        <v>45874</v>
      </c>
      <c r="B130" s="60">
        <v>2025</v>
      </c>
      <c r="C130" s="60">
        <v>8</v>
      </c>
      <c r="D130" s="60">
        <v>5</v>
      </c>
      <c r="E130" s="61">
        <v>217</v>
      </c>
      <c r="F130" s="62">
        <v>35</v>
      </c>
      <c r="G130" s="62">
        <v>15</v>
      </c>
      <c r="H130" s="70">
        <f t="shared" si="42"/>
        <v>25</v>
      </c>
      <c r="I130" s="62">
        <v>98</v>
      </c>
      <c r="J130" s="62">
        <v>75</v>
      </c>
      <c r="K130" s="62">
        <v>1</v>
      </c>
      <c r="L130" s="62">
        <v>30</v>
      </c>
      <c r="M130" s="71">
        <f t="shared" si="43"/>
        <v>16.759061190842409</v>
      </c>
      <c r="N130" s="72">
        <f t="shared" si="44"/>
        <v>0.29250148131750286</v>
      </c>
      <c r="O130" s="72">
        <f t="shared" si="45"/>
        <v>1.8158851164673839</v>
      </c>
      <c r="P130" s="72">
        <f t="shared" si="46"/>
        <v>0.97265074843207888</v>
      </c>
      <c r="Q130" s="71">
        <f t="shared" si="47"/>
        <v>38.263174173924654</v>
      </c>
      <c r="R130" s="72">
        <f t="shared" si="48"/>
        <v>1</v>
      </c>
      <c r="S130" s="71">
        <f t="shared" si="49"/>
        <v>13.872307994403238</v>
      </c>
      <c r="T130" s="72">
        <f t="shared" si="50"/>
        <v>5.6226812384961216</v>
      </c>
      <c r="U130" s="72">
        <f t="shared" si="51"/>
        <v>1.7053462321157722</v>
      </c>
      <c r="V130" s="72">
        <f t="shared" si="52"/>
        <v>4.2170109288720914</v>
      </c>
      <c r="W130" s="72">
        <f t="shared" si="53"/>
        <v>1.6712393074734566</v>
      </c>
      <c r="X130" s="72">
        <f t="shared" si="54"/>
        <v>2.9441251181727739</v>
      </c>
      <c r="Y130" s="72">
        <f t="shared" si="55"/>
        <v>0.71988861713317309</v>
      </c>
      <c r="Z130" s="72">
        <f t="shared" si="56"/>
        <v>3.8557764635098803</v>
      </c>
      <c r="AA130" s="72">
        <f t="shared" si="57"/>
        <v>19.244223536490122</v>
      </c>
      <c r="AB130" s="72">
        <f t="shared" si="58"/>
        <v>3.1677777175068473</v>
      </c>
      <c r="AC130" s="72">
        <f t="shared" si="59"/>
        <v>0.18868182684282603</v>
      </c>
      <c r="AD130" s="73">
        <f t="shared" si="60"/>
        <v>1206.0988078320233</v>
      </c>
      <c r="AE130" s="71">
        <f t="shared" si="61"/>
        <v>193.25470065891747</v>
      </c>
      <c r="AF130" s="74">
        <f t="shared" si="62"/>
        <v>5.8639999173037172</v>
      </c>
      <c r="AG130" s="75">
        <f t="shared" si="63"/>
        <v>6.4684290950707242</v>
      </c>
      <c r="AH130" s="76">
        <f t="shared" si="64"/>
        <v>4.3012267184041919</v>
      </c>
      <c r="AI130" s="77">
        <f t="shared" si="65"/>
        <v>5.8672184638494684</v>
      </c>
    </row>
    <row r="131" spans="1:35" ht="15.75" customHeight="1" x14ac:dyDescent="0.45">
      <c r="A131" s="59">
        <f t="shared" si="41"/>
        <v>45875</v>
      </c>
      <c r="B131" s="60">
        <v>2025</v>
      </c>
      <c r="C131" s="60">
        <v>8</v>
      </c>
      <c r="D131" s="60">
        <v>6</v>
      </c>
      <c r="E131" s="61">
        <v>218</v>
      </c>
      <c r="F131" s="62">
        <v>35</v>
      </c>
      <c r="G131" s="62">
        <v>15</v>
      </c>
      <c r="H131" s="70">
        <f t="shared" si="42"/>
        <v>25</v>
      </c>
      <c r="I131" s="62">
        <v>98</v>
      </c>
      <c r="J131" s="62">
        <v>75</v>
      </c>
      <c r="K131" s="62">
        <v>1</v>
      </c>
      <c r="L131" s="62">
        <v>30</v>
      </c>
      <c r="M131" s="71">
        <f t="shared" si="43"/>
        <v>16.47423836745967</v>
      </c>
      <c r="N131" s="72">
        <f t="shared" si="44"/>
        <v>0.28753037364006279</v>
      </c>
      <c r="O131" s="72">
        <f t="shared" si="45"/>
        <v>1.8113910456822346</v>
      </c>
      <c r="P131" s="72">
        <f t="shared" si="46"/>
        <v>0.97297267489939077</v>
      </c>
      <c r="Q131" s="71">
        <f t="shared" si="47"/>
        <v>38.117691622303326</v>
      </c>
      <c r="R131" s="72">
        <f t="shared" si="48"/>
        <v>1</v>
      </c>
      <c r="S131" s="71">
        <f t="shared" si="49"/>
        <v>13.837975902843658</v>
      </c>
      <c r="T131" s="72">
        <f t="shared" si="50"/>
        <v>5.6226812384961216</v>
      </c>
      <c r="U131" s="72">
        <f t="shared" si="51"/>
        <v>1.7053462321157722</v>
      </c>
      <c r="V131" s="72">
        <f t="shared" si="52"/>
        <v>4.2170109288720914</v>
      </c>
      <c r="W131" s="72">
        <f t="shared" si="53"/>
        <v>1.6712393074734566</v>
      </c>
      <c r="X131" s="72">
        <f t="shared" si="54"/>
        <v>2.9441251181727739</v>
      </c>
      <c r="Y131" s="72">
        <f t="shared" si="55"/>
        <v>0.71988861713317309</v>
      </c>
      <c r="Z131" s="72">
        <f t="shared" si="56"/>
        <v>3.8557764635098803</v>
      </c>
      <c r="AA131" s="72">
        <f t="shared" si="57"/>
        <v>19.244223536490122</v>
      </c>
      <c r="AB131" s="72">
        <f t="shared" si="58"/>
        <v>3.1677777175068473</v>
      </c>
      <c r="AC131" s="72">
        <f t="shared" si="59"/>
        <v>0.18868182684282603</v>
      </c>
      <c r="AD131" s="73">
        <f t="shared" si="60"/>
        <v>1206.0988078320233</v>
      </c>
      <c r="AE131" s="71">
        <f t="shared" si="61"/>
        <v>193.25470065891747</v>
      </c>
      <c r="AF131" s="74">
        <f t="shared" si="62"/>
        <v>5.8639999173037172</v>
      </c>
      <c r="AG131" s="75">
        <f t="shared" si="63"/>
        <v>6.4438351195302985</v>
      </c>
      <c r="AH131" s="76">
        <f t="shared" si="64"/>
        <v>4.3012267184041919</v>
      </c>
      <c r="AI131" s="77">
        <f t="shared" si="65"/>
        <v>5.8672184638494684</v>
      </c>
    </row>
    <row r="132" spans="1:35" ht="15.75" customHeight="1" x14ac:dyDescent="0.45">
      <c r="A132" s="59">
        <f t="shared" ref="A132:A195" si="66">DATE(B132,C132,D132)</f>
        <v>45876</v>
      </c>
      <c r="B132" s="60">
        <v>2025</v>
      </c>
      <c r="C132" s="60">
        <v>8</v>
      </c>
      <c r="D132" s="60">
        <v>7</v>
      </c>
      <c r="E132" s="61">
        <v>219</v>
      </c>
      <c r="F132" s="62">
        <v>35</v>
      </c>
      <c r="G132" s="62">
        <v>15</v>
      </c>
      <c r="H132" s="70">
        <f t="shared" ref="H132:H195" si="67">(F132+G132)/2</f>
        <v>25</v>
      </c>
      <c r="I132" s="62">
        <v>98</v>
      </c>
      <c r="J132" s="62">
        <v>75</v>
      </c>
      <c r="K132" s="62">
        <v>1</v>
      </c>
      <c r="L132" s="62">
        <v>30</v>
      </c>
      <c r="M132" s="71">
        <f t="shared" ref="M132:M195" si="68">23.45*COS(2*3.1416/365*(E132-172))</f>
        <v>16.184533848875059</v>
      </c>
      <c r="N132" s="72">
        <f t="shared" ref="N132:N195" si="69">M132*3.1416/180</f>
        <v>0.2824740641090327</v>
      </c>
      <c r="O132" s="72">
        <f t="shared" si="45"/>
        <v>1.8068385373577491</v>
      </c>
      <c r="P132" s="72">
        <f t="shared" si="46"/>
        <v>0.97330261018388264</v>
      </c>
      <c r="Q132" s="71">
        <f t="shared" si="47"/>
        <v>37.969283509170694</v>
      </c>
      <c r="R132" s="72">
        <f t="shared" si="48"/>
        <v>1</v>
      </c>
      <c r="S132" s="71">
        <f t="shared" si="49"/>
        <v>13.80319738241214</v>
      </c>
      <c r="T132" s="72">
        <f t="shared" si="50"/>
        <v>5.6226812384961216</v>
      </c>
      <c r="U132" s="72">
        <f t="shared" si="51"/>
        <v>1.7053462321157722</v>
      </c>
      <c r="V132" s="72">
        <f t="shared" si="52"/>
        <v>4.2170109288720914</v>
      </c>
      <c r="W132" s="72">
        <f t="shared" si="53"/>
        <v>1.6712393074734566</v>
      </c>
      <c r="X132" s="72">
        <f t="shared" si="54"/>
        <v>2.9441251181727739</v>
      </c>
      <c r="Y132" s="72">
        <f t="shared" si="55"/>
        <v>0.71988861713317309</v>
      </c>
      <c r="Z132" s="72">
        <f t="shared" si="56"/>
        <v>3.8557764635098803</v>
      </c>
      <c r="AA132" s="72">
        <f t="shared" si="57"/>
        <v>19.244223536490122</v>
      </c>
      <c r="AB132" s="72">
        <f t="shared" si="58"/>
        <v>3.1677777175068473</v>
      </c>
      <c r="AC132" s="72">
        <f t="shared" si="59"/>
        <v>0.18868182684282603</v>
      </c>
      <c r="AD132" s="73">
        <f t="shared" si="60"/>
        <v>1206.0988078320233</v>
      </c>
      <c r="AE132" s="71">
        <f t="shared" si="61"/>
        <v>193.25470065891747</v>
      </c>
      <c r="AF132" s="74">
        <f t="shared" si="62"/>
        <v>5.8639999173037172</v>
      </c>
      <c r="AG132" s="75">
        <f t="shared" si="63"/>
        <v>6.4187465747961863</v>
      </c>
      <c r="AH132" s="76">
        <f t="shared" si="64"/>
        <v>4.3012267184041919</v>
      </c>
      <c r="AI132" s="77">
        <f t="shared" si="65"/>
        <v>5.8672184638494684</v>
      </c>
    </row>
    <row r="133" spans="1:35" ht="15.75" customHeight="1" x14ac:dyDescent="0.45">
      <c r="A133" s="59">
        <f t="shared" si="66"/>
        <v>45877</v>
      </c>
      <c r="B133" s="60">
        <v>2025</v>
      </c>
      <c r="C133" s="60">
        <v>8</v>
      </c>
      <c r="D133" s="60">
        <v>8</v>
      </c>
      <c r="E133" s="61">
        <v>220</v>
      </c>
      <c r="F133" s="62">
        <v>35</v>
      </c>
      <c r="G133" s="62">
        <v>15</v>
      </c>
      <c r="H133" s="70">
        <f t="shared" si="67"/>
        <v>25</v>
      </c>
      <c r="I133" s="62">
        <v>98</v>
      </c>
      <c r="J133" s="62">
        <v>75</v>
      </c>
      <c r="K133" s="62">
        <v>1</v>
      </c>
      <c r="L133" s="62">
        <v>30</v>
      </c>
      <c r="M133" s="71">
        <f t="shared" si="68"/>
        <v>15.890033481191251</v>
      </c>
      <c r="N133" s="72">
        <f t="shared" si="69"/>
        <v>0.27733405102505798</v>
      </c>
      <c r="O133" s="72">
        <f t="shared" si="45"/>
        <v>1.8022294200803053</v>
      </c>
      <c r="P133" s="72">
        <f t="shared" si="46"/>
        <v>0.97364045651815168</v>
      </c>
      <c r="Q133" s="71">
        <f t="shared" si="47"/>
        <v>37.817966478246987</v>
      </c>
      <c r="R133" s="72">
        <f t="shared" si="48"/>
        <v>1</v>
      </c>
      <c r="S133" s="71">
        <f t="shared" si="49"/>
        <v>13.767986402446947</v>
      </c>
      <c r="T133" s="72">
        <f t="shared" si="50"/>
        <v>5.6226812384961216</v>
      </c>
      <c r="U133" s="72">
        <f t="shared" si="51"/>
        <v>1.7053462321157722</v>
      </c>
      <c r="V133" s="72">
        <f t="shared" si="52"/>
        <v>4.2170109288720914</v>
      </c>
      <c r="W133" s="72">
        <f t="shared" si="53"/>
        <v>1.6712393074734566</v>
      </c>
      <c r="X133" s="72">
        <f t="shared" si="54"/>
        <v>2.9441251181727739</v>
      </c>
      <c r="Y133" s="72">
        <f t="shared" si="55"/>
        <v>0.71988861713317309</v>
      </c>
      <c r="Z133" s="72">
        <f t="shared" si="56"/>
        <v>3.8557764635098803</v>
      </c>
      <c r="AA133" s="72">
        <f t="shared" si="57"/>
        <v>19.244223536490122</v>
      </c>
      <c r="AB133" s="72">
        <f t="shared" si="58"/>
        <v>3.1677777175068473</v>
      </c>
      <c r="AC133" s="72">
        <f t="shared" si="59"/>
        <v>0.18868182684282603</v>
      </c>
      <c r="AD133" s="73">
        <f t="shared" si="60"/>
        <v>1206.0988078320233</v>
      </c>
      <c r="AE133" s="71">
        <f t="shared" si="61"/>
        <v>193.25470065891747</v>
      </c>
      <c r="AF133" s="74">
        <f t="shared" si="62"/>
        <v>5.8639999173037172</v>
      </c>
      <c r="AG133" s="75">
        <f t="shared" si="63"/>
        <v>6.3931662745064717</v>
      </c>
      <c r="AH133" s="76">
        <f t="shared" si="64"/>
        <v>4.3012267184041919</v>
      </c>
      <c r="AI133" s="77">
        <f t="shared" si="65"/>
        <v>5.8672184638494684</v>
      </c>
    </row>
    <row r="134" spans="1:35" ht="15.75" customHeight="1" x14ac:dyDescent="0.45">
      <c r="A134" s="59">
        <f t="shared" si="66"/>
        <v>45878</v>
      </c>
      <c r="B134" s="60">
        <v>2025</v>
      </c>
      <c r="C134" s="60">
        <v>8</v>
      </c>
      <c r="D134" s="60">
        <v>9</v>
      </c>
      <c r="E134" s="61">
        <v>221</v>
      </c>
      <c r="F134" s="62">
        <v>35</v>
      </c>
      <c r="G134" s="62">
        <v>15</v>
      </c>
      <c r="H134" s="70">
        <f t="shared" si="67"/>
        <v>25</v>
      </c>
      <c r="I134" s="62">
        <v>98</v>
      </c>
      <c r="J134" s="62">
        <v>75</v>
      </c>
      <c r="K134" s="62">
        <v>1</v>
      </c>
      <c r="L134" s="62">
        <v>30</v>
      </c>
      <c r="M134" s="71">
        <f t="shared" si="68"/>
        <v>15.590824531631149</v>
      </c>
      <c r="N134" s="72">
        <f t="shared" si="69"/>
        <v>0.27211185749206901</v>
      </c>
      <c r="O134" s="72">
        <f t="shared" si="45"/>
        <v>1.7975655004900886</v>
      </c>
      <c r="P134" s="72">
        <f t="shared" si="46"/>
        <v>0.97398611379056976</v>
      </c>
      <c r="Q134" s="71">
        <f t="shared" si="47"/>
        <v>37.663758194186862</v>
      </c>
      <c r="R134" s="72">
        <f t="shared" si="48"/>
        <v>1</v>
      </c>
      <c r="S134" s="71">
        <f t="shared" si="49"/>
        <v>13.732356764630163</v>
      </c>
      <c r="T134" s="72">
        <f t="shared" si="50"/>
        <v>5.6226812384961216</v>
      </c>
      <c r="U134" s="72">
        <f t="shared" si="51"/>
        <v>1.7053462321157722</v>
      </c>
      <c r="V134" s="72">
        <f t="shared" si="52"/>
        <v>4.2170109288720914</v>
      </c>
      <c r="W134" s="72">
        <f t="shared" si="53"/>
        <v>1.6712393074734566</v>
      </c>
      <c r="X134" s="72">
        <f t="shared" si="54"/>
        <v>2.9441251181727739</v>
      </c>
      <c r="Y134" s="72">
        <f t="shared" si="55"/>
        <v>0.71988861713317309</v>
      </c>
      <c r="Z134" s="72">
        <f t="shared" si="56"/>
        <v>3.8557764635098803</v>
      </c>
      <c r="AA134" s="72">
        <f t="shared" si="57"/>
        <v>19.244223536490122</v>
      </c>
      <c r="AB134" s="72">
        <f t="shared" si="58"/>
        <v>3.1677777175068473</v>
      </c>
      <c r="AC134" s="72">
        <f t="shared" si="59"/>
        <v>0.18868182684282603</v>
      </c>
      <c r="AD134" s="73">
        <f t="shared" si="60"/>
        <v>1206.0988078320233</v>
      </c>
      <c r="AE134" s="71">
        <f t="shared" si="61"/>
        <v>193.25470065891747</v>
      </c>
      <c r="AF134" s="74">
        <f t="shared" si="62"/>
        <v>5.8639999173037172</v>
      </c>
      <c r="AG134" s="75">
        <f t="shared" si="63"/>
        <v>6.3670972048892631</v>
      </c>
      <c r="AH134" s="76">
        <f t="shared" si="64"/>
        <v>4.3012267184041919</v>
      </c>
      <c r="AI134" s="77">
        <f t="shared" si="65"/>
        <v>5.8672184638494684</v>
      </c>
    </row>
    <row r="135" spans="1:35" ht="15.75" customHeight="1" x14ac:dyDescent="0.45">
      <c r="A135" s="59">
        <f t="shared" si="66"/>
        <v>45879</v>
      </c>
      <c r="B135" s="60">
        <v>2025</v>
      </c>
      <c r="C135" s="60">
        <v>8</v>
      </c>
      <c r="D135" s="60">
        <v>10</v>
      </c>
      <c r="E135" s="61">
        <v>222</v>
      </c>
      <c r="F135" s="62">
        <v>35</v>
      </c>
      <c r="G135" s="62">
        <v>15</v>
      </c>
      <c r="H135" s="70">
        <f t="shared" si="67"/>
        <v>25</v>
      </c>
      <c r="I135" s="62">
        <v>98</v>
      </c>
      <c r="J135" s="62">
        <v>75</v>
      </c>
      <c r="K135" s="62">
        <v>1</v>
      </c>
      <c r="L135" s="62">
        <v>30</v>
      </c>
      <c r="M135" s="71">
        <f t="shared" si="68"/>
        <v>15.286995662678622</v>
      </c>
      <c r="N135" s="72">
        <f t="shared" si="69"/>
        <v>0.26680903096595088</v>
      </c>
      <c r="O135" s="72">
        <f t="shared" si="45"/>
        <v>1.7928485620911983</v>
      </c>
      <c r="P135" s="72">
        <f t="shared" si="46"/>
        <v>0.97433947957494793</v>
      </c>
      <c r="Q135" s="71">
        <f t="shared" si="47"/>
        <v>37.506677384679861</v>
      </c>
      <c r="R135" s="72">
        <f t="shared" si="48"/>
        <v>1</v>
      </c>
      <c r="S135" s="71">
        <f t="shared" si="49"/>
        <v>13.696322093897619</v>
      </c>
      <c r="T135" s="72">
        <f t="shared" si="50"/>
        <v>5.6226812384961216</v>
      </c>
      <c r="U135" s="72">
        <f t="shared" si="51"/>
        <v>1.7053462321157722</v>
      </c>
      <c r="V135" s="72">
        <f t="shared" si="52"/>
        <v>4.2170109288720914</v>
      </c>
      <c r="W135" s="72">
        <f t="shared" si="53"/>
        <v>1.6712393074734566</v>
      </c>
      <c r="X135" s="72">
        <f t="shared" si="54"/>
        <v>2.9441251181727739</v>
      </c>
      <c r="Y135" s="72">
        <f t="shared" si="55"/>
        <v>0.71988861713317309</v>
      </c>
      <c r="Z135" s="72">
        <f t="shared" si="56"/>
        <v>3.8557764635098803</v>
      </c>
      <c r="AA135" s="72">
        <f t="shared" si="57"/>
        <v>19.244223536490122</v>
      </c>
      <c r="AB135" s="72">
        <f t="shared" si="58"/>
        <v>3.1677777175068473</v>
      </c>
      <c r="AC135" s="72">
        <f t="shared" si="59"/>
        <v>0.18868182684282603</v>
      </c>
      <c r="AD135" s="73">
        <f t="shared" si="60"/>
        <v>1206.0988078320233</v>
      </c>
      <c r="AE135" s="71">
        <f t="shared" si="61"/>
        <v>193.25470065891747</v>
      </c>
      <c r="AF135" s="74">
        <f t="shared" si="62"/>
        <v>5.8639999173037172</v>
      </c>
      <c r="AG135" s="75">
        <f t="shared" si="63"/>
        <v>6.3405425318798088</v>
      </c>
      <c r="AH135" s="76">
        <f t="shared" si="64"/>
        <v>4.3012267184041919</v>
      </c>
      <c r="AI135" s="77">
        <f t="shared" si="65"/>
        <v>5.8672184638494684</v>
      </c>
    </row>
    <row r="136" spans="1:35" ht="15.75" customHeight="1" x14ac:dyDescent="0.45">
      <c r="A136" s="59">
        <f t="shared" si="66"/>
        <v>45880</v>
      </c>
      <c r="B136" s="60">
        <v>2025</v>
      </c>
      <c r="C136" s="60">
        <v>8</v>
      </c>
      <c r="D136" s="60">
        <v>11</v>
      </c>
      <c r="E136" s="61">
        <v>223</v>
      </c>
      <c r="F136" s="62">
        <v>35</v>
      </c>
      <c r="G136" s="62">
        <v>15</v>
      </c>
      <c r="H136" s="70">
        <f t="shared" si="67"/>
        <v>25</v>
      </c>
      <c r="I136" s="62">
        <v>98</v>
      </c>
      <c r="J136" s="62">
        <v>75</v>
      </c>
      <c r="K136" s="62">
        <v>1</v>
      </c>
      <c r="L136" s="62">
        <v>30</v>
      </c>
      <c r="M136" s="71">
        <f t="shared" si="68"/>
        <v>14.978636905805756</v>
      </c>
      <c r="N136" s="72">
        <f t="shared" si="69"/>
        <v>0.26142714279599644</v>
      </c>
      <c r="O136" s="72">
        <f t="shared" ref="O136:O199" si="70">ACOS(-TAN($AL$7*3.1416/180)*TAN(N136))</f>
        <v>1.7880803641855985</v>
      </c>
      <c r="P136" s="72">
        <f t="shared" ref="P136:P199" si="71">1+0.033*COS(2*3.1416/365*E136)</f>
        <v>0.97470044916088849</v>
      </c>
      <c r="Q136" s="71">
        <f t="shared" ref="Q136:Q199" si="72">37.4*P136*(SIN($AL$7*3.1416/180)*SIN(N136)*O136+COS($AL$7*3.1416/180)*COS(N136)*SIN(O136))</f>
        <v>37.346743882242315</v>
      </c>
      <c r="R136" s="72">
        <f t="shared" ref="R136:R199" si="73">MIN(1,MAX(0,2*(L136/Q136-0.25)))</f>
        <v>1</v>
      </c>
      <c r="S136" s="71">
        <f t="shared" ref="S136:S199" si="74">O136*2*12/3.1416</f>
        <v>13.659895830294872</v>
      </c>
      <c r="T136" s="72">
        <f t="shared" ref="T136:T199" si="75">0.6108*EXP(17.27*F136/(237.3+F136))</f>
        <v>5.6226812384961216</v>
      </c>
      <c r="U136" s="72">
        <f t="shared" ref="U136:U199" si="76">0.6108*EXP(17.27*G136/(237.3+G136))</f>
        <v>1.7053462321157722</v>
      </c>
      <c r="V136" s="72">
        <f t="shared" ref="V136:V199" si="77">T136*J136/100</f>
        <v>4.2170109288720914</v>
      </c>
      <c r="W136" s="72">
        <f t="shared" ref="W136:W199" si="78">U136*I136/100</f>
        <v>1.6712393074734566</v>
      </c>
      <c r="X136" s="72">
        <f t="shared" ref="X136:X199" si="79">0.5*(V136+W136)</f>
        <v>2.9441251181727739</v>
      </c>
      <c r="Y136" s="72">
        <f t="shared" ref="Y136:Y199" si="80">0.5*(T136+U136)-X136</f>
        <v>0.71988861713317309</v>
      </c>
      <c r="Z136" s="72">
        <f t="shared" ref="Z136:Z199" si="81">(0.1+0.9*R136)*(0.34-0.14*SQRT(X136))*0.0000000049*(273+H136)^4</f>
        <v>3.8557764635098803</v>
      </c>
      <c r="AA136" s="72">
        <f t="shared" ref="AA136:AA199" si="82">(1-$AL$3)*L136-Z136</f>
        <v>19.244223536490122</v>
      </c>
      <c r="AB136" s="72">
        <f t="shared" ref="AB136:AB199" si="83">0.6108*EXP(17.27*H136/(237.3+H136))</f>
        <v>3.1677777175068473</v>
      </c>
      <c r="AC136" s="72">
        <f t="shared" ref="AC136:AC199" si="84">4098*AB136/(237.3+H136)^2</f>
        <v>0.18868182684282603</v>
      </c>
      <c r="AD136" s="73">
        <f t="shared" ref="AD136:AD199" si="85">29000*$AL$9/8.31/(H136+273)*(1.01+0.622*X136/($AL$9-X136))</f>
        <v>1206.0988078320233</v>
      </c>
      <c r="AE136" s="71">
        <f t="shared" si="61"/>
        <v>193.25470065891747</v>
      </c>
      <c r="AF136" s="74">
        <f t="shared" si="62"/>
        <v>5.8639999173037172</v>
      </c>
      <c r="AG136" s="75">
        <f t="shared" si="63"/>
        <v>6.3135056081854701</v>
      </c>
      <c r="AH136" s="76">
        <f t="shared" si="64"/>
        <v>4.3012267184041919</v>
      </c>
      <c r="AI136" s="77">
        <f t="shared" si="65"/>
        <v>5.8672184638494684</v>
      </c>
    </row>
    <row r="137" spans="1:35" ht="15.75" customHeight="1" x14ac:dyDescent="0.45">
      <c r="A137" s="59">
        <f t="shared" si="66"/>
        <v>45881</v>
      </c>
      <c r="B137" s="60">
        <v>2025</v>
      </c>
      <c r="C137" s="60">
        <v>8</v>
      </c>
      <c r="D137" s="60">
        <v>12</v>
      </c>
      <c r="E137" s="61">
        <v>224</v>
      </c>
      <c r="F137" s="62">
        <v>35</v>
      </c>
      <c r="G137" s="62">
        <v>15</v>
      </c>
      <c r="H137" s="70">
        <f t="shared" si="67"/>
        <v>25</v>
      </c>
      <c r="I137" s="62">
        <v>98</v>
      </c>
      <c r="J137" s="62">
        <v>75</v>
      </c>
      <c r="K137" s="62">
        <v>1</v>
      </c>
      <c r="L137" s="62">
        <v>30</v>
      </c>
      <c r="M137" s="71">
        <f t="shared" si="68"/>
        <v>14.665839634794473</v>
      </c>
      <c r="N137" s="72">
        <f t="shared" si="69"/>
        <v>0.25596778775927953</v>
      </c>
      <c r="O137" s="72">
        <f t="shared" si="70"/>
        <v>1.7832626409286296</v>
      </c>
      <c r="P137" s="72">
        <f t="shared" si="71"/>
        <v>0.97506891558481235</v>
      </c>
      <c r="Q137" s="71">
        <f t="shared" si="72"/>
        <v>37.183978665570535</v>
      </c>
      <c r="R137" s="72">
        <f t="shared" si="73"/>
        <v>1</v>
      </c>
      <c r="S137" s="71">
        <f t="shared" si="74"/>
        <v>13.623091221761877</v>
      </c>
      <c r="T137" s="72">
        <f t="shared" si="75"/>
        <v>5.6226812384961216</v>
      </c>
      <c r="U137" s="72">
        <f t="shared" si="76"/>
        <v>1.7053462321157722</v>
      </c>
      <c r="V137" s="72">
        <f t="shared" si="77"/>
        <v>4.2170109288720914</v>
      </c>
      <c r="W137" s="72">
        <f t="shared" si="78"/>
        <v>1.6712393074734566</v>
      </c>
      <c r="X137" s="72">
        <f t="shared" si="79"/>
        <v>2.9441251181727739</v>
      </c>
      <c r="Y137" s="72">
        <f t="shared" si="80"/>
        <v>0.71988861713317309</v>
      </c>
      <c r="Z137" s="72">
        <f t="shared" si="81"/>
        <v>3.8557764635098803</v>
      </c>
      <c r="AA137" s="72">
        <f t="shared" si="82"/>
        <v>19.244223536490122</v>
      </c>
      <c r="AB137" s="72">
        <f t="shared" si="83"/>
        <v>3.1677777175068473</v>
      </c>
      <c r="AC137" s="72">
        <f t="shared" si="84"/>
        <v>0.18868182684282603</v>
      </c>
      <c r="AD137" s="73">
        <f t="shared" si="85"/>
        <v>1206.0988078320233</v>
      </c>
      <c r="AE137" s="71">
        <f t="shared" ref="AE137:AE200" si="86">LN(($AL$6-0.65*$AL$4)/0.13/$AL$4)*LN(($AL$6-0.65*$AL$4)/0.13/$AL$4/0.2)/0.4^2/K137</f>
        <v>193.25470065891747</v>
      </c>
      <c r="AF137" s="74">
        <f t="shared" ref="AF137:AF200" si="87">(AC137*AA137+0.5*Y137*K137)/2.45/(AC137+0.067*(1+0.33*K137))</f>
        <v>5.8639999173037172</v>
      </c>
      <c r="AG137" s="75">
        <f t="shared" ref="AG137:AG200" si="88">0.00552*Q137*(H137+17.8)*SQRT(F137-G137)*$AL$11</f>
        <v>6.2859899802765158</v>
      </c>
      <c r="AH137" s="76">
        <f t="shared" ref="AH137:AH200" si="89">0.68/2.45*AC137/(0.067+AC137)*0.7*L137</f>
        <v>4.3012267184041919</v>
      </c>
      <c r="AI137" s="77">
        <f t="shared" si="65"/>
        <v>5.8672184638494684</v>
      </c>
    </row>
    <row r="138" spans="1:35" ht="15.75" customHeight="1" x14ac:dyDescent="0.45">
      <c r="A138" s="59">
        <f t="shared" si="66"/>
        <v>45882</v>
      </c>
      <c r="B138" s="60">
        <v>2025</v>
      </c>
      <c r="C138" s="60">
        <v>8</v>
      </c>
      <c r="D138" s="60">
        <v>13</v>
      </c>
      <c r="E138" s="61">
        <v>225</v>
      </c>
      <c r="F138" s="62">
        <v>35</v>
      </c>
      <c r="G138" s="62">
        <v>15</v>
      </c>
      <c r="H138" s="70">
        <f t="shared" si="67"/>
        <v>25</v>
      </c>
      <c r="I138" s="62">
        <v>98</v>
      </c>
      <c r="J138" s="62">
        <v>75</v>
      </c>
      <c r="K138" s="62">
        <v>1</v>
      </c>
      <c r="L138" s="62">
        <v>30</v>
      </c>
      <c r="M138" s="71">
        <f t="shared" si="68"/>
        <v>14.348696538660372</v>
      </c>
      <c r="N138" s="72">
        <f t="shared" si="69"/>
        <v>0.25043258358808568</v>
      </c>
      <c r="O138" s="72">
        <f t="shared" si="70"/>
        <v>1.7783971005035004</v>
      </c>
      <c r="P138" s="72">
        <f t="shared" si="71"/>
        <v>0.9754447696616555</v>
      </c>
      <c r="Q138" s="71">
        <f t="shared" si="72"/>
        <v>37.018403900322625</v>
      </c>
      <c r="R138" s="72">
        <f t="shared" si="73"/>
        <v>1</v>
      </c>
      <c r="S138" s="71">
        <f t="shared" si="74"/>
        <v>13.585921317826587</v>
      </c>
      <c r="T138" s="72">
        <f t="shared" si="75"/>
        <v>5.6226812384961216</v>
      </c>
      <c r="U138" s="72">
        <f t="shared" si="76"/>
        <v>1.7053462321157722</v>
      </c>
      <c r="V138" s="72">
        <f t="shared" si="77"/>
        <v>4.2170109288720914</v>
      </c>
      <c r="W138" s="72">
        <f t="shared" si="78"/>
        <v>1.6712393074734566</v>
      </c>
      <c r="X138" s="72">
        <f t="shared" si="79"/>
        <v>2.9441251181727739</v>
      </c>
      <c r="Y138" s="72">
        <f t="shared" si="80"/>
        <v>0.71988861713317309</v>
      </c>
      <c r="Z138" s="72">
        <f t="shared" si="81"/>
        <v>3.8557764635098803</v>
      </c>
      <c r="AA138" s="72">
        <f t="shared" si="82"/>
        <v>19.244223536490122</v>
      </c>
      <c r="AB138" s="72">
        <f t="shared" si="83"/>
        <v>3.1677777175068473</v>
      </c>
      <c r="AC138" s="72">
        <f t="shared" si="84"/>
        <v>0.18868182684282603</v>
      </c>
      <c r="AD138" s="73">
        <f t="shared" si="85"/>
        <v>1206.0988078320233</v>
      </c>
      <c r="AE138" s="71">
        <f t="shared" si="86"/>
        <v>193.25470065891747</v>
      </c>
      <c r="AF138" s="74">
        <f t="shared" si="87"/>
        <v>5.8639999173037172</v>
      </c>
      <c r="AG138" s="75">
        <f t="shared" si="88"/>
        <v>6.2579993952803292</v>
      </c>
      <c r="AH138" s="76">
        <f t="shared" si="89"/>
        <v>4.3012267184041919</v>
      </c>
      <c r="AI138" s="77">
        <f t="shared" ref="AI138:AI201" si="90">(AC138*AA138+0.0864*AD138*Y138/AE138)/(AC138+0.067*(1+$AL$5/AE138))/2.45</f>
        <v>5.8672184638494684</v>
      </c>
    </row>
    <row r="139" spans="1:35" ht="15.75" customHeight="1" x14ac:dyDescent="0.45">
      <c r="A139" s="59">
        <f t="shared" si="66"/>
        <v>45883</v>
      </c>
      <c r="B139" s="60">
        <v>2025</v>
      </c>
      <c r="C139" s="60">
        <v>8</v>
      </c>
      <c r="D139" s="60">
        <v>14</v>
      </c>
      <c r="E139" s="61">
        <v>226</v>
      </c>
      <c r="F139" s="62">
        <v>35</v>
      </c>
      <c r="G139" s="62">
        <v>15</v>
      </c>
      <c r="H139" s="70">
        <f t="shared" si="67"/>
        <v>25</v>
      </c>
      <c r="I139" s="62">
        <v>98</v>
      </c>
      <c r="J139" s="62">
        <v>75</v>
      </c>
      <c r="K139" s="62">
        <v>1</v>
      </c>
      <c r="L139" s="62">
        <v>30</v>
      </c>
      <c r="M139" s="71">
        <f t="shared" si="68"/>
        <v>14.027301594186847</v>
      </c>
      <c r="N139" s="72">
        <f t="shared" si="69"/>
        <v>0.24482317049054111</v>
      </c>
      <c r="O139" s="72">
        <f t="shared" si="70"/>
        <v>1.7734854244119242</v>
      </c>
      <c r="P139" s="72">
        <f t="shared" si="71"/>
        <v>0.97582790001722242</v>
      </c>
      <c r="Q139" s="71">
        <f t="shared" si="72"/>
        <v>36.850042979196218</v>
      </c>
      <c r="R139" s="72">
        <f t="shared" si="73"/>
        <v>1</v>
      </c>
      <c r="S139" s="71">
        <f t="shared" si="74"/>
        <v>13.548398964185823</v>
      </c>
      <c r="T139" s="72">
        <f t="shared" si="75"/>
        <v>5.6226812384961216</v>
      </c>
      <c r="U139" s="72">
        <f t="shared" si="76"/>
        <v>1.7053462321157722</v>
      </c>
      <c r="V139" s="72">
        <f t="shared" si="77"/>
        <v>4.2170109288720914</v>
      </c>
      <c r="W139" s="72">
        <f t="shared" si="78"/>
        <v>1.6712393074734566</v>
      </c>
      <c r="X139" s="72">
        <f t="shared" si="79"/>
        <v>2.9441251181727739</v>
      </c>
      <c r="Y139" s="72">
        <f t="shared" si="80"/>
        <v>0.71988861713317309</v>
      </c>
      <c r="Z139" s="72">
        <f t="shared" si="81"/>
        <v>3.8557764635098803</v>
      </c>
      <c r="AA139" s="72">
        <f t="shared" si="82"/>
        <v>19.244223536490122</v>
      </c>
      <c r="AB139" s="72">
        <f t="shared" si="83"/>
        <v>3.1677777175068473</v>
      </c>
      <c r="AC139" s="72">
        <f t="shared" si="84"/>
        <v>0.18868182684282603</v>
      </c>
      <c r="AD139" s="73">
        <f t="shared" si="85"/>
        <v>1206.0988078320233</v>
      </c>
      <c r="AE139" s="71">
        <f t="shared" si="86"/>
        <v>193.25470065891747</v>
      </c>
      <c r="AF139" s="74">
        <f t="shared" si="87"/>
        <v>5.8639999173037172</v>
      </c>
      <c r="AG139" s="75">
        <f t="shared" si="88"/>
        <v>6.229537807756599</v>
      </c>
      <c r="AH139" s="76">
        <f t="shared" si="89"/>
        <v>4.3012267184041919</v>
      </c>
      <c r="AI139" s="77">
        <f t="shared" si="90"/>
        <v>5.8672184638494684</v>
      </c>
    </row>
    <row r="140" spans="1:35" ht="15.75" customHeight="1" x14ac:dyDescent="0.45">
      <c r="A140" s="59">
        <f t="shared" si="66"/>
        <v>45884</v>
      </c>
      <c r="B140" s="60">
        <v>2025</v>
      </c>
      <c r="C140" s="60">
        <v>8</v>
      </c>
      <c r="D140" s="60">
        <v>15</v>
      </c>
      <c r="E140" s="61">
        <v>227</v>
      </c>
      <c r="F140" s="62">
        <v>35</v>
      </c>
      <c r="G140" s="62">
        <v>15</v>
      </c>
      <c r="H140" s="70">
        <f t="shared" si="67"/>
        <v>25</v>
      </c>
      <c r="I140" s="62">
        <v>98</v>
      </c>
      <c r="J140" s="62">
        <v>75</v>
      </c>
      <c r="K140" s="62">
        <v>1</v>
      </c>
      <c r="L140" s="62">
        <v>30</v>
      </c>
      <c r="M140" s="71">
        <f t="shared" si="68"/>
        <v>13.701750038077623</v>
      </c>
      <c r="N140" s="72">
        <f t="shared" si="69"/>
        <v>0.23914121066458144</v>
      </c>
      <c r="O140" s="72">
        <f t="shared" si="70"/>
        <v>1.7685292668778454</v>
      </c>
      <c r="P140" s="72">
        <f t="shared" si="71"/>
        <v>0.97621819312118918</v>
      </c>
      <c r="Q140" s="71">
        <f t="shared" si="72"/>
        <v>36.678920561168624</v>
      </c>
      <c r="R140" s="72">
        <f t="shared" si="73"/>
        <v>1</v>
      </c>
      <c r="S140" s="71">
        <f t="shared" si="74"/>
        <v>13.510536798150079</v>
      </c>
      <c r="T140" s="72">
        <f t="shared" si="75"/>
        <v>5.6226812384961216</v>
      </c>
      <c r="U140" s="72">
        <f t="shared" si="76"/>
        <v>1.7053462321157722</v>
      </c>
      <c r="V140" s="72">
        <f t="shared" si="77"/>
        <v>4.2170109288720914</v>
      </c>
      <c r="W140" s="72">
        <f t="shared" si="78"/>
        <v>1.6712393074734566</v>
      </c>
      <c r="X140" s="72">
        <f t="shared" si="79"/>
        <v>2.9441251181727739</v>
      </c>
      <c r="Y140" s="72">
        <f t="shared" si="80"/>
        <v>0.71988861713317309</v>
      </c>
      <c r="Z140" s="72">
        <f t="shared" si="81"/>
        <v>3.8557764635098803</v>
      </c>
      <c r="AA140" s="72">
        <f t="shared" si="82"/>
        <v>19.244223536490122</v>
      </c>
      <c r="AB140" s="72">
        <f t="shared" si="83"/>
        <v>3.1677777175068473</v>
      </c>
      <c r="AC140" s="72">
        <f t="shared" si="84"/>
        <v>0.18868182684282603</v>
      </c>
      <c r="AD140" s="73">
        <f t="shared" si="85"/>
        <v>1206.0988078320233</v>
      </c>
      <c r="AE140" s="71">
        <f t="shared" si="86"/>
        <v>193.25470065891747</v>
      </c>
      <c r="AF140" s="74">
        <f t="shared" si="87"/>
        <v>5.8639999173037172</v>
      </c>
      <c r="AG140" s="75">
        <f t="shared" si="88"/>
        <v>6.20060938633089</v>
      </c>
      <c r="AH140" s="76">
        <f t="shared" si="89"/>
        <v>4.3012267184041919</v>
      </c>
      <c r="AI140" s="77">
        <f t="shared" si="90"/>
        <v>5.8672184638494684</v>
      </c>
    </row>
    <row r="141" spans="1:35" ht="15.75" customHeight="1" x14ac:dyDescent="0.45">
      <c r="A141" s="59">
        <f t="shared" si="66"/>
        <v>45885</v>
      </c>
      <c r="B141" s="60">
        <v>2025</v>
      </c>
      <c r="C141" s="60">
        <v>8</v>
      </c>
      <c r="D141" s="60">
        <v>16</v>
      </c>
      <c r="E141" s="61">
        <v>228</v>
      </c>
      <c r="F141" s="62">
        <v>35</v>
      </c>
      <c r="G141" s="62">
        <v>15</v>
      </c>
      <c r="H141" s="70">
        <f t="shared" si="67"/>
        <v>25</v>
      </c>
      <c r="I141" s="62">
        <v>98</v>
      </c>
      <c r="J141" s="62">
        <v>75</v>
      </c>
      <c r="K141" s="62">
        <v>1</v>
      </c>
      <c r="L141" s="62">
        <v>30</v>
      </c>
      <c r="M141" s="71">
        <f t="shared" si="68"/>
        <v>13.372138338735903</v>
      </c>
      <c r="N141" s="72">
        <f t="shared" si="69"/>
        <v>0.23338838780540397</v>
      </c>
      <c r="O141" s="72">
        <f t="shared" si="70"/>
        <v>1.763530254361005</v>
      </c>
      <c r="P141" s="72">
        <f t="shared" si="71"/>
        <v>0.97661553332074502</v>
      </c>
      <c r="Q141" s="71">
        <f t="shared" si="72"/>
        <v>36.505062609766519</v>
      </c>
      <c r="R141" s="72">
        <f t="shared" si="73"/>
        <v>1</v>
      </c>
      <c r="S141" s="71">
        <f t="shared" si="74"/>
        <v>13.472347244927464</v>
      </c>
      <c r="T141" s="72">
        <f t="shared" si="75"/>
        <v>5.6226812384961216</v>
      </c>
      <c r="U141" s="72">
        <f t="shared" si="76"/>
        <v>1.7053462321157722</v>
      </c>
      <c r="V141" s="72">
        <f t="shared" si="77"/>
        <v>4.2170109288720914</v>
      </c>
      <c r="W141" s="72">
        <f t="shared" si="78"/>
        <v>1.6712393074734566</v>
      </c>
      <c r="X141" s="72">
        <f t="shared" si="79"/>
        <v>2.9441251181727739</v>
      </c>
      <c r="Y141" s="72">
        <f t="shared" si="80"/>
        <v>0.71988861713317309</v>
      </c>
      <c r="Z141" s="72">
        <f t="shared" si="81"/>
        <v>3.8557764635098803</v>
      </c>
      <c r="AA141" s="72">
        <f t="shared" si="82"/>
        <v>19.244223536490122</v>
      </c>
      <c r="AB141" s="72">
        <f t="shared" si="83"/>
        <v>3.1677777175068473</v>
      </c>
      <c r="AC141" s="72">
        <f t="shared" si="84"/>
        <v>0.18868182684282603</v>
      </c>
      <c r="AD141" s="73">
        <f t="shared" si="85"/>
        <v>1206.0988078320233</v>
      </c>
      <c r="AE141" s="71">
        <f t="shared" si="86"/>
        <v>193.25470065891747</v>
      </c>
      <c r="AF141" s="74">
        <f t="shared" si="87"/>
        <v>5.8639999173037172</v>
      </c>
      <c r="AG141" s="75">
        <f t="shared" si="88"/>
        <v>6.1712185201641958</v>
      </c>
      <c r="AH141" s="76">
        <f t="shared" si="89"/>
        <v>4.3012267184041919</v>
      </c>
      <c r="AI141" s="77">
        <f t="shared" si="90"/>
        <v>5.8672184638494684</v>
      </c>
    </row>
    <row r="142" spans="1:35" ht="15.75" customHeight="1" x14ac:dyDescent="0.45">
      <c r="A142" s="59">
        <f t="shared" si="66"/>
        <v>45886</v>
      </c>
      <c r="B142" s="60">
        <v>2025</v>
      </c>
      <c r="C142" s="60">
        <v>8</v>
      </c>
      <c r="D142" s="60">
        <v>17</v>
      </c>
      <c r="E142" s="61">
        <v>229</v>
      </c>
      <c r="F142" s="62">
        <v>35</v>
      </c>
      <c r="G142" s="62">
        <v>15</v>
      </c>
      <c r="H142" s="70">
        <f t="shared" si="67"/>
        <v>25</v>
      </c>
      <c r="I142" s="62">
        <v>98</v>
      </c>
      <c r="J142" s="62">
        <v>75</v>
      </c>
      <c r="K142" s="62">
        <v>1</v>
      </c>
      <c r="L142" s="62">
        <v>30</v>
      </c>
      <c r="M142" s="71">
        <f t="shared" si="68"/>
        <v>13.038564167678592</v>
      </c>
      <c r="N142" s="72">
        <f t="shared" si="69"/>
        <v>0.22756640660655034</v>
      </c>
      <c r="O142" s="72">
        <f t="shared" si="70"/>
        <v>1.7584899851769382</v>
      </c>
      <c r="P142" s="72">
        <f t="shared" si="71"/>
        <v>0.97701980287486279</v>
      </c>
      <c r="Q142" s="71">
        <f t="shared" si="72"/>
        <v>36.328496430232484</v>
      </c>
      <c r="R142" s="72">
        <f t="shared" si="73"/>
        <v>1</v>
      </c>
      <c r="S142" s="71">
        <f t="shared" si="74"/>
        <v>13.433842514720689</v>
      </c>
      <c r="T142" s="72">
        <f t="shared" si="75"/>
        <v>5.6226812384961216</v>
      </c>
      <c r="U142" s="72">
        <f t="shared" si="76"/>
        <v>1.7053462321157722</v>
      </c>
      <c r="V142" s="72">
        <f t="shared" si="77"/>
        <v>4.2170109288720914</v>
      </c>
      <c r="W142" s="72">
        <f t="shared" si="78"/>
        <v>1.6712393074734566</v>
      </c>
      <c r="X142" s="72">
        <f t="shared" si="79"/>
        <v>2.9441251181727739</v>
      </c>
      <c r="Y142" s="72">
        <f t="shared" si="80"/>
        <v>0.71988861713317309</v>
      </c>
      <c r="Z142" s="72">
        <f t="shared" si="81"/>
        <v>3.8557764635098803</v>
      </c>
      <c r="AA142" s="72">
        <f t="shared" si="82"/>
        <v>19.244223536490122</v>
      </c>
      <c r="AB142" s="72">
        <f t="shared" si="83"/>
        <v>3.1677777175068473</v>
      </c>
      <c r="AC142" s="72">
        <f t="shared" si="84"/>
        <v>0.18868182684282603</v>
      </c>
      <c r="AD142" s="73">
        <f t="shared" si="85"/>
        <v>1206.0988078320233</v>
      </c>
      <c r="AE142" s="71">
        <f t="shared" si="86"/>
        <v>193.25470065891747</v>
      </c>
      <c r="AF142" s="74">
        <f t="shared" si="87"/>
        <v>5.8639999173037172</v>
      </c>
      <c r="AG142" s="75">
        <f t="shared" si="88"/>
        <v>6.1413698252359596</v>
      </c>
      <c r="AH142" s="76">
        <f t="shared" si="89"/>
        <v>4.3012267184041919</v>
      </c>
      <c r="AI142" s="77">
        <f t="shared" si="90"/>
        <v>5.8672184638494684</v>
      </c>
    </row>
    <row r="143" spans="1:35" ht="15.75" customHeight="1" x14ac:dyDescent="0.45">
      <c r="A143" s="59">
        <f t="shared" si="66"/>
        <v>45887</v>
      </c>
      <c r="B143" s="60">
        <v>2025</v>
      </c>
      <c r="C143" s="60">
        <v>8</v>
      </c>
      <c r="D143" s="60">
        <v>18</v>
      </c>
      <c r="E143" s="61">
        <v>230</v>
      </c>
      <c r="F143" s="62">
        <v>35</v>
      </c>
      <c r="G143" s="62">
        <v>15</v>
      </c>
      <c r="H143" s="70">
        <f t="shared" si="67"/>
        <v>25</v>
      </c>
      <c r="I143" s="62">
        <v>98</v>
      </c>
      <c r="J143" s="62">
        <v>75</v>
      </c>
      <c r="K143" s="62">
        <v>1</v>
      </c>
      <c r="L143" s="62">
        <v>30</v>
      </c>
      <c r="M143" s="71">
        <f t="shared" si="68"/>
        <v>12.701126370593972</v>
      </c>
      <c r="N143" s="72">
        <f t="shared" si="69"/>
        <v>0.22167699225476681</v>
      </c>
      <c r="O143" s="72">
        <f t="shared" si="70"/>
        <v>1.7534100292198675</v>
      </c>
      <c r="P143" s="72">
        <f t="shared" si="71"/>
        <v>0.97743088198918848</v>
      </c>
      <c r="Q143" s="71">
        <f t="shared" si="72"/>
        <v>36.149250705457398</v>
      </c>
      <c r="R143" s="72">
        <f t="shared" si="73"/>
        <v>1</v>
      </c>
      <c r="S143" s="71">
        <f t="shared" si="74"/>
        <v>13.39503460061014</v>
      </c>
      <c r="T143" s="72">
        <f t="shared" si="75"/>
        <v>5.6226812384961216</v>
      </c>
      <c r="U143" s="72">
        <f t="shared" si="76"/>
        <v>1.7053462321157722</v>
      </c>
      <c r="V143" s="72">
        <f t="shared" si="77"/>
        <v>4.2170109288720914</v>
      </c>
      <c r="W143" s="72">
        <f t="shared" si="78"/>
        <v>1.6712393074734566</v>
      </c>
      <c r="X143" s="72">
        <f t="shared" si="79"/>
        <v>2.9441251181727739</v>
      </c>
      <c r="Y143" s="72">
        <f t="shared" si="80"/>
        <v>0.71988861713317309</v>
      </c>
      <c r="Z143" s="72">
        <f t="shared" si="81"/>
        <v>3.8557764635098803</v>
      </c>
      <c r="AA143" s="72">
        <f t="shared" si="82"/>
        <v>19.244223536490122</v>
      </c>
      <c r="AB143" s="72">
        <f t="shared" si="83"/>
        <v>3.1677777175068473</v>
      </c>
      <c r="AC143" s="72">
        <f t="shared" si="84"/>
        <v>0.18868182684282603</v>
      </c>
      <c r="AD143" s="73">
        <f t="shared" si="85"/>
        <v>1206.0988078320233</v>
      </c>
      <c r="AE143" s="71">
        <f t="shared" si="86"/>
        <v>193.25470065891747</v>
      </c>
      <c r="AF143" s="74">
        <f t="shared" si="87"/>
        <v>5.8639999173037172</v>
      </c>
      <c r="AG143" s="75">
        <f t="shared" si="88"/>
        <v>6.1110681504184967</v>
      </c>
      <c r="AH143" s="76">
        <f t="shared" si="89"/>
        <v>4.3012267184041919</v>
      </c>
      <c r="AI143" s="77">
        <f t="shared" si="90"/>
        <v>5.8672184638494684</v>
      </c>
    </row>
    <row r="144" spans="1:35" ht="15.75" customHeight="1" x14ac:dyDescent="0.45">
      <c r="A144" s="59">
        <f t="shared" si="66"/>
        <v>45888</v>
      </c>
      <c r="B144" s="60">
        <v>2025</v>
      </c>
      <c r="C144" s="60">
        <v>8</v>
      </c>
      <c r="D144" s="60">
        <v>19</v>
      </c>
      <c r="E144" s="61">
        <v>231</v>
      </c>
      <c r="F144" s="62">
        <v>35</v>
      </c>
      <c r="G144" s="62">
        <v>15</v>
      </c>
      <c r="H144" s="70">
        <f t="shared" si="67"/>
        <v>25</v>
      </c>
      <c r="I144" s="62">
        <v>98</v>
      </c>
      <c r="J144" s="62">
        <v>75</v>
      </c>
      <c r="K144" s="62">
        <v>1</v>
      </c>
      <c r="L144" s="62">
        <v>30</v>
      </c>
      <c r="M144" s="71">
        <f t="shared" si="68"/>
        <v>12.359924938051448</v>
      </c>
      <c r="N144" s="72">
        <f t="shared" si="69"/>
        <v>0.21572188991879127</v>
      </c>
      <c r="O144" s="72">
        <f t="shared" si="70"/>
        <v>1.7482919277848432</v>
      </c>
      <c r="P144" s="72">
        <f t="shared" si="71"/>
        <v>0.9778486488515391</v>
      </c>
      <c r="Q144" s="71">
        <f t="shared" si="72"/>
        <v>35.967355530549021</v>
      </c>
      <c r="R144" s="72">
        <f t="shared" si="73"/>
        <v>1</v>
      </c>
      <c r="S144" s="71">
        <f t="shared" si="74"/>
        <v>13.355935277195137</v>
      </c>
      <c r="T144" s="72">
        <f t="shared" si="75"/>
        <v>5.6226812384961216</v>
      </c>
      <c r="U144" s="72">
        <f t="shared" si="76"/>
        <v>1.7053462321157722</v>
      </c>
      <c r="V144" s="72">
        <f t="shared" si="77"/>
        <v>4.2170109288720914</v>
      </c>
      <c r="W144" s="72">
        <f t="shared" si="78"/>
        <v>1.6712393074734566</v>
      </c>
      <c r="X144" s="72">
        <f t="shared" si="79"/>
        <v>2.9441251181727739</v>
      </c>
      <c r="Y144" s="72">
        <f t="shared" si="80"/>
        <v>0.71988861713317309</v>
      </c>
      <c r="Z144" s="72">
        <f t="shared" si="81"/>
        <v>3.8557764635098803</v>
      </c>
      <c r="AA144" s="72">
        <f t="shared" si="82"/>
        <v>19.244223536490122</v>
      </c>
      <c r="AB144" s="72">
        <f t="shared" si="83"/>
        <v>3.1677777175068473</v>
      </c>
      <c r="AC144" s="72">
        <f t="shared" si="84"/>
        <v>0.18868182684282603</v>
      </c>
      <c r="AD144" s="73">
        <f t="shared" si="85"/>
        <v>1206.0988078320233</v>
      </c>
      <c r="AE144" s="71">
        <f t="shared" si="86"/>
        <v>193.25470065891747</v>
      </c>
      <c r="AF144" s="74">
        <f t="shared" si="87"/>
        <v>5.8639999173037172</v>
      </c>
      <c r="AG144" s="75">
        <f t="shared" si="88"/>
        <v>6.0803185833208424</v>
      </c>
      <c r="AH144" s="76">
        <f t="shared" si="89"/>
        <v>4.3012267184041919</v>
      </c>
      <c r="AI144" s="77">
        <f t="shared" si="90"/>
        <v>5.8672184638494684</v>
      </c>
    </row>
    <row r="145" spans="1:35" ht="15.75" customHeight="1" x14ac:dyDescent="0.45">
      <c r="A145" s="59">
        <f t="shared" si="66"/>
        <v>45889</v>
      </c>
      <c r="B145" s="60">
        <v>2025</v>
      </c>
      <c r="C145" s="60">
        <v>8</v>
      </c>
      <c r="D145" s="60">
        <v>20</v>
      </c>
      <c r="E145" s="61">
        <v>232</v>
      </c>
      <c r="F145" s="62">
        <v>35</v>
      </c>
      <c r="G145" s="62">
        <v>15</v>
      </c>
      <c r="H145" s="70">
        <f t="shared" si="67"/>
        <v>25</v>
      </c>
      <c r="I145" s="62">
        <v>98</v>
      </c>
      <c r="J145" s="62">
        <v>75</v>
      </c>
      <c r="K145" s="62">
        <v>1</v>
      </c>
      <c r="L145" s="62">
        <v>30</v>
      </c>
      <c r="M145" s="71">
        <f t="shared" si="68"/>
        <v>12.015060975872062</v>
      </c>
      <c r="N145" s="72">
        <f t="shared" si="69"/>
        <v>0.20970286423222037</v>
      </c>
      <c r="O145" s="72">
        <f t="shared" si="70"/>
        <v>1.7431371934854152</v>
      </c>
      <c r="P145" s="72">
        <f t="shared" si="71"/>
        <v>0.97827297966799831</v>
      </c>
      <c r="Q145" s="71">
        <f t="shared" si="72"/>
        <v>35.782842445909523</v>
      </c>
      <c r="R145" s="72">
        <f t="shared" si="73"/>
        <v>1</v>
      </c>
      <c r="S145" s="71">
        <f t="shared" si="74"/>
        <v>13.316556099964975</v>
      </c>
      <c r="T145" s="72">
        <f t="shared" si="75"/>
        <v>5.6226812384961216</v>
      </c>
      <c r="U145" s="72">
        <f t="shared" si="76"/>
        <v>1.7053462321157722</v>
      </c>
      <c r="V145" s="72">
        <f t="shared" si="77"/>
        <v>4.2170109288720914</v>
      </c>
      <c r="W145" s="72">
        <f t="shared" si="78"/>
        <v>1.6712393074734566</v>
      </c>
      <c r="X145" s="72">
        <f t="shared" si="79"/>
        <v>2.9441251181727739</v>
      </c>
      <c r="Y145" s="72">
        <f t="shared" si="80"/>
        <v>0.71988861713317309</v>
      </c>
      <c r="Z145" s="72">
        <f t="shared" si="81"/>
        <v>3.8557764635098803</v>
      </c>
      <c r="AA145" s="72">
        <f t="shared" si="82"/>
        <v>19.244223536490122</v>
      </c>
      <c r="AB145" s="72">
        <f t="shared" si="83"/>
        <v>3.1677777175068473</v>
      </c>
      <c r="AC145" s="72">
        <f t="shared" si="84"/>
        <v>0.18868182684282603</v>
      </c>
      <c r="AD145" s="73">
        <f t="shared" si="85"/>
        <v>1206.0988078320233</v>
      </c>
      <c r="AE145" s="71">
        <f t="shared" si="86"/>
        <v>193.25470065891747</v>
      </c>
      <c r="AF145" s="74">
        <f t="shared" si="87"/>
        <v>5.8639999173037172</v>
      </c>
      <c r="AG145" s="75">
        <f t="shared" si="88"/>
        <v>6.0491264558805451</v>
      </c>
      <c r="AH145" s="76">
        <f t="shared" si="89"/>
        <v>4.3012267184041919</v>
      </c>
      <c r="AI145" s="77">
        <f t="shared" si="90"/>
        <v>5.8672184638494684</v>
      </c>
    </row>
    <row r="146" spans="1:35" ht="15.75" customHeight="1" x14ac:dyDescent="0.45">
      <c r="A146" s="59">
        <f t="shared" si="66"/>
        <v>45890</v>
      </c>
      <c r="B146" s="60">
        <v>2025</v>
      </c>
      <c r="C146" s="60">
        <v>8</v>
      </c>
      <c r="D146" s="60">
        <v>21</v>
      </c>
      <c r="E146" s="61">
        <v>233</v>
      </c>
      <c r="F146" s="62">
        <v>35</v>
      </c>
      <c r="G146" s="62">
        <v>15</v>
      </c>
      <c r="H146" s="70">
        <f t="shared" si="67"/>
        <v>25</v>
      </c>
      <c r="I146" s="62">
        <v>98</v>
      </c>
      <c r="J146" s="62">
        <v>75</v>
      </c>
      <c r="K146" s="62">
        <v>1</v>
      </c>
      <c r="L146" s="62">
        <v>30</v>
      </c>
      <c r="M146" s="71">
        <f t="shared" si="68"/>
        <v>11.666636675168499</v>
      </c>
      <c r="N146" s="72">
        <f t="shared" si="69"/>
        <v>0.20362169877060754</v>
      </c>
      <c r="O146" s="72">
        <f t="shared" si="70"/>
        <v>1.7379473102630603</v>
      </c>
      <c r="P146" s="72">
        <f t="shared" si="71"/>
        <v>0.97870374869959909</v>
      </c>
      <c r="Q146" s="71">
        <f t="shared" si="72"/>
        <v>35.595744468697148</v>
      </c>
      <c r="R146" s="72">
        <f t="shared" si="73"/>
        <v>1</v>
      </c>
      <c r="S146" s="71">
        <f t="shared" si="74"/>
        <v>13.276908405370973</v>
      </c>
      <c r="T146" s="72">
        <f t="shared" si="75"/>
        <v>5.6226812384961216</v>
      </c>
      <c r="U146" s="72">
        <f t="shared" si="76"/>
        <v>1.7053462321157722</v>
      </c>
      <c r="V146" s="72">
        <f t="shared" si="77"/>
        <v>4.2170109288720914</v>
      </c>
      <c r="W146" s="72">
        <f t="shared" si="78"/>
        <v>1.6712393074734566</v>
      </c>
      <c r="X146" s="72">
        <f t="shared" si="79"/>
        <v>2.9441251181727739</v>
      </c>
      <c r="Y146" s="72">
        <f t="shared" si="80"/>
        <v>0.71988861713317309</v>
      </c>
      <c r="Z146" s="72">
        <f t="shared" si="81"/>
        <v>3.8557764635098803</v>
      </c>
      <c r="AA146" s="72">
        <f t="shared" si="82"/>
        <v>19.244223536490122</v>
      </c>
      <c r="AB146" s="72">
        <f t="shared" si="83"/>
        <v>3.1677777175068473</v>
      </c>
      <c r="AC146" s="72">
        <f t="shared" si="84"/>
        <v>0.18868182684282603</v>
      </c>
      <c r="AD146" s="73">
        <f t="shared" si="85"/>
        <v>1206.0988078320233</v>
      </c>
      <c r="AE146" s="71">
        <f t="shared" si="86"/>
        <v>193.25470065891747</v>
      </c>
      <c r="AF146" s="74">
        <f t="shared" si="87"/>
        <v>5.8639999173037172</v>
      </c>
      <c r="AG146" s="75">
        <f t="shared" si="88"/>
        <v>6.0174973496822881</v>
      </c>
      <c r="AH146" s="76">
        <f t="shared" si="89"/>
        <v>4.3012267184041919</v>
      </c>
      <c r="AI146" s="77">
        <f t="shared" si="90"/>
        <v>5.8672184638494684</v>
      </c>
    </row>
    <row r="147" spans="1:35" ht="15.75" customHeight="1" x14ac:dyDescent="0.45">
      <c r="A147" s="59">
        <f t="shared" si="66"/>
        <v>45891</v>
      </c>
      <c r="B147" s="60">
        <v>2025</v>
      </c>
      <c r="C147" s="60">
        <v>8</v>
      </c>
      <c r="D147" s="60">
        <v>22</v>
      </c>
      <c r="E147" s="61">
        <v>234</v>
      </c>
      <c r="F147" s="62">
        <v>35</v>
      </c>
      <c r="G147" s="62">
        <v>15</v>
      </c>
      <c r="H147" s="70">
        <f t="shared" si="67"/>
        <v>25</v>
      </c>
      <c r="I147" s="62">
        <v>98</v>
      </c>
      <c r="J147" s="62">
        <v>75</v>
      </c>
      <c r="K147" s="62">
        <v>1</v>
      </c>
      <c r="L147" s="62">
        <v>30</v>
      </c>
      <c r="M147" s="71">
        <f t="shared" si="68"/>
        <v>11.314755282063524</v>
      </c>
      <c r="N147" s="72">
        <f t="shared" si="69"/>
        <v>0.19748019552294871</v>
      </c>
      <c r="O147" s="72">
        <f t="shared" si="70"/>
        <v>1.7327237334845549</v>
      </c>
      <c r="P147" s="72">
        <f t="shared" si="71"/>
        <v>0.97914082829958393</v>
      </c>
      <c r="Q147" s="71">
        <f t="shared" si="72"/>
        <v>35.40609612255048</v>
      </c>
      <c r="R147" s="72">
        <f t="shared" si="73"/>
        <v>1</v>
      </c>
      <c r="S147" s="71">
        <f t="shared" si="74"/>
        <v>13.237003311570319</v>
      </c>
      <c r="T147" s="72">
        <f t="shared" si="75"/>
        <v>5.6226812384961216</v>
      </c>
      <c r="U147" s="72">
        <f t="shared" si="76"/>
        <v>1.7053462321157722</v>
      </c>
      <c r="V147" s="72">
        <f t="shared" si="77"/>
        <v>4.2170109288720914</v>
      </c>
      <c r="W147" s="72">
        <f t="shared" si="78"/>
        <v>1.6712393074734566</v>
      </c>
      <c r="X147" s="72">
        <f t="shared" si="79"/>
        <v>2.9441251181727739</v>
      </c>
      <c r="Y147" s="72">
        <f t="shared" si="80"/>
        <v>0.71988861713317309</v>
      </c>
      <c r="Z147" s="72">
        <f t="shared" si="81"/>
        <v>3.8557764635098803</v>
      </c>
      <c r="AA147" s="72">
        <f t="shared" si="82"/>
        <v>19.244223536490122</v>
      </c>
      <c r="AB147" s="72">
        <f t="shared" si="83"/>
        <v>3.1677777175068473</v>
      </c>
      <c r="AC147" s="72">
        <f t="shared" si="84"/>
        <v>0.18868182684282603</v>
      </c>
      <c r="AD147" s="73">
        <f t="shared" si="85"/>
        <v>1206.0988078320233</v>
      </c>
      <c r="AE147" s="71">
        <f t="shared" si="86"/>
        <v>193.25470065891747</v>
      </c>
      <c r="AF147" s="74">
        <f t="shared" si="87"/>
        <v>5.8639999173037172</v>
      </c>
      <c r="AG147" s="75">
        <f t="shared" si="88"/>
        <v>5.9854371009828196</v>
      </c>
      <c r="AH147" s="76">
        <f t="shared" si="89"/>
        <v>4.3012267184041919</v>
      </c>
      <c r="AI147" s="77">
        <f t="shared" si="90"/>
        <v>5.8672184638494684</v>
      </c>
    </row>
    <row r="148" spans="1:35" ht="15.75" customHeight="1" x14ac:dyDescent="0.45">
      <c r="A148" s="59">
        <f t="shared" si="66"/>
        <v>45892</v>
      </c>
      <c r="B148" s="60">
        <v>2025</v>
      </c>
      <c r="C148" s="60">
        <v>8</v>
      </c>
      <c r="D148" s="60">
        <v>23</v>
      </c>
      <c r="E148" s="61">
        <v>235</v>
      </c>
      <c r="F148" s="62">
        <v>35</v>
      </c>
      <c r="G148" s="62">
        <v>15</v>
      </c>
      <c r="H148" s="70">
        <f t="shared" si="67"/>
        <v>25</v>
      </c>
      <c r="I148" s="62">
        <v>98</v>
      </c>
      <c r="J148" s="62">
        <v>75</v>
      </c>
      <c r="K148" s="62">
        <v>1</v>
      </c>
      <c r="L148" s="62">
        <v>30</v>
      </c>
      <c r="M148" s="71">
        <f t="shared" si="68"/>
        <v>10.959521067095789</v>
      </c>
      <c r="N148" s="72">
        <f t="shared" si="69"/>
        <v>0.19128017435771183</v>
      </c>
      <c r="O148" s="72">
        <f t="shared" si="70"/>
        <v>1.7274678901234739</v>
      </c>
      <c r="P148" s="72">
        <f t="shared" si="71"/>
        <v>0.9795840889512285</v>
      </c>
      <c r="Q148" s="71">
        <f t="shared" si="72"/>
        <v>35.213933465457202</v>
      </c>
      <c r="R148" s="72">
        <f t="shared" si="73"/>
        <v>1</v>
      </c>
      <c r="S148" s="71">
        <f t="shared" si="74"/>
        <v>13.196851719812633</v>
      </c>
      <c r="T148" s="72">
        <f t="shared" si="75"/>
        <v>5.6226812384961216</v>
      </c>
      <c r="U148" s="72">
        <f t="shared" si="76"/>
        <v>1.7053462321157722</v>
      </c>
      <c r="V148" s="72">
        <f t="shared" si="77"/>
        <v>4.2170109288720914</v>
      </c>
      <c r="W148" s="72">
        <f t="shared" si="78"/>
        <v>1.6712393074734566</v>
      </c>
      <c r="X148" s="72">
        <f t="shared" si="79"/>
        <v>2.9441251181727739</v>
      </c>
      <c r="Y148" s="72">
        <f t="shared" si="80"/>
        <v>0.71988861713317309</v>
      </c>
      <c r="Z148" s="72">
        <f t="shared" si="81"/>
        <v>3.8557764635098803</v>
      </c>
      <c r="AA148" s="72">
        <f t="shared" si="82"/>
        <v>19.244223536490122</v>
      </c>
      <c r="AB148" s="72">
        <f t="shared" si="83"/>
        <v>3.1677777175068473</v>
      </c>
      <c r="AC148" s="72">
        <f t="shared" si="84"/>
        <v>0.18868182684282603</v>
      </c>
      <c r="AD148" s="73">
        <f t="shared" si="85"/>
        <v>1206.0988078320233</v>
      </c>
      <c r="AE148" s="71">
        <f t="shared" si="86"/>
        <v>193.25470065891747</v>
      </c>
      <c r="AF148" s="74">
        <f t="shared" si="87"/>
        <v>5.8639999173037172</v>
      </c>
      <c r="AG148" s="75">
        <f t="shared" si="88"/>
        <v>5.9529518054221775</v>
      </c>
      <c r="AH148" s="76">
        <f t="shared" si="89"/>
        <v>4.3012267184041919</v>
      </c>
      <c r="AI148" s="77">
        <f t="shared" si="90"/>
        <v>5.8672184638494684</v>
      </c>
    </row>
    <row r="149" spans="1:35" ht="15.75" customHeight="1" x14ac:dyDescent="0.45">
      <c r="A149" s="59">
        <f t="shared" si="66"/>
        <v>45893</v>
      </c>
      <c r="B149" s="60">
        <v>2025</v>
      </c>
      <c r="C149" s="60">
        <v>8</v>
      </c>
      <c r="D149" s="60">
        <v>24</v>
      </c>
      <c r="E149" s="61">
        <v>236</v>
      </c>
      <c r="F149" s="62">
        <v>35</v>
      </c>
      <c r="G149" s="62">
        <v>15</v>
      </c>
      <c r="H149" s="70">
        <f t="shared" si="67"/>
        <v>25</v>
      </c>
      <c r="I149" s="62">
        <v>98</v>
      </c>
      <c r="J149" s="62">
        <v>75</v>
      </c>
      <c r="K149" s="62">
        <v>1</v>
      </c>
      <c r="L149" s="62">
        <v>30</v>
      </c>
      <c r="M149" s="71">
        <f t="shared" si="68"/>
        <v>10.601039294322062</v>
      </c>
      <c r="N149" s="72">
        <f t="shared" si="69"/>
        <v>0.18502347248356771</v>
      </c>
      <c r="O149" s="72">
        <f t="shared" si="70"/>
        <v>1.7221811790219994</v>
      </c>
      <c r="P149" s="72">
        <f t="shared" si="71"/>
        <v>0.98003339930622113</v>
      </c>
      <c r="Q149" s="71">
        <f t="shared" si="72"/>
        <v>35.019294115653153</v>
      </c>
      <c r="R149" s="72">
        <f t="shared" si="73"/>
        <v>1</v>
      </c>
      <c r="S149" s="71">
        <f t="shared" si="74"/>
        <v>13.156464316440026</v>
      </c>
      <c r="T149" s="72">
        <f t="shared" si="75"/>
        <v>5.6226812384961216</v>
      </c>
      <c r="U149" s="72">
        <f t="shared" si="76"/>
        <v>1.7053462321157722</v>
      </c>
      <c r="V149" s="72">
        <f t="shared" si="77"/>
        <v>4.2170109288720914</v>
      </c>
      <c r="W149" s="72">
        <f t="shared" si="78"/>
        <v>1.6712393074734566</v>
      </c>
      <c r="X149" s="72">
        <f t="shared" si="79"/>
        <v>2.9441251181727739</v>
      </c>
      <c r="Y149" s="72">
        <f t="shared" si="80"/>
        <v>0.71988861713317309</v>
      </c>
      <c r="Z149" s="72">
        <f t="shared" si="81"/>
        <v>3.8557764635098803</v>
      </c>
      <c r="AA149" s="72">
        <f t="shared" si="82"/>
        <v>19.244223536490122</v>
      </c>
      <c r="AB149" s="72">
        <f t="shared" si="83"/>
        <v>3.1677777175068473</v>
      </c>
      <c r="AC149" s="72">
        <f t="shared" si="84"/>
        <v>0.18868182684282603</v>
      </c>
      <c r="AD149" s="73">
        <f t="shared" si="85"/>
        <v>1206.0988078320233</v>
      </c>
      <c r="AE149" s="71">
        <f t="shared" si="86"/>
        <v>193.25470065891747</v>
      </c>
      <c r="AF149" s="74">
        <f t="shared" si="87"/>
        <v>5.8639999173037172</v>
      </c>
      <c r="AG149" s="75">
        <f t="shared" si="88"/>
        <v>5.9200478224019673</v>
      </c>
      <c r="AH149" s="76">
        <f t="shared" si="89"/>
        <v>4.3012267184041919</v>
      </c>
      <c r="AI149" s="77">
        <f t="shared" si="90"/>
        <v>5.8672184638494684</v>
      </c>
    </row>
    <row r="150" spans="1:35" ht="15.75" customHeight="1" x14ac:dyDescent="0.45">
      <c r="A150" s="59">
        <f t="shared" si="66"/>
        <v>45894</v>
      </c>
      <c r="B150" s="60">
        <v>2025</v>
      </c>
      <c r="C150" s="60">
        <v>8</v>
      </c>
      <c r="D150" s="60">
        <v>25</v>
      </c>
      <c r="E150" s="61">
        <v>237</v>
      </c>
      <c r="F150" s="62">
        <v>35</v>
      </c>
      <c r="G150" s="62">
        <v>15</v>
      </c>
      <c r="H150" s="70">
        <f t="shared" si="67"/>
        <v>25</v>
      </c>
      <c r="I150" s="62">
        <v>98</v>
      </c>
      <c r="J150" s="62">
        <v>75</v>
      </c>
      <c r="K150" s="62">
        <v>1</v>
      </c>
      <c r="L150" s="62">
        <v>30</v>
      </c>
      <c r="M150" s="71">
        <f t="shared" si="68"/>
        <v>10.239416190125075</v>
      </c>
      <c r="N150" s="72">
        <f t="shared" si="69"/>
        <v>0.17871194390498296</v>
      </c>
      <c r="O150" s="72">
        <f t="shared" si="70"/>
        <v>1.7168649712292496</v>
      </c>
      <c r="P150" s="72">
        <f t="shared" si="71"/>
        <v>0.98048862622358413</v>
      </c>
      <c r="Q150" s="71">
        <f t="shared" si="72"/>
        <v>34.822217275442071</v>
      </c>
      <c r="R150" s="72">
        <f t="shared" si="73"/>
        <v>1</v>
      </c>
      <c r="S150" s="71">
        <f t="shared" si="74"/>
        <v>13.115851575471734</v>
      </c>
      <c r="T150" s="72">
        <f t="shared" si="75"/>
        <v>5.6226812384961216</v>
      </c>
      <c r="U150" s="72">
        <f t="shared" si="76"/>
        <v>1.7053462321157722</v>
      </c>
      <c r="V150" s="72">
        <f t="shared" si="77"/>
        <v>4.2170109288720914</v>
      </c>
      <c r="W150" s="72">
        <f t="shared" si="78"/>
        <v>1.6712393074734566</v>
      </c>
      <c r="X150" s="72">
        <f t="shared" si="79"/>
        <v>2.9441251181727739</v>
      </c>
      <c r="Y150" s="72">
        <f t="shared" si="80"/>
        <v>0.71988861713317309</v>
      </c>
      <c r="Z150" s="72">
        <f t="shared" si="81"/>
        <v>3.8557764635098803</v>
      </c>
      <c r="AA150" s="72">
        <f t="shared" si="82"/>
        <v>19.244223536490122</v>
      </c>
      <c r="AB150" s="72">
        <f t="shared" si="83"/>
        <v>3.1677777175068473</v>
      </c>
      <c r="AC150" s="72">
        <f t="shared" si="84"/>
        <v>0.18868182684282603</v>
      </c>
      <c r="AD150" s="73">
        <f t="shared" si="85"/>
        <v>1206.0988078320233</v>
      </c>
      <c r="AE150" s="71">
        <f t="shared" si="86"/>
        <v>193.25470065891747</v>
      </c>
      <c r="AF150" s="74">
        <f t="shared" si="87"/>
        <v>5.8639999173037172</v>
      </c>
      <c r="AG150" s="75">
        <f t="shared" si="88"/>
        <v>5.8867317791121057</v>
      </c>
      <c r="AH150" s="76">
        <f t="shared" si="89"/>
        <v>4.3012267184041919</v>
      </c>
      <c r="AI150" s="77">
        <f t="shared" si="90"/>
        <v>5.8672184638494684</v>
      </c>
    </row>
    <row r="151" spans="1:35" ht="15.75" customHeight="1" x14ac:dyDescent="0.45">
      <c r="A151" s="59">
        <f t="shared" si="66"/>
        <v>45895</v>
      </c>
      <c r="B151" s="60">
        <v>2025</v>
      </c>
      <c r="C151" s="60">
        <v>8</v>
      </c>
      <c r="D151" s="60">
        <v>26</v>
      </c>
      <c r="E151" s="61">
        <v>238</v>
      </c>
      <c r="F151" s="62">
        <v>35</v>
      </c>
      <c r="G151" s="62">
        <v>15</v>
      </c>
      <c r="H151" s="70">
        <f t="shared" si="67"/>
        <v>25</v>
      </c>
      <c r="I151" s="62">
        <v>98</v>
      </c>
      <c r="J151" s="62">
        <v>75</v>
      </c>
      <c r="K151" s="62">
        <v>1</v>
      </c>
      <c r="L151" s="62">
        <v>30</v>
      </c>
      <c r="M151" s="71">
        <f t="shared" si="68"/>
        <v>9.8747589117362153</v>
      </c>
      <c r="N151" s="72">
        <f t="shared" si="69"/>
        <v>0.17234745887283609</v>
      </c>
      <c r="O151" s="72">
        <f t="shared" si="70"/>
        <v>1.711520610412367</v>
      </c>
      <c r="P151" s="72">
        <f t="shared" si="71"/>
        <v>0.98094963480912634</v>
      </c>
      <c r="Q151" s="71">
        <f t="shared" si="72"/>
        <v>34.622743752830949</v>
      </c>
      <c r="R151" s="72">
        <f t="shared" si="73"/>
        <v>1</v>
      </c>
      <c r="S151" s="71">
        <f t="shared" si="74"/>
        <v>13.075023761744593</v>
      </c>
      <c r="T151" s="72">
        <f t="shared" si="75"/>
        <v>5.6226812384961216</v>
      </c>
      <c r="U151" s="72">
        <f t="shared" si="76"/>
        <v>1.7053462321157722</v>
      </c>
      <c r="V151" s="72">
        <f t="shared" si="77"/>
        <v>4.2170109288720914</v>
      </c>
      <c r="W151" s="72">
        <f t="shared" si="78"/>
        <v>1.6712393074734566</v>
      </c>
      <c r="X151" s="72">
        <f t="shared" si="79"/>
        <v>2.9441251181727739</v>
      </c>
      <c r="Y151" s="72">
        <f t="shared" si="80"/>
        <v>0.71988861713317309</v>
      </c>
      <c r="Z151" s="72">
        <f t="shared" si="81"/>
        <v>3.8557764635098803</v>
      </c>
      <c r="AA151" s="72">
        <f t="shared" si="82"/>
        <v>19.244223536490122</v>
      </c>
      <c r="AB151" s="72">
        <f t="shared" si="83"/>
        <v>3.1677777175068473</v>
      </c>
      <c r="AC151" s="72">
        <f t="shared" si="84"/>
        <v>0.18868182684282603</v>
      </c>
      <c r="AD151" s="73">
        <f t="shared" si="85"/>
        <v>1206.0988078320233</v>
      </c>
      <c r="AE151" s="71">
        <f t="shared" si="86"/>
        <v>193.25470065891747</v>
      </c>
      <c r="AF151" s="74">
        <f t="shared" si="87"/>
        <v>5.8639999173037172</v>
      </c>
      <c r="AG151" s="75">
        <f t="shared" si="88"/>
        <v>5.8530105741883052</v>
      </c>
      <c r="AH151" s="76">
        <f t="shared" si="89"/>
        <v>4.3012267184041919</v>
      </c>
      <c r="AI151" s="77">
        <f t="shared" si="90"/>
        <v>5.8672184638494684</v>
      </c>
    </row>
    <row r="152" spans="1:35" ht="15.75" customHeight="1" x14ac:dyDescent="0.45">
      <c r="A152" s="59">
        <f t="shared" si="66"/>
        <v>45896</v>
      </c>
      <c r="B152" s="60">
        <v>2025</v>
      </c>
      <c r="C152" s="60">
        <v>8</v>
      </c>
      <c r="D152" s="60">
        <v>27</v>
      </c>
      <c r="E152" s="61">
        <v>239</v>
      </c>
      <c r="F152" s="62">
        <v>35</v>
      </c>
      <c r="G152" s="62">
        <v>15</v>
      </c>
      <c r="H152" s="70">
        <f t="shared" si="67"/>
        <v>25</v>
      </c>
      <c r="I152" s="62">
        <v>98</v>
      </c>
      <c r="J152" s="62">
        <v>75</v>
      </c>
      <c r="K152" s="62">
        <v>1</v>
      </c>
      <c r="L152" s="62">
        <v>30</v>
      </c>
      <c r="M152" s="71">
        <f t="shared" si="68"/>
        <v>9.5071755154823645</v>
      </c>
      <c r="N152" s="72">
        <f t="shared" si="69"/>
        <v>0.16593190333021887</v>
      </c>
      <c r="O152" s="72">
        <f t="shared" si="70"/>
        <v>1.7061494133366615</v>
      </c>
      <c r="P152" s="72">
        <f t="shared" si="71"/>
        <v>0.98141628845541562</v>
      </c>
      <c r="Q152" s="71">
        <f t="shared" si="72"/>
        <v>34.420915980881013</v>
      </c>
      <c r="R152" s="72">
        <f t="shared" si="73"/>
        <v>1</v>
      </c>
      <c r="S152" s="71">
        <f t="shared" si="74"/>
        <v>13.033990934581066</v>
      </c>
      <c r="T152" s="72">
        <f t="shared" si="75"/>
        <v>5.6226812384961216</v>
      </c>
      <c r="U152" s="72">
        <f t="shared" si="76"/>
        <v>1.7053462321157722</v>
      </c>
      <c r="V152" s="72">
        <f t="shared" si="77"/>
        <v>4.2170109288720914</v>
      </c>
      <c r="W152" s="72">
        <f t="shared" si="78"/>
        <v>1.6712393074734566</v>
      </c>
      <c r="X152" s="72">
        <f t="shared" si="79"/>
        <v>2.9441251181727739</v>
      </c>
      <c r="Y152" s="72">
        <f t="shared" si="80"/>
        <v>0.71988861713317309</v>
      </c>
      <c r="Z152" s="72">
        <f t="shared" si="81"/>
        <v>3.8557764635098803</v>
      </c>
      <c r="AA152" s="72">
        <f t="shared" si="82"/>
        <v>19.244223536490122</v>
      </c>
      <c r="AB152" s="72">
        <f t="shared" si="83"/>
        <v>3.1677777175068473</v>
      </c>
      <c r="AC152" s="72">
        <f t="shared" si="84"/>
        <v>0.18868182684282603</v>
      </c>
      <c r="AD152" s="73">
        <f t="shared" si="85"/>
        <v>1206.0988078320233</v>
      </c>
      <c r="AE152" s="71">
        <f t="shared" si="86"/>
        <v>193.25470065891747</v>
      </c>
      <c r="AF152" s="74">
        <f t="shared" si="87"/>
        <v>5.8639999173037172</v>
      </c>
      <c r="AG152" s="75">
        <f t="shared" si="88"/>
        <v>5.8188913809833673</v>
      </c>
      <c r="AH152" s="76">
        <f t="shared" si="89"/>
        <v>4.3012267184041919</v>
      </c>
      <c r="AI152" s="77">
        <f t="shared" si="90"/>
        <v>5.8672184638494684</v>
      </c>
    </row>
    <row r="153" spans="1:35" ht="15.75" customHeight="1" x14ac:dyDescent="0.45">
      <c r="A153" s="59">
        <f t="shared" si="66"/>
        <v>45897</v>
      </c>
      <c r="B153" s="60">
        <v>2025</v>
      </c>
      <c r="C153" s="60">
        <v>8</v>
      </c>
      <c r="D153" s="60">
        <v>28</v>
      </c>
      <c r="E153" s="61">
        <v>240</v>
      </c>
      <c r="F153" s="62">
        <v>35</v>
      </c>
      <c r="G153" s="62">
        <v>15</v>
      </c>
      <c r="H153" s="70">
        <f t="shared" si="67"/>
        <v>25</v>
      </c>
      <c r="I153" s="62">
        <v>98</v>
      </c>
      <c r="J153" s="62">
        <v>75</v>
      </c>
      <c r="K153" s="62">
        <v>1</v>
      </c>
      <c r="L153" s="62">
        <v>30</v>
      </c>
      <c r="M153" s="71">
        <f t="shared" si="68"/>
        <v>9.1367749247663497</v>
      </c>
      <c r="N153" s="72">
        <f t="shared" si="69"/>
        <v>0.15946717835358867</v>
      </c>
      <c r="O153" s="72">
        <f t="shared" si="70"/>
        <v>1.7007526704111635</v>
      </c>
      <c r="P153" s="72">
        <f t="shared" si="71"/>
        <v>0.98188844888225868</v>
      </c>
      <c r="Q153" s="71">
        <f t="shared" si="72"/>
        <v>34.216778034680175</v>
      </c>
      <c r="R153" s="72">
        <f t="shared" si="73"/>
        <v>1</v>
      </c>
      <c r="S153" s="71">
        <f t="shared" si="74"/>
        <v>12.992762951956941</v>
      </c>
      <c r="T153" s="72">
        <f t="shared" si="75"/>
        <v>5.6226812384961216</v>
      </c>
      <c r="U153" s="72">
        <f t="shared" si="76"/>
        <v>1.7053462321157722</v>
      </c>
      <c r="V153" s="72">
        <f t="shared" si="77"/>
        <v>4.2170109288720914</v>
      </c>
      <c r="W153" s="72">
        <f t="shared" si="78"/>
        <v>1.6712393074734566</v>
      </c>
      <c r="X153" s="72">
        <f t="shared" si="79"/>
        <v>2.9441251181727739</v>
      </c>
      <c r="Y153" s="72">
        <f t="shared" si="80"/>
        <v>0.71988861713317309</v>
      </c>
      <c r="Z153" s="72">
        <f t="shared" si="81"/>
        <v>3.8557764635098803</v>
      </c>
      <c r="AA153" s="72">
        <f t="shared" si="82"/>
        <v>19.244223536490122</v>
      </c>
      <c r="AB153" s="72">
        <f t="shared" si="83"/>
        <v>3.1677777175068473</v>
      </c>
      <c r="AC153" s="72">
        <f t="shared" si="84"/>
        <v>0.18868182684282603</v>
      </c>
      <c r="AD153" s="73">
        <f t="shared" si="85"/>
        <v>1206.0988078320233</v>
      </c>
      <c r="AE153" s="71">
        <f t="shared" si="86"/>
        <v>193.25470065891747</v>
      </c>
      <c r="AF153" s="74">
        <f t="shared" si="87"/>
        <v>5.8639999173037172</v>
      </c>
      <c r="AG153" s="75">
        <f t="shared" si="88"/>
        <v>5.7843816504364103</v>
      </c>
      <c r="AH153" s="76">
        <f t="shared" si="89"/>
        <v>4.3012267184041919</v>
      </c>
      <c r="AI153" s="77">
        <f t="shared" si="90"/>
        <v>5.8672184638494684</v>
      </c>
    </row>
    <row r="154" spans="1:35" ht="15.75" customHeight="1" x14ac:dyDescent="0.45">
      <c r="A154" s="59">
        <f t="shared" si="66"/>
        <v>45898</v>
      </c>
      <c r="B154" s="60">
        <v>2025</v>
      </c>
      <c r="C154" s="60">
        <v>8</v>
      </c>
      <c r="D154" s="60">
        <v>29</v>
      </c>
      <c r="E154" s="61">
        <v>241</v>
      </c>
      <c r="F154" s="62">
        <v>35</v>
      </c>
      <c r="G154" s="62">
        <v>15</v>
      </c>
      <c r="H154" s="70">
        <f t="shared" si="67"/>
        <v>25</v>
      </c>
      <c r="I154" s="62">
        <v>98</v>
      </c>
      <c r="J154" s="62">
        <v>75</v>
      </c>
      <c r="K154" s="62">
        <v>1</v>
      </c>
      <c r="L154" s="62">
        <v>30</v>
      </c>
      <c r="M154" s="71">
        <f t="shared" si="68"/>
        <v>8.7636668977904044</v>
      </c>
      <c r="N154" s="72">
        <f t="shared" si="69"/>
        <v>0.15295519958943518</v>
      </c>
      <c r="O154" s="72">
        <f t="shared" si="70"/>
        <v>1.6953316462960086</v>
      </c>
      <c r="P154" s="72">
        <f t="shared" si="71"/>
        <v>0.98236597617767663</v>
      </c>
      <c r="Q154" s="71">
        <f t="shared" si="72"/>
        <v>34.010375645848058</v>
      </c>
      <c r="R154" s="72">
        <f t="shared" si="73"/>
        <v>1</v>
      </c>
      <c r="S154" s="71">
        <f t="shared" si="74"/>
        <v>12.951349475141397</v>
      </c>
      <c r="T154" s="72">
        <f t="shared" si="75"/>
        <v>5.6226812384961216</v>
      </c>
      <c r="U154" s="72">
        <f t="shared" si="76"/>
        <v>1.7053462321157722</v>
      </c>
      <c r="V154" s="72">
        <f t="shared" si="77"/>
        <v>4.2170109288720914</v>
      </c>
      <c r="W154" s="72">
        <f t="shared" si="78"/>
        <v>1.6712393074734566</v>
      </c>
      <c r="X154" s="72">
        <f t="shared" si="79"/>
        <v>2.9441251181727739</v>
      </c>
      <c r="Y154" s="72">
        <f t="shared" si="80"/>
        <v>0.71988861713317309</v>
      </c>
      <c r="Z154" s="72">
        <f t="shared" si="81"/>
        <v>3.8557764635098803</v>
      </c>
      <c r="AA154" s="72">
        <f t="shared" si="82"/>
        <v>19.244223536490122</v>
      </c>
      <c r="AB154" s="72">
        <f t="shared" si="83"/>
        <v>3.1677777175068473</v>
      </c>
      <c r="AC154" s="72">
        <f t="shared" si="84"/>
        <v>0.18868182684282603</v>
      </c>
      <c r="AD154" s="73">
        <f t="shared" si="85"/>
        <v>1206.0988078320233</v>
      </c>
      <c r="AE154" s="71">
        <f t="shared" si="86"/>
        <v>193.25470065891747</v>
      </c>
      <c r="AF154" s="74">
        <f t="shared" si="87"/>
        <v>5.8639999173037172</v>
      </c>
      <c r="AG154" s="75">
        <f t="shared" si="88"/>
        <v>5.7494891135249375</v>
      </c>
      <c r="AH154" s="76">
        <f t="shared" si="89"/>
        <v>4.3012267184041919</v>
      </c>
      <c r="AI154" s="77">
        <f t="shared" si="90"/>
        <v>5.8672184638494684</v>
      </c>
    </row>
    <row r="155" spans="1:35" ht="15.75" customHeight="1" x14ac:dyDescent="0.45">
      <c r="A155" s="59">
        <f t="shared" si="66"/>
        <v>45899</v>
      </c>
      <c r="B155" s="60">
        <v>2025</v>
      </c>
      <c r="C155" s="60">
        <v>8</v>
      </c>
      <c r="D155" s="60">
        <v>30</v>
      </c>
      <c r="E155" s="61">
        <v>242</v>
      </c>
      <c r="F155" s="62">
        <v>35</v>
      </c>
      <c r="G155" s="62">
        <v>15</v>
      </c>
      <c r="H155" s="70">
        <f t="shared" si="67"/>
        <v>25</v>
      </c>
      <c r="I155" s="62">
        <v>98</v>
      </c>
      <c r="J155" s="62">
        <v>75</v>
      </c>
      <c r="K155" s="62">
        <v>1</v>
      </c>
      <c r="L155" s="62">
        <v>30</v>
      </c>
      <c r="M155" s="71">
        <f t="shared" si="68"/>
        <v>8.3879619950323114</v>
      </c>
      <c r="N155" s="72">
        <f t="shared" si="69"/>
        <v>0.14639789668663061</v>
      </c>
      <c r="O155" s="72">
        <f t="shared" si="70"/>
        <v>1.6898875805681604</v>
      </c>
      <c r="P155" s="72">
        <f t="shared" si="71"/>
        <v>0.98284872883936425</v>
      </c>
      <c r="Q155" s="71">
        <f t="shared" si="72"/>
        <v>33.801756214491299</v>
      </c>
      <c r="R155" s="72">
        <f t="shared" si="73"/>
        <v>1</v>
      </c>
      <c r="S155" s="71">
        <f t="shared" si="74"/>
        <v>12.909759973782737</v>
      </c>
      <c r="T155" s="72">
        <f t="shared" si="75"/>
        <v>5.6226812384961216</v>
      </c>
      <c r="U155" s="72">
        <f t="shared" si="76"/>
        <v>1.7053462321157722</v>
      </c>
      <c r="V155" s="72">
        <f t="shared" si="77"/>
        <v>4.2170109288720914</v>
      </c>
      <c r="W155" s="72">
        <f t="shared" si="78"/>
        <v>1.6712393074734566</v>
      </c>
      <c r="X155" s="72">
        <f t="shared" si="79"/>
        <v>2.9441251181727739</v>
      </c>
      <c r="Y155" s="72">
        <f t="shared" si="80"/>
        <v>0.71988861713317309</v>
      </c>
      <c r="Z155" s="72">
        <f t="shared" si="81"/>
        <v>3.8557764635098803</v>
      </c>
      <c r="AA155" s="72">
        <f t="shared" si="82"/>
        <v>19.244223536490122</v>
      </c>
      <c r="AB155" s="72">
        <f t="shared" si="83"/>
        <v>3.1677777175068473</v>
      </c>
      <c r="AC155" s="72">
        <f t="shared" si="84"/>
        <v>0.18868182684282603</v>
      </c>
      <c r="AD155" s="73">
        <f t="shared" si="85"/>
        <v>1206.0988078320233</v>
      </c>
      <c r="AE155" s="71">
        <f t="shared" si="86"/>
        <v>193.25470065891747</v>
      </c>
      <c r="AF155" s="74">
        <f t="shared" si="87"/>
        <v>5.8639999173037172</v>
      </c>
      <c r="AG155" s="75">
        <f t="shared" si="88"/>
        <v>5.7142217832859119</v>
      </c>
      <c r="AH155" s="76">
        <f t="shared" si="89"/>
        <v>4.3012267184041919</v>
      </c>
      <c r="AI155" s="77">
        <f t="shared" si="90"/>
        <v>5.8672184638494684</v>
      </c>
    </row>
    <row r="156" spans="1:35" ht="15.75" customHeight="1" x14ac:dyDescent="0.45">
      <c r="A156" s="59">
        <f t="shared" si="66"/>
        <v>45900</v>
      </c>
      <c r="B156" s="60">
        <v>2025</v>
      </c>
      <c r="C156" s="60">
        <v>8</v>
      </c>
      <c r="D156" s="60">
        <v>31</v>
      </c>
      <c r="E156" s="61">
        <v>243</v>
      </c>
      <c r="F156" s="62">
        <v>35</v>
      </c>
      <c r="G156" s="62">
        <v>15</v>
      </c>
      <c r="H156" s="70">
        <f t="shared" si="67"/>
        <v>25</v>
      </c>
      <c r="I156" s="62">
        <v>98</v>
      </c>
      <c r="J156" s="62">
        <v>75</v>
      </c>
      <c r="K156" s="62">
        <v>1</v>
      </c>
      <c r="L156" s="62">
        <v>30</v>
      </c>
      <c r="M156" s="71">
        <f t="shared" si="68"/>
        <v>8.0097715464837993</v>
      </c>
      <c r="N156" s="72">
        <f t="shared" si="69"/>
        <v>0.13979721272463055</v>
      </c>
      <c r="O156" s="72">
        <f t="shared" si="70"/>
        <v>1.684421688442062</v>
      </c>
      <c r="P156" s="72">
        <f t="shared" si="71"/>
        <v>0.98333656381662016</v>
      </c>
      <c r="Q156" s="71">
        <f t="shared" si="72"/>
        <v>33.590968818532865</v>
      </c>
      <c r="R156" s="72">
        <f t="shared" si="73"/>
        <v>1</v>
      </c>
      <c r="S156" s="71">
        <f t="shared" si="74"/>
        <v>12.868003731413767</v>
      </c>
      <c r="T156" s="72">
        <f t="shared" si="75"/>
        <v>5.6226812384961216</v>
      </c>
      <c r="U156" s="72">
        <f t="shared" si="76"/>
        <v>1.7053462321157722</v>
      </c>
      <c r="V156" s="72">
        <f t="shared" si="77"/>
        <v>4.2170109288720914</v>
      </c>
      <c r="W156" s="72">
        <f t="shared" si="78"/>
        <v>1.6712393074734566</v>
      </c>
      <c r="X156" s="72">
        <f t="shared" si="79"/>
        <v>2.9441251181727739</v>
      </c>
      <c r="Y156" s="72">
        <f t="shared" si="80"/>
        <v>0.71988861713317309</v>
      </c>
      <c r="Z156" s="72">
        <f t="shared" si="81"/>
        <v>3.8557764635098803</v>
      </c>
      <c r="AA156" s="72">
        <f t="shared" si="82"/>
        <v>19.244223536490122</v>
      </c>
      <c r="AB156" s="72">
        <f t="shared" si="83"/>
        <v>3.1677777175068473</v>
      </c>
      <c r="AC156" s="72">
        <f t="shared" si="84"/>
        <v>0.18868182684282603</v>
      </c>
      <c r="AD156" s="73">
        <f t="shared" si="85"/>
        <v>1206.0988078320233</v>
      </c>
      <c r="AE156" s="71">
        <f t="shared" si="86"/>
        <v>193.25470065891747</v>
      </c>
      <c r="AF156" s="74">
        <f t="shared" si="87"/>
        <v>5.8639999173037172</v>
      </c>
      <c r="AG156" s="75">
        <f t="shared" si="88"/>
        <v>5.6785879563928754</v>
      </c>
      <c r="AH156" s="76">
        <f t="shared" si="89"/>
        <v>4.3012267184041919</v>
      </c>
      <c r="AI156" s="77">
        <f t="shared" si="90"/>
        <v>5.8672184638494684</v>
      </c>
    </row>
    <row r="157" spans="1:35" ht="15.75" customHeight="1" x14ac:dyDescent="0.45">
      <c r="A157" s="59">
        <f t="shared" si="66"/>
        <v>45901</v>
      </c>
      <c r="B157" s="60">
        <v>2025</v>
      </c>
      <c r="C157" s="60">
        <v>9</v>
      </c>
      <c r="D157" s="60">
        <v>1</v>
      </c>
      <c r="E157" s="61">
        <v>244</v>
      </c>
      <c r="F157" s="62">
        <v>35</v>
      </c>
      <c r="G157" s="62">
        <v>15</v>
      </c>
      <c r="H157" s="70">
        <f t="shared" si="67"/>
        <v>25</v>
      </c>
      <c r="I157" s="62">
        <v>98</v>
      </c>
      <c r="J157" s="62">
        <v>75</v>
      </c>
      <c r="K157" s="62">
        <v>1</v>
      </c>
      <c r="L157" s="62">
        <v>30</v>
      </c>
      <c r="M157" s="71">
        <f t="shared" si="68"/>
        <v>7.629207618660895</v>
      </c>
      <c r="N157" s="72">
        <f t="shared" si="69"/>
        <v>0.13315510363769481</v>
      </c>
      <c r="O157" s="72">
        <f t="shared" si="70"/>
        <v>1.6789351615418948</v>
      </c>
      <c r="P157" s="72">
        <f t="shared" si="71"/>
        <v>0.98382933655273619</v>
      </c>
      <c r="Q157" s="71">
        <f t="shared" si="72"/>
        <v>33.378064220346026</v>
      </c>
      <c r="R157" s="72">
        <f t="shared" si="73"/>
        <v>1</v>
      </c>
      <c r="S157" s="71">
        <f t="shared" si="74"/>
        <v>12.826089851351375</v>
      </c>
      <c r="T157" s="72">
        <f t="shared" si="75"/>
        <v>5.6226812384961216</v>
      </c>
      <c r="U157" s="72">
        <f t="shared" si="76"/>
        <v>1.7053462321157722</v>
      </c>
      <c r="V157" s="72">
        <f t="shared" si="77"/>
        <v>4.2170109288720914</v>
      </c>
      <c r="W157" s="72">
        <f t="shared" si="78"/>
        <v>1.6712393074734566</v>
      </c>
      <c r="X157" s="72">
        <f t="shared" si="79"/>
        <v>2.9441251181727739</v>
      </c>
      <c r="Y157" s="72">
        <f t="shared" si="80"/>
        <v>0.71988861713317309</v>
      </c>
      <c r="Z157" s="72">
        <f t="shared" si="81"/>
        <v>3.8557764635098803</v>
      </c>
      <c r="AA157" s="72">
        <f t="shared" si="82"/>
        <v>19.244223536490122</v>
      </c>
      <c r="AB157" s="72">
        <f t="shared" si="83"/>
        <v>3.1677777175068473</v>
      </c>
      <c r="AC157" s="72">
        <f t="shared" si="84"/>
        <v>0.18868182684282603</v>
      </c>
      <c r="AD157" s="73">
        <f t="shared" si="85"/>
        <v>1206.0988078320233</v>
      </c>
      <c r="AE157" s="71">
        <f t="shared" si="86"/>
        <v>193.25470065891747</v>
      </c>
      <c r="AF157" s="74">
        <f t="shared" si="87"/>
        <v>5.8639999173037172</v>
      </c>
      <c r="AG157" s="75">
        <f t="shared" si="88"/>
        <v>5.6425962142774351</v>
      </c>
      <c r="AH157" s="76">
        <f t="shared" si="89"/>
        <v>4.3012267184041919</v>
      </c>
      <c r="AI157" s="77">
        <f t="shared" si="90"/>
        <v>5.8672184638494684</v>
      </c>
    </row>
    <row r="158" spans="1:35" ht="15.75" customHeight="1" x14ac:dyDescent="0.45">
      <c r="A158" s="59">
        <f t="shared" si="66"/>
        <v>45902</v>
      </c>
      <c r="B158" s="60">
        <v>2025</v>
      </c>
      <c r="C158" s="60">
        <v>9</v>
      </c>
      <c r="D158" s="60">
        <v>2</v>
      </c>
      <c r="E158" s="61">
        <v>245</v>
      </c>
      <c r="F158" s="62">
        <v>35</v>
      </c>
      <c r="G158" s="62">
        <v>15</v>
      </c>
      <c r="H158" s="70">
        <f t="shared" si="67"/>
        <v>25</v>
      </c>
      <c r="I158" s="62">
        <v>98</v>
      </c>
      <c r="J158" s="62">
        <v>75</v>
      </c>
      <c r="K158" s="62">
        <v>1</v>
      </c>
      <c r="L158" s="62">
        <v>30</v>
      </c>
      <c r="M158" s="71">
        <f t="shared" si="68"/>
        <v>7.246382981396045</v>
      </c>
      <c r="N158" s="72">
        <f t="shared" si="69"/>
        <v>0.12647353763529895</v>
      </c>
      <c r="O158" s="72">
        <f t="shared" si="70"/>
        <v>1.6734291687222207</v>
      </c>
      <c r="P158" s="72">
        <f t="shared" si="71"/>
        <v>0.98432690102783293</v>
      </c>
      <c r="Q158" s="71">
        <f t="shared" si="72"/>
        <v>33.16309487063026</v>
      </c>
      <c r="R158" s="72">
        <f t="shared" si="73"/>
        <v>1</v>
      </c>
      <c r="S158" s="71">
        <f t="shared" si="74"/>
        <v>12.784027262965781</v>
      </c>
      <c r="T158" s="72">
        <f t="shared" si="75"/>
        <v>5.6226812384961216</v>
      </c>
      <c r="U158" s="72">
        <f t="shared" si="76"/>
        <v>1.7053462321157722</v>
      </c>
      <c r="V158" s="72">
        <f t="shared" si="77"/>
        <v>4.2170109288720914</v>
      </c>
      <c r="W158" s="72">
        <f t="shared" si="78"/>
        <v>1.6712393074734566</v>
      </c>
      <c r="X158" s="72">
        <f t="shared" si="79"/>
        <v>2.9441251181727739</v>
      </c>
      <c r="Y158" s="72">
        <f t="shared" si="80"/>
        <v>0.71988861713317309</v>
      </c>
      <c r="Z158" s="72">
        <f t="shared" si="81"/>
        <v>3.8557764635098803</v>
      </c>
      <c r="AA158" s="72">
        <f t="shared" si="82"/>
        <v>19.244223536490122</v>
      </c>
      <c r="AB158" s="72">
        <f t="shared" si="83"/>
        <v>3.1677777175068473</v>
      </c>
      <c r="AC158" s="72">
        <f t="shared" si="84"/>
        <v>0.18868182684282603</v>
      </c>
      <c r="AD158" s="73">
        <f t="shared" si="85"/>
        <v>1206.0988078320233</v>
      </c>
      <c r="AE158" s="71">
        <f t="shared" si="86"/>
        <v>193.25470065891747</v>
      </c>
      <c r="AF158" s="74">
        <f t="shared" si="87"/>
        <v>5.8639999173037172</v>
      </c>
      <c r="AG158" s="75">
        <f t="shared" si="88"/>
        <v>5.6062554237844839</v>
      </c>
      <c r="AH158" s="76">
        <f t="shared" si="89"/>
        <v>4.3012267184041919</v>
      </c>
      <c r="AI158" s="77">
        <f t="shared" si="90"/>
        <v>5.8672184638494684</v>
      </c>
    </row>
    <row r="159" spans="1:35" ht="15.75" customHeight="1" x14ac:dyDescent="0.45">
      <c r="A159" s="59">
        <f t="shared" si="66"/>
        <v>45903</v>
      </c>
      <c r="B159" s="60">
        <v>2025</v>
      </c>
      <c r="C159" s="60">
        <v>9</v>
      </c>
      <c r="D159" s="60">
        <v>3</v>
      </c>
      <c r="E159" s="61">
        <v>246</v>
      </c>
      <c r="F159" s="62">
        <v>35</v>
      </c>
      <c r="G159" s="62">
        <v>15</v>
      </c>
      <c r="H159" s="70">
        <f t="shared" si="67"/>
        <v>25</v>
      </c>
      <c r="I159" s="62">
        <v>98</v>
      </c>
      <c r="J159" s="62">
        <v>75</v>
      </c>
      <c r="K159" s="62">
        <v>1</v>
      </c>
      <c r="L159" s="62">
        <v>30</v>
      </c>
      <c r="M159" s="71">
        <f t="shared" si="68"/>
        <v>6.8614110744218406</v>
      </c>
      <c r="N159" s="72">
        <f t="shared" si="69"/>
        <v>0.11975449461890919</v>
      </c>
      <c r="O159" s="72">
        <f t="shared" si="70"/>
        <v>1.6679048569338875</v>
      </c>
      <c r="P159" s="72">
        <f t="shared" si="71"/>
        <v>0.98482910980212834</v>
      </c>
      <c r="Q159" s="71">
        <f t="shared" si="72"/>
        <v>32.946114909473629</v>
      </c>
      <c r="R159" s="72">
        <f t="shared" si="73"/>
        <v>1</v>
      </c>
      <c r="S159" s="71">
        <f t="shared" si="74"/>
        <v>12.741824728295549</v>
      </c>
      <c r="T159" s="72">
        <f t="shared" si="75"/>
        <v>5.6226812384961216</v>
      </c>
      <c r="U159" s="72">
        <f t="shared" si="76"/>
        <v>1.7053462321157722</v>
      </c>
      <c r="V159" s="72">
        <f t="shared" si="77"/>
        <v>4.2170109288720914</v>
      </c>
      <c r="W159" s="72">
        <f t="shared" si="78"/>
        <v>1.6712393074734566</v>
      </c>
      <c r="X159" s="72">
        <f t="shared" si="79"/>
        <v>2.9441251181727739</v>
      </c>
      <c r="Y159" s="72">
        <f t="shared" si="80"/>
        <v>0.71988861713317309</v>
      </c>
      <c r="Z159" s="72">
        <f t="shared" si="81"/>
        <v>3.8557764635098803</v>
      </c>
      <c r="AA159" s="72">
        <f t="shared" si="82"/>
        <v>19.244223536490122</v>
      </c>
      <c r="AB159" s="72">
        <f t="shared" si="83"/>
        <v>3.1677777175068473</v>
      </c>
      <c r="AC159" s="72">
        <f t="shared" si="84"/>
        <v>0.18868182684282603</v>
      </c>
      <c r="AD159" s="73">
        <f t="shared" si="85"/>
        <v>1206.0988078320233</v>
      </c>
      <c r="AE159" s="71">
        <f t="shared" si="86"/>
        <v>193.25470065891747</v>
      </c>
      <c r="AF159" s="74">
        <f t="shared" si="87"/>
        <v>5.8639999173037172</v>
      </c>
      <c r="AG159" s="75">
        <f t="shared" si="88"/>
        <v>5.5695747373517994</v>
      </c>
      <c r="AH159" s="76">
        <f t="shared" si="89"/>
        <v>4.3012267184041919</v>
      </c>
      <c r="AI159" s="77">
        <f t="shared" si="90"/>
        <v>5.8672184638494684</v>
      </c>
    </row>
    <row r="160" spans="1:35" ht="15.75" customHeight="1" x14ac:dyDescent="0.45">
      <c r="A160" s="59">
        <f t="shared" si="66"/>
        <v>45904</v>
      </c>
      <c r="B160" s="60">
        <v>2025</v>
      </c>
      <c r="C160" s="60">
        <v>9</v>
      </c>
      <c r="D160" s="60">
        <v>4</v>
      </c>
      <c r="E160" s="61">
        <v>247</v>
      </c>
      <c r="F160" s="62">
        <v>35</v>
      </c>
      <c r="G160" s="62">
        <v>15</v>
      </c>
      <c r="H160" s="70">
        <f t="shared" si="67"/>
        <v>25</v>
      </c>
      <c r="I160" s="62">
        <v>98</v>
      </c>
      <c r="J160" s="62">
        <v>75</v>
      </c>
      <c r="K160" s="62">
        <v>1</v>
      </c>
      <c r="L160" s="62">
        <v>30</v>
      </c>
      <c r="M160" s="71">
        <f t="shared" si="68"/>
        <v>6.4744059737561921</v>
      </c>
      <c r="N160" s="72">
        <f t="shared" si="69"/>
        <v>0.11299996559529141</v>
      </c>
      <c r="O160" s="72">
        <f t="shared" si="70"/>
        <v>1.662363352132167</v>
      </c>
      <c r="P160" s="72">
        <f t="shared" si="71"/>
        <v>0.98533581405962833</v>
      </c>
      <c r="Q160" s="71">
        <f t="shared" si="72"/>
        <v>32.727180164553459</v>
      </c>
      <c r="R160" s="72">
        <f t="shared" si="73"/>
        <v>1</v>
      </c>
      <c r="S160" s="71">
        <f t="shared" si="74"/>
        <v>12.699490848985233</v>
      </c>
      <c r="T160" s="72">
        <f t="shared" si="75"/>
        <v>5.6226812384961216</v>
      </c>
      <c r="U160" s="72">
        <f t="shared" si="76"/>
        <v>1.7053462321157722</v>
      </c>
      <c r="V160" s="72">
        <f t="shared" si="77"/>
        <v>4.2170109288720914</v>
      </c>
      <c r="W160" s="72">
        <f t="shared" si="78"/>
        <v>1.6712393074734566</v>
      </c>
      <c r="X160" s="72">
        <f t="shared" si="79"/>
        <v>2.9441251181727739</v>
      </c>
      <c r="Y160" s="72">
        <f t="shared" si="80"/>
        <v>0.71988861713317309</v>
      </c>
      <c r="Z160" s="72">
        <f t="shared" si="81"/>
        <v>3.8557764635098803</v>
      </c>
      <c r="AA160" s="72">
        <f t="shared" si="82"/>
        <v>19.244223536490122</v>
      </c>
      <c r="AB160" s="72">
        <f t="shared" si="83"/>
        <v>3.1677777175068473</v>
      </c>
      <c r="AC160" s="72">
        <f t="shared" si="84"/>
        <v>0.18868182684282603</v>
      </c>
      <c r="AD160" s="73">
        <f t="shared" si="85"/>
        <v>1206.0988078320233</v>
      </c>
      <c r="AE160" s="71">
        <f t="shared" si="86"/>
        <v>193.25470065891747</v>
      </c>
      <c r="AF160" s="74">
        <f t="shared" si="87"/>
        <v>5.8639999173037172</v>
      </c>
      <c r="AG160" s="75">
        <f t="shared" si="88"/>
        <v>5.5325635927058707</v>
      </c>
      <c r="AH160" s="76">
        <f t="shared" si="89"/>
        <v>4.3012267184041919</v>
      </c>
      <c r="AI160" s="77">
        <f t="shared" si="90"/>
        <v>5.8672184638494684</v>
      </c>
    </row>
    <row r="161" spans="1:35" ht="15.75" customHeight="1" x14ac:dyDescent="0.45">
      <c r="A161" s="59">
        <f t="shared" si="66"/>
        <v>45905</v>
      </c>
      <c r="B161" s="60">
        <v>2025</v>
      </c>
      <c r="C161" s="60">
        <v>9</v>
      </c>
      <c r="D161" s="60">
        <v>5</v>
      </c>
      <c r="E161" s="61">
        <v>248</v>
      </c>
      <c r="F161" s="62">
        <v>35</v>
      </c>
      <c r="G161" s="62">
        <v>15</v>
      </c>
      <c r="H161" s="70">
        <f t="shared" si="67"/>
        <v>25</v>
      </c>
      <c r="I161" s="62">
        <v>98</v>
      </c>
      <c r="J161" s="62">
        <v>75</v>
      </c>
      <c r="K161" s="62">
        <v>1</v>
      </c>
      <c r="L161" s="62">
        <v>30</v>
      </c>
      <c r="M161" s="71">
        <f t="shared" si="68"/>
        <v>6.0854823578990018</v>
      </c>
      <c r="N161" s="72">
        <f t="shared" si="69"/>
        <v>0.10621195208653057</v>
      </c>
      <c r="O161" s="72">
        <f t="shared" si="70"/>
        <v>1.6568057602242068</v>
      </c>
      <c r="P161" s="72">
        <f t="shared" si="71"/>
        <v>0.9858468636522234</v>
      </c>
      <c r="Q161" s="71">
        <f t="shared" si="72"/>
        <v>32.506348146434455</v>
      </c>
      <c r="R161" s="72">
        <f t="shared" si="73"/>
        <v>1</v>
      </c>
      <c r="S161" s="71">
        <f t="shared" si="74"/>
        <v>12.657034073523352</v>
      </c>
      <c r="T161" s="72">
        <f t="shared" si="75"/>
        <v>5.6226812384961216</v>
      </c>
      <c r="U161" s="72">
        <f t="shared" si="76"/>
        <v>1.7053462321157722</v>
      </c>
      <c r="V161" s="72">
        <f t="shared" si="77"/>
        <v>4.2170109288720914</v>
      </c>
      <c r="W161" s="72">
        <f t="shared" si="78"/>
        <v>1.6712393074734566</v>
      </c>
      <c r="X161" s="72">
        <f t="shared" si="79"/>
        <v>2.9441251181727739</v>
      </c>
      <c r="Y161" s="72">
        <f t="shared" si="80"/>
        <v>0.71988861713317309</v>
      </c>
      <c r="Z161" s="72">
        <f t="shared" si="81"/>
        <v>3.8557764635098803</v>
      </c>
      <c r="AA161" s="72">
        <f t="shared" si="82"/>
        <v>19.244223536490122</v>
      </c>
      <c r="AB161" s="72">
        <f t="shared" si="83"/>
        <v>3.1677777175068473</v>
      </c>
      <c r="AC161" s="72">
        <f t="shared" si="84"/>
        <v>0.18868182684282603</v>
      </c>
      <c r="AD161" s="73">
        <f t="shared" si="85"/>
        <v>1206.0988078320233</v>
      </c>
      <c r="AE161" s="71">
        <f t="shared" si="86"/>
        <v>193.25470065891747</v>
      </c>
      <c r="AF161" s="74">
        <f t="shared" si="87"/>
        <v>5.8639999173037172</v>
      </c>
      <c r="AG161" s="75">
        <f t="shared" si="88"/>
        <v>5.4952317120670298</v>
      </c>
      <c r="AH161" s="76">
        <f t="shared" si="89"/>
        <v>4.3012267184041919</v>
      </c>
      <c r="AI161" s="77">
        <f t="shared" si="90"/>
        <v>5.8672184638494684</v>
      </c>
    </row>
    <row r="162" spans="1:35" ht="15.75" customHeight="1" x14ac:dyDescent="0.45">
      <c r="A162" s="59">
        <f t="shared" si="66"/>
        <v>45906</v>
      </c>
      <c r="B162" s="60">
        <v>2025</v>
      </c>
      <c r="C162" s="60">
        <v>9</v>
      </c>
      <c r="D162" s="60">
        <v>6</v>
      </c>
      <c r="E162" s="61">
        <v>249</v>
      </c>
      <c r="F162" s="62">
        <v>35</v>
      </c>
      <c r="G162" s="62">
        <v>15</v>
      </c>
      <c r="H162" s="70">
        <f t="shared" si="67"/>
        <v>25</v>
      </c>
      <c r="I162" s="62">
        <v>98</v>
      </c>
      <c r="J162" s="62">
        <v>75</v>
      </c>
      <c r="K162" s="62">
        <v>1</v>
      </c>
      <c r="L162" s="62">
        <v>30</v>
      </c>
      <c r="M162" s="71">
        <f t="shared" si="68"/>
        <v>5.6947554738502868</v>
      </c>
      <c r="N162" s="72">
        <f t="shared" si="69"/>
        <v>9.9392465536933663E-2</v>
      </c>
      <c r="O162" s="72">
        <f t="shared" si="70"/>
        <v>1.6512331680529722</v>
      </c>
      <c r="P162" s="72">
        <f t="shared" si="71"/>
        <v>0.98636210714418182</v>
      </c>
      <c r="Q162" s="71">
        <f t="shared" si="72"/>
        <v>32.283678040931143</v>
      </c>
      <c r="R162" s="72">
        <f t="shared" si="73"/>
        <v>1</v>
      </c>
      <c r="S162" s="71">
        <f t="shared" si="74"/>
        <v>12.614462704759147</v>
      </c>
      <c r="T162" s="72">
        <f t="shared" si="75"/>
        <v>5.6226812384961216</v>
      </c>
      <c r="U162" s="72">
        <f t="shared" si="76"/>
        <v>1.7053462321157722</v>
      </c>
      <c r="V162" s="72">
        <f t="shared" si="77"/>
        <v>4.2170109288720914</v>
      </c>
      <c r="W162" s="72">
        <f t="shared" si="78"/>
        <v>1.6712393074734566</v>
      </c>
      <c r="X162" s="72">
        <f t="shared" si="79"/>
        <v>2.9441251181727739</v>
      </c>
      <c r="Y162" s="72">
        <f t="shared" si="80"/>
        <v>0.71988861713317309</v>
      </c>
      <c r="Z162" s="72">
        <f t="shared" si="81"/>
        <v>3.8557764635098803</v>
      </c>
      <c r="AA162" s="72">
        <f t="shared" si="82"/>
        <v>19.244223536490122</v>
      </c>
      <c r="AB162" s="72">
        <f t="shared" si="83"/>
        <v>3.1677777175068473</v>
      </c>
      <c r="AC162" s="72">
        <f t="shared" si="84"/>
        <v>0.18868182684282603</v>
      </c>
      <c r="AD162" s="73">
        <f t="shared" si="85"/>
        <v>1206.0988078320233</v>
      </c>
      <c r="AE162" s="71">
        <f t="shared" si="86"/>
        <v>193.25470065891747</v>
      </c>
      <c r="AF162" s="74">
        <f t="shared" si="87"/>
        <v>5.8639999173037172</v>
      </c>
      <c r="AG162" s="75">
        <f t="shared" si="88"/>
        <v>5.4575891008583222</v>
      </c>
      <c r="AH162" s="76">
        <f t="shared" si="89"/>
        <v>4.3012267184041919</v>
      </c>
      <c r="AI162" s="77">
        <f t="shared" si="90"/>
        <v>5.8672184638494684</v>
      </c>
    </row>
    <row r="163" spans="1:35" ht="15.75" customHeight="1" x14ac:dyDescent="0.45">
      <c r="A163" s="59">
        <f t="shared" si="66"/>
        <v>45907</v>
      </c>
      <c r="B163" s="60">
        <v>2025</v>
      </c>
      <c r="C163" s="60">
        <v>9</v>
      </c>
      <c r="D163" s="60">
        <v>7</v>
      </c>
      <c r="E163" s="61">
        <v>250</v>
      </c>
      <c r="F163" s="62">
        <v>35</v>
      </c>
      <c r="G163" s="62">
        <v>15</v>
      </c>
      <c r="H163" s="70">
        <f t="shared" si="67"/>
        <v>25</v>
      </c>
      <c r="I163" s="62">
        <v>98</v>
      </c>
      <c r="J163" s="62">
        <v>75</v>
      </c>
      <c r="K163" s="62">
        <v>1</v>
      </c>
      <c r="L163" s="62">
        <v>30</v>
      </c>
      <c r="M163" s="71">
        <f t="shared" si="68"/>
        <v>5.3023411029598471</v>
      </c>
      <c r="N163" s="72">
        <f t="shared" si="69"/>
        <v>9.2543526716992536E-2</v>
      </c>
      <c r="O163" s="72">
        <f t="shared" si="70"/>
        <v>1.6456466444149545</v>
      </c>
      <c r="P163" s="72">
        <f t="shared" si="71"/>
        <v>0.98688139185702306</v>
      </c>
      <c r="Q163" s="71">
        <f t="shared" si="72"/>
        <v>32.059230698509062</v>
      </c>
      <c r="R163" s="72">
        <f t="shared" si="73"/>
        <v>1</v>
      </c>
      <c r="S163" s="71">
        <f t="shared" si="74"/>
        <v>12.571784907677269</v>
      </c>
      <c r="T163" s="72">
        <f t="shared" si="75"/>
        <v>5.6226812384961216</v>
      </c>
      <c r="U163" s="72">
        <f t="shared" si="76"/>
        <v>1.7053462321157722</v>
      </c>
      <c r="V163" s="72">
        <f t="shared" si="77"/>
        <v>4.2170109288720914</v>
      </c>
      <c r="W163" s="72">
        <f t="shared" si="78"/>
        <v>1.6712393074734566</v>
      </c>
      <c r="X163" s="72">
        <f t="shared" si="79"/>
        <v>2.9441251181727739</v>
      </c>
      <c r="Y163" s="72">
        <f t="shared" si="80"/>
        <v>0.71988861713317309</v>
      </c>
      <c r="Z163" s="72">
        <f t="shared" si="81"/>
        <v>3.8557764635098803</v>
      </c>
      <c r="AA163" s="72">
        <f t="shared" si="82"/>
        <v>19.244223536490122</v>
      </c>
      <c r="AB163" s="72">
        <f t="shared" si="83"/>
        <v>3.1677777175068473</v>
      </c>
      <c r="AC163" s="72">
        <f t="shared" si="84"/>
        <v>0.18868182684282603</v>
      </c>
      <c r="AD163" s="73">
        <f t="shared" si="85"/>
        <v>1206.0988078320233</v>
      </c>
      <c r="AE163" s="71">
        <f t="shared" si="86"/>
        <v>193.25470065891747</v>
      </c>
      <c r="AF163" s="74">
        <f t="shared" si="87"/>
        <v>5.8639999173037172</v>
      </c>
      <c r="AG163" s="75">
        <f t="shared" si="88"/>
        <v>5.4196460459137681</v>
      </c>
      <c r="AH163" s="76">
        <f t="shared" si="89"/>
        <v>4.3012267184041919</v>
      </c>
      <c r="AI163" s="77">
        <f t="shared" si="90"/>
        <v>5.8672184638494684</v>
      </c>
    </row>
    <row r="164" spans="1:35" ht="15.75" customHeight="1" x14ac:dyDescent="0.45">
      <c r="A164" s="59">
        <f t="shared" si="66"/>
        <v>45908</v>
      </c>
      <c r="B164" s="60">
        <v>2025</v>
      </c>
      <c r="C164" s="60">
        <v>9</v>
      </c>
      <c r="D164" s="60">
        <v>8</v>
      </c>
      <c r="E164" s="61">
        <v>251</v>
      </c>
      <c r="F164" s="62">
        <v>35</v>
      </c>
      <c r="G164" s="62">
        <v>15</v>
      </c>
      <c r="H164" s="70">
        <f t="shared" si="67"/>
        <v>25</v>
      </c>
      <c r="I164" s="62">
        <v>98</v>
      </c>
      <c r="J164" s="62">
        <v>75</v>
      </c>
      <c r="K164" s="62">
        <v>1</v>
      </c>
      <c r="L164" s="62">
        <v>30</v>
      </c>
      <c r="M164" s="71">
        <f t="shared" si="68"/>
        <v>4.9083555266185854</v>
      </c>
      <c r="N164" s="72">
        <f t="shared" si="69"/>
        <v>8.5667165124583042E-2</v>
      </c>
      <c r="O164" s="72">
        <f t="shared" si="70"/>
        <v>1.6400472411090248</v>
      </c>
      <c r="P164" s="72">
        <f t="shared" si="71"/>
        <v>0.98740456391475984</v>
      </c>
      <c r="Q164" s="71">
        <f t="shared" si="72"/>
        <v>31.833068620707071</v>
      </c>
      <c r="R164" s="72">
        <f t="shared" si="73"/>
        <v>1</v>
      </c>
      <c r="S164" s="71">
        <f t="shared" si="74"/>
        <v>12.529008717410425</v>
      </c>
      <c r="T164" s="72">
        <f t="shared" si="75"/>
        <v>5.6226812384961216</v>
      </c>
      <c r="U164" s="72">
        <f t="shared" si="76"/>
        <v>1.7053462321157722</v>
      </c>
      <c r="V164" s="72">
        <f t="shared" si="77"/>
        <v>4.2170109288720914</v>
      </c>
      <c r="W164" s="72">
        <f t="shared" si="78"/>
        <v>1.6712393074734566</v>
      </c>
      <c r="X164" s="72">
        <f t="shared" si="79"/>
        <v>2.9441251181727739</v>
      </c>
      <c r="Y164" s="72">
        <f t="shared" si="80"/>
        <v>0.71988861713317309</v>
      </c>
      <c r="Z164" s="72">
        <f t="shared" si="81"/>
        <v>3.8557764635098803</v>
      </c>
      <c r="AA164" s="72">
        <f t="shared" si="82"/>
        <v>19.244223536490122</v>
      </c>
      <c r="AB164" s="72">
        <f t="shared" si="83"/>
        <v>3.1677777175068473</v>
      </c>
      <c r="AC164" s="72">
        <f t="shared" si="84"/>
        <v>0.18868182684282603</v>
      </c>
      <c r="AD164" s="73">
        <f t="shared" si="85"/>
        <v>1206.0988078320233</v>
      </c>
      <c r="AE164" s="71">
        <f t="shared" si="86"/>
        <v>193.25470065891747</v>
      </c>
      <c r="AF164" s="74">
        <f t="shared" si="87"/>
        <v>5.8639999173037172</v>
      </c>
      <c r="AG164" s="75">
        <f t="shared" si="88"/>
        <v>5.3814131131830338</v>
      </c>
      <c r="AH164" s="76">
        <f t="shared" si="89"/>
        <v>4.3012267184041919</v>
      </c>
      <c r="AI164" s="77">
        <f t="shared" si="90"/>
        <v>5.8672184638494684</v>
      </c>
    </row>
    <row r="165" spans="1:35" ht="15.75" customHeight="1" x14ac:dyDescent="0.45">
      <c r="A165" s="59">
        <f t="shared" si="66"/>
        <v>45909</v>
      </c>
      <c r="B165" s="60">
        <v>2025</v>
      </c>
      <c r="C165" s="60">
        <v>9</v>
      </c>
      <c r="D165" s="60">
        <v>9</v>
      </c>
      <c r="E165" s="61">
        <v>252</v>
      </c>
      <c r="F165" s="62">
        <v>35</v>
      </c>
      <c r="G165" s="62">
        <v>15</v>
      </c>
      <c r="H165" s="70">
        <f t="shared" si="67"/>
        <v>25</v>
      </c>
      <c r="I165" s="62">
        <v>98</v>
      </c>
      <c r="J165" s="62">
        <v>75</v>
      </c>
      <c r="K165" s="62">
        <v>1</v>
      </c>
      <c r="L165" s="62">
        <v>30</v>
      </c>
      <c r="M165" s="71">
        <f t="shared" si="68"/>
        <v>4.5129154918016834</v>
      </c>
      <c r="N165" s="72">
        <f t="shared" si="69"/>
        <v>7.8765418383578714E-2</v>
      </c>
      <c r="O165" s="72">
        <f t="shared" si="70"/>
        <v>1.6344359940139024</v>
      </c>
      <c r="P165" s="72">
        <f t="shared" si="71"/>
        <v>0.98793146828949552</v>
      </c>
      <c r="Q165" s="71">
        <f t="shared" si="72"/>
        <v>31.605255943570999</v>
      </c>
      <c r="R165" s="72">
        <f t="shared" si="73"/>
        <v>1</v>
      </c>
      <c r="S165" s="71">
        <f t="shared" si="74"/>
        <v>12.486142047470608</v>
      </c>
      <c r="T165" s="72">
        <f t="shared" si="75"/>
        <v>5.6226812384961216</v>
      </c>
      <c r="U165" s="72">
        <f t="shared" si="76"/>
        <v>1.7053462321157722</v>
      </c>
      <c r="V165" s="72">
        <f t="shared" si="77"/>
        <v>4.2170109288720914</v>
      </c>
      <c r="W165" s="72">
        <f t="shared" si="78"/>
        <v>1.6712393074734566</v>
      </c>
      <c r="X165" s="72">
        <f t="shared" si="79"/>
        <v>2.9441251181727739</v>
      </c>
      <c r="Y165" s="72">
        <f t="shared" si="80"/>
        <v>0.71988861713317309</v>
      </c>
      <c r="Z165" s="72">
        <f t="shared" si="81"/>
        <v>3.8557764635098803</v>
      </c>
      <c r="AA165" s="72">
        <f t="shared" si="82"/>
        <v>19.244223536490122</v>
      </c>
      <c r="AB165" s="72">
        <f t="shared" si="83"/>
        <v>3.1677777175068473</v>
      </c>
      <c r="AC165" s="72">
        <f t="shared" si="84"/>
        <v>0.18868182684282603</v>
      </c>
      <c r="AD165" s="73">
        <f t="shared" si="85"/>
        <v>1206.0988078320233</v>
      </c>
      <c r="AE165" s="71">
        <f t="shared" si="86"/>
        <v>193.25470065891747</v>
      </c>
      <c r="AF165" s="74">
        <f t="shared" si="87"/>
        <v>5.8639999173037172</v>
      </c>
      <c r="AG165" s="75">
        <f t="shared" si="88"/>
        <v>5.3429011449308756</v>
      </c>
      <c r="AH165" s="76">
        <f t="shared" si="89"/>
        <v>4.3012267184041919</v>
      </c>
      <c r="AI165" s="77">
        <f t="shared" si="90"/>
        <v>5.8672184638494684</v>
      </c>
    </row>
    <row r="166" spans="1:35" ht="15.75" customHeight="1" x14ac:dyDescent="0.45">
      <c r="A166" s="59">
        <f t="shared" si="66"/>
        <v>45910</v>
      </c>
      <c r="B166" s="60">
        <v>2025</v>
      </c>
      <c r="C166" s="60">
        <v>9</v>
      </c>
      <c r="D166" s="60">
        <v>10</v>
      </c>
      <c r="E166" s="61">
        <v>253</v>
      </c>
      <c r="F166" s="62">
        <v>35</v>
      </c>
      <c r="G166" s="62">
        <v>15</v>
      </c>
      <c r="H166" s="70">
        <f t="shared" si="67"/>
        <v>25</v>
      </c>
      <c r="I166" s="62">
        <v>98</v>
      </c>
      <c r="J166" s="62">
        <v>75</v>
      </c>
      <c r="K166" s="62">
        <v>1</v>
      </c>
      <c r="L166" s="62">
        <v>30</v>
      </c>
      <c r="M166" s="71">
        <f t="shared" si="68"/>
        <v>4.116138176473755</v>
      </c>
      <c r="N166" s="72">
        <f t="shared" si="69"/>
        <v>7.1840331640055266E-2</v>
      </c>
      <c r="O166" s="72">
        <f t="shared" si="70"/>
        <v>1.6288139241917998</v>
      </c>
      <c r="P166" s="72">
        <f t="shared" si="71"/>
        <v>0.98846194884736216</v>
      </c>
      <c r="Q166" s="71">
        <f t="shared" si="72"/>
        <v>31.375858418096563</v>
      </c>
      <c r="R166" s="72">
        <f t="shared" si="73"/>
        <v>1</v>
      </c>
      <c r="S166" s="71">
        <f t="shared" si="74"/>
        <v>12.44319269818029</v>
      </c>
      <c r="T166" s="72">
        <f t="shared" si="75"/>
        <v>5.6226812384961216</v>
      </c>
      <c r="U166" s="72">
        <f t="shared" si="76"/>
        <v>1.7053462321157722</v>
      </c>
      <c r="V166" s="72">
        <f t="shared" si="77"/>
        <v>4.2170109288720914</v>
      </c>
      <c r="W166" s="72">
        <f t="shared" si="78"/>
        <v>1.6712393074734566</v>
      </c>
      <c r="X166" s="72">
        <f t="shared" si="79"/>
        <v>2.9441251181727739</v>
      </c>
      <c r="Y166" s="72">
        <f t="shared" si="80"/>
        <v>0.71988861713317309</v>
      </c>
      <c r="Z166" s="72">
        <f t="shared" si="81"/>
        <v>3.8557764635098803</v>
      </c>
      <c r="AA166" s="72">
        <f t="shared" si="82"/>
        <v>19.244223536490122</v>
      </c>
      <c r="AB166" s="72">
        <f t="shared" si="83"/>
        <v>3.1677777175068473</v>
      </c>
      <c r="AC166" s="72">
        <f t="shared" si="84"/>
        <v>0.18868182684282603</v>
      </c>
      <c r="AD166" s="73">
        <f t="shared" si="85"/>
        <v>1206.0988078320233</v>
      </c>
      <c r="AE166" s="71">
        <f t="shared" si="86"/>
        <v>193.25470065891747</v>
      </c>
      <c r="AF166" s="74">
        <f t="shared" si="87"/>
        <v>5.8639999173037172</v>
      </c>
      <c r="AG166" s="75">
        <f t="shared" si="88"/>
        <v>5.3041212564310021</v>
      </c>
      <c r="AH166" s="76">
        <f t="shared" si="89"/>
        <v>4.3012267184041919</v>
      </c>
      <c r="AI166" s="77">
        <f t="shared" si="90"/>
        <v>5.8672184638494684</v>
      </c>
    </row>
    <row r="167" spans="1:35" ht="15.75" customHeight="1" x14ac:dyDescent="0.45">
      <c r="A167" s="59">
        <f t="shared" si="66"/>
        <v>45911</v>
      </c>
      <c r="B167" s="60">
        <v>2025</v>
      </c>
      <c r="C167" s="60">
        <v>9</v>
      </c>
      <c r="D167" s="60">
        <v>11</v>
      </c>
      <c r="E167" s="61">
        <v>254</v>
      </c>
      <c r="F167" s="62">
        <v>35</v>
      </c>
      <c r="G167" s="62">
        <v>15</v>
      </c>
      <c r="H167" s="70">
        <f t="shared" si="67"/>
        <v>25</v>
      </c>
      <c r="I167" s="62">
        <v>98</v>
      </c>
      <c r="J167" s="62">
        <v>75</v>
      </c>
      <c r="K167" s="62">
        <v>1</v>
      </c>
      <c r="L167" s="62">
        <v>30</v>
      </c>
      <c r="M167" s="71">
        <f t="shared" si="68"/>
        <v>3.7181411548663545</v>
      </c>
      <c r="N167" s="72">
        <f t="shared" si="69"/>
        <v>6.4893956956267443E-2</v>
      </c>
      <c r="O167" s="72">
        <f t="shared" si="70"/>
        <v>1.6231820390159002</v>
      </c>
      <c r="P167" s="72">
        <f t="shared" si="71"/>
        <v>0.98899584839478649</v>
      </c>
      <c r="Q167" s="71">
        <f t="shared" si="72"/>
        <v>31.144943387687704</v>
      </c>
      <c r="R167" s="72">
        <f t="shared" si="73"/>
        <v>1</v>
      </c>
      <c r="S167" s="71">
        <f t="shared" si="74"/>
        <v>12.400168365285717</v>
      </c>
      <c r="T167" s="72">
        <f t="shared" si="75"/>
        <v>5.6226812384961216</v>
      </c>
      <c r="U167" s="72">
        <f t="shared" si="76"/>
        <v>1.7053462321157722</v>
      </c>
      <c r="V167" s="72">
        <f t="shared" si="77"/>
        <v>4.2170109288720914</v>
      </c>
      <c r="W167" s="72">
        <f t="shared" si="78"/>
        <v>1.6712393074734566</v>
      </c>
      <c r="X167" s="72">
        <f t="shared" si="79"/>
        <v>2.9441251181727739</v>
      </c>
      <c r="Y167" s="72">
        <f t="shared" si="80"/>
        <v>0.71988861713317309</v>
      </c>
      <c r="Z167" s="72">
        <f t="shared" si="81"/>
        <v>3.8557764635098803</v>
      </c>
      <c r="AA167" s="72">
        <f t="shared" si="82"/>
        <v>19.244223536490122</v>
      </c>
      <c r="AB167" s="72">
        <f t="shared" si="83"/>
        <v>3.1677777175068473</v>
      </c>
      <c r="AC167" s="72">
        <f t="shared" si="84"/>
        <v>0.18868182684282603</v>
      </c>
      <c r="AD167" s="73">
        <f t="shared" si="85"/>
        <v>1206.0988078320233</v>
      </c>
      <c r="AE167" s="71">
        <f t="shared" si="86"/>
        <v>193.25470065891747</v>
      </c>
      <c r="AF167" s="74">
        <f t="shared" si="87"/>
        <v>5.8639999173037172</v>
      </c>
      <c r="AG167" s="75">
        <f t="shared" si="88"/>
        <v>5.2650848321553676</v>
      </c>
      <c r="AH167" s="76">
        <f t="shared" si="89"/>
        <v>4.3012267184041919</v>
      </c>
      <c r="AI167" s="77">
        <f t="shared" si="90"/>
        <v>5.8672184638494684</v>
      </c>
    </row>
    <row r="168" spans="1:35" ht="15.75" customHeight="1" x14ac:dyDescent="0.45">
      <c r="A168" s="59">
        <f t="shared" si="66"/>
        <v>45912</v>
      </c>
      <c r="B168" s="60">
        <v>2025</v>
      </c>
      <c r="C168" s="60">
        <v>9</v>
      </c>
      <c r="D168" s="60">
        <v>12</v>
      </c>
      <c r="E168" s="61">
        <v>255</v>
      </c>
      <c r="F168" s="62">
        <v>35</v>
      </c>
      <c r="G168" s="62">
        <v>15</v>
      </c>
      <c r="H168" s="70">
        <f t="shared" si="67"/>
        <v>25</v>
      </c>
      <c r="I168" s="62">
        <v>98</v>
      </c>
      <c r="J168" s="62">
        <v>75</v>
      </c>
      <c r="K168" s="62">
        <v>1</v>
      </c>
      <c r="L168" s="62">
        <v>30</v>
      </c>
      <c r="M168" s="71">
        <f t="shared" si="68"/>
        <v>3.3190423626380157</v>
      </c>
      <c r="N168" s="72">
        <f t="shared" si="69"/>
        <v>5.79283527025755E-2</v>
      </c>
      <c r="O168" s="72">
        <f t="shared" si="70"/>
        <v>1.6175413333193982</v>
      </c>
      <c r="P168" s="72">
        <f t="shared" si="71"/>
        <v>0.98953300872507044</v>
      </c>
      <c r="Q168" s="71">
        <f t="shared" si="72"/>
        <v>30.912579762644196</v>
      </c>
      <c r="R168" s="72">
        <f t="shared" si="73"/>
        <v>1</v>
      </c>
      <c r="S168" s="71">
        <f t="shared" si="74"/>
        <v>12.3570766487349</v>
      </c>
      <c r="T168" s="72">
        <f t="shared" si="75"/>
        <v>5.6226812384961216</v>
      </c>
      <c r="U168" s="72">
        <f t="shared" si="76"/>
        <v>1.7053462321157722</v>
      </c>
      <c r="V168" s="72">
        <f t="shared" si="77"/>
        <v>4.2170109288720914</v>
      </c>
      <c r="W168" s="72">
        <f t="shared" si="78"/>
        <v>1.6712393074734566</v>
      </c>
      <c r="X168" s="72">
        <f t="shared" si="79"/>
        <v>2.9441251181727739</v>
      </c>
      <c r="Y168" s="72">
        <f t="shared" si="80"/>
        <v>0.71988861713317309</v>
      </c>
      <c r="Z168" s="72">
        <f t="shared" si="81"/>
        <v>3.8557764635098803</v>
      </c>
      <c r="AA168" s="72">
        <f t="shared" si="82"/>
        <v>19.244223536490122</v>
      </c>
      <c r="AB168" s="72">
        <f t="shared" si="83"/>
        <v>3.1677777175068473</v>
      </c>
      <c r="AC168" s="72">
        <f t="shared" si="84"/>
        <v>0.18868182684282603</v>
      </c>
      <c r="AD168" s="73">
        <f t="shared" si="85"/>
        <v>1206.0988078320233</v>
      </c>
      <c r="AE168" s="71">
        <f t="shared" si="86"/>
        <v>193.25470065891747</v>
      </c>
      <c r="AF168" s="74">
        <f t="shared" si="87"/>
        <v>5.8639999173037172</v>
      </c>
      <c r="AG168" s="75">
        <f t="shared" si="88"/>
        <v>5.2258035214612901</v>
      </c>
      <c r="AH168" s="76">
        <f t="shared" si="89"/>
        <v>4.3012267184041919</v>
      </c>
      <c r="AI168" s="77">
        <f t="shared" si="90"/>
        <v>5.8672184638494684</v>
      </c>
    </row>
    <row r="169" spans="1:35" ht="15.75" customHeight="1" x14ac:dyDescent="0.45">
      <c r="A169" s="59">
        <f t="shared" si="66"/>
        <v>45913</v>
      </c>
      <c r="B169" s="60">
        <v>2025</v>
      </c>
      <c r="C169" s="60">
        <v>9</v>
      </c>
      <c r="D169" s="60">
        <v>13</v>
      </c>
      <c r="E169" s="61">
        <v>256</v>
      </c>
      <c r="F169" s="62">
        <v>35</v>
      </c>
      <c r="G169" s="62">
        <v>15</v>
      </c>
      <c r="H169" s="70">
        <f t="shared" si="67"/>
        <v>25</v>
      </c>
      <c r="I169" s="62">
        <v>98</v>
      </c>
      <c r="J169" s="62">
        <v>75</v>
      </c>
      <c r="K169" s="62">
        <v>1</v>
      </c>
      <c r="L169" s="62">
        <v>30</v>
      </c>
      <c r="M169" s="71">
        <f t="shared" si="68"/>
        <v>2.9189600619272147</v>
      </c>
      <c r="N169" s="72">
        <f t="shared" si="69"/>
        <v>5.0945582947502989E-2</v>
      </c>
      <c r="O169" s="72">
        <f t="shared" si="70"/>
        <v>1.6118927905639202</v>
      </c>
      <c r="P169" s="72">
        <f t="shared" si="71"/>
        <v>0.99007327066527073</v>
      </c>
      <c r="Q169" s="71">
        <f t="shared" si="72"/>
        <v>30.678837991700306</v>
      </c>
      <c r="R169" s="72">
        <f t="shared" si="73"/>
        <v>1</v>
      </c>
      <c r="S169" s="71">
        <f t="shared" si="74"/>
        <v>12.313925061603669</v>
      </c>
      <c r="T169" s="72">
        <f t="shared" si="75"/>
        <v>5.6226812384961216</v>
      </c>
      <c r="U169" s="72">
        <f t="shared" si="76"/>
        <v>1.7053462321157722</v>
      </c>
      <c r="V169" s="72">
        <f t="shared" si="77"/>
        <v>4.2170109288720914</v>
      </c>
      <c r="W169" s="72">
        <f t="shared" si="78"/>
        <v>1.6712393074734566</v>
      </c>
      <c r="X169" s="72">
        <f t="shared" si="79"/>
        <v>2.9441251181727739</v>
      </c>
      <c r="Y169" s="72">
        <f t="shared" si="80"/>
        <v>0.71988861713317309</v>
      </c>
      <c r="Z169" s="72">
        <f t="shared" si="81"/>
        <v>3.8557764635098803</v>
      </c>
      <c r="AA169" s="72">
        <f t="shared" si="82"/>
        <v>19.244223536490122</v>
      </c>
      <c r="AB169" s="72">
        <f t="shared" si="83"/>
        <v>3.1677777175068473</v>
      </c>
      <c r="AC169" s="72">
        <f t="shared" si="84"/>
        <v>0.18868182684282603</v>
      </c>
      <c r="AD169" s="73">
        <f t="shared" si="85"/>
        <v>1206.0988078320233</v>
      </c>
      <c r="AE169" s="71">
        <f t="shared" si="86"/>
        <v>193.25470065891747</v>
      </c>
      <c r="AF169" s="74">
        <f t="shared" si="87"/>
        <v>5.8639999173037172</v>
      </c>
      <c r="AG169" s="75">
        <f t="shared" si="88"/>
        <v>5.186289233780025</v>
      </c>
      <c r="AH169" s="76">
        <f t="shared" si="89"/>
        <v>4.3012267184041919</v>
      </c>
      <c r="AI169" s="77">
        <f t="shared" si="90"/>
        <v>5.8672184638494684</v>
      </c>
    </row>
    <row r="170" spans="1:35" ht="15.75" customHeight="1" x14ac:dyDescent="0.45">
      <c r="A170" s="59">
        <f t="shared" si="66"/>
        <v>45914</v>
      </c>
      <c r="B170" s="60">
        <v>2025</v>
      </c>
      <c r="C170" s="60">
        <v>9</v>
      </c>
      <c r="D170" s="60">
        <v>14</v>
      </c>
      <c r="E170" s="61">
        <v>257</v>
      </c>
      <c r="F170" s="62">
        <v>35</v>
      </c>
      <c r="G170" s="62">
        <v>15</v>
      </c>
      <c r="H170" s="70">
        <f t="shared" si="67"/>
        <v>25</v>
      </c>
      <c r="I170" s="62">
        <v>98</v>
      </c>
      <c r="J170" s="62">
        <v>75</v>
      </c>
      <c r="K170" s="62">
        <v>1</v>
      </c>
      <c r="L170" s="62">
        <v>30</v>
      </c>
      <c r="M170" s="71">
        <f t="shared" si="68"/>
        <v>2.5180128063085743</v>
      </c>
      <c r="N170" s="72">
        <f t="shared" si="69"/>
        <v>4.3947716846105649E-2</v>
      </c>
      <c r="O170" s="72">
        <f t="shared" si="70"/>
        <v>1.6062373840252095</v>
      </c>
      <c r="P170" s="72">
        <f t="shared" si="71"/>
        <v>0.99061647412336584</v>
      </c>
      <c r="Q170" s="71">
        <f t="shared" si="72"/>
        <v>30.443790030644291</v>
      </c>
      <c r="R170" s="72">
        <f t="shared" si="73"/>
        <v>1</v>
      </c>
      <c r="S170" s="71">
        <f t="shared" si="74"/>
        <v>12.270721039153624</v>
      </c>
      <c r="T170" s="72">
        <f t="shared" si="75"/>
        <v>5.6226812384961216</v>
      </c>
      <c r="U170" s="72">
        <f t="shared" si="76"/>
        <v>1.7053462321157722</v>
      </c>
      <c r="V170" s="72">
        <f t="shared" si="77"/>
        <v>4.2170109288720914</v>
      </c>
      <c r="W170" s="72">
        <f t="shared" si="78"/>
        <v>1.6712393074734566</v>
      </c>
      <c r="X170" s="72">
        <f t="shared" si="79"/>
        <v>2.9441251181727739</v>
      </c>
      <c r="Y170" s="72">
        <f t="shared" si="80"/>
        <v>0.71988861713317309</v>
      </c>
      <c r="Z170" s="72">
        <f t="shared" si="81"/>
        <v>3.8557764635098803</v>
      </c>
      <c r="AA170" s="72">
        <f t="shared" si="82"/>
        <v>19.244223536490122</v>
      </c>
      <c r="AB170" s="72">
        <f t="shared" si="83"/>
        <v>3.1677777175068473</v>
      </c>
      <c r="AC170" s="72">
        <f t="shared" si="84"/>
        <v>0.18868182684282603</v>
      </c>
      <c r="AD170" s="73">
        <f t="shared" si="85"/>
        <v>1206.0988078320233</v>
      </c>
      <c r="AE170" s="71">
        <f t="shared" si="86"/>
        <v>193.25470065891747</v>
      </c>
      <c r="AF170" s="74">
        <f t="shared" si="87"/>
        <v>5.8639999173037172</v>
      </c>
      <c r="AG170" s="75">
        <f t="shared" si="88"/>
        <v>5.1465541333118594</v>
      </c>
      <c r="AH170" s="76">
        <f t="shared" si="89"/>
        <v>4.3012267184041919</v>
      </c>
      <c r="AI170" s="77">
        <f t="shared" si="90"/>
        <v>5.8672184638494684</v>
      </c>
    </row>
    <row r="171" spans="1:35" ht="15.75" customHeight="1" x14ac:dyDescent="0.45">
      <c r="A171" s="59">
        <f t="shared" si="66"/>
        <v>45915</v>
      </c>
      <c r="B171" s="60">
        <v>2025</v>
      </c>
      <c r="C171" s="60">
        <v>9</v>
      </c>
      <c r="D171" s="60">
        <v>15</v>
      </c>
      <c r="E171" s="61">
        <v>258</v>
      </c>
      <c r="F171" s="62">
        <v>35</v>
      </c>
      <c r="G171" s="62">
        <v>15</v>
      </c>
      <c r="H171" s="70">
        <f t="shared" si="67"/>
        <v>25</v>
      </c>
      <c r="I171" s="62">
        <v>98</v>
      </c>
      <c r="J171" s="62">
        <v>75</v>
      </c>
      <c r="K171" s="62">
        <v>1</v>
      </c>
      <c r="L171" s="62">
        <v>30</v>
      </c>
      <c r="M171" s="71">
        <f t="shared" si="68"/>
        <v>2.1163194056627384</v>
      </c>
      <c r="N171" s="72">
        <f t="shared" si="69"/>
        <v>3.6936828026833658E-2</v>
      </c>
      <c r="O171" s="72">
        <f t="shared" si="70"/>
        <v>1.6005760779940297</v>
      </c>
      <c r="P171" s="72">
        <f t="shared" si="71"/>
        <v>0.99116245813569537</v>
      </c>
      <c r="Q171" s="71">
        <f t="shared" si="72"/>
        <v>30.207509308056032</v>
      </c>
      <c r="R171" s="72">
        <f t="shared" si="73"/>
        <v>1</v>
      </c>
      <c r="S171" s="71">
        <f t="shared" si="74"/>
        <v>12.22747194800634</v>
      </c>
      <c r="T171" s="72">
        <f t="shared" si="75"/>
        <v>5.6226812384961216</v>
      </c>
      <c r="U171" s="72">
        <f t="shared" si="76"/>
        <v>1.7053462321157722</v>
      </c>
      <c r="V171" s="72">
        <f t="shared" si="77"/>
        <v>4.2170109288720914</v>
      </c>
      <c r="W171" s="72">
        <f t="shared" si="78"/>
        <v>1.6712393074734566</v>
      </c>
      <c r="X171" s="72">
        <f t="shared" si="79"/>
        <v>2.9441251181727739</v>
      </c>
      <c r="Y171" s="72">
        <f t="shared" si="80"/>
        <v>0.71988861713317309</v>
      </c>
      <c r="Z171" s="72">
        <f t="shared" si="81"/>
        <v>3.8557764635098803</v>
      </c>
      <c r="AA171" s="72">
        <f t="shared" si="82"/>
        <v>19.244223536490122</v>
      </c>
      <c r="AB171" s="72">
        <f t="shared" si="83"/>
        <v>3.1677777175068473</v>
      </c>
      <c r="AC171" s="72">
        <f t="shared" si="84"/>
        <v>0.18868182684282603</v>
      </c>
      <c r="AD171" s="73">
        <f t="shared" si="85"/>
        <v>1206.0988078320233</v>
      </c>
      <c r="AE171" s="71">
        <f t="shared" si="86"/>
        <v>193.25470065891747</v>
      </c>
      <c r="AF171" s="74">
        <f t="shared" si="87"/>
        <v>5.8639999173037172</v>
      </c>
      <c r="AG171" s="75">
        <f t="shared" si="88"/>
        <v>5.1066106332340295</v>
      </c>
      <c r="AH171" s="76">
        <f t="shared" si="89"/>
        <v>4.3012267184041919</v>
      </c>
      <c r="AI171" s="77">
        <f t="shared" si="90"/>
        <v>5.8672184638494684</v>
      </c>
    </row>
    <row r="172" spans="1:35" ht="15.75" customHeight="1" x14ac:dyDescent="0.45">
      <c r="A172" s="59">
        <f t="shared" si="66"/>
        <v>45916</v>
      </c>
      <c r="B172" s="60">
        <v>2025</v>
      </c>
      <c r="C172" s="60">
        <v>9</v>
      </c>
      <c r="D172" s="60">
        <v>16</v>
      </c>
      <c r="E172" s="61">
        <v>259</v>
      </c>
      <c r="F172" s="62">
        <v>35</v>
      </c>
      <c r="G172" s="62">
        <v>15</v>
      </c>
      <c r="H172" s="70">
        <f t="shared" si="67"/>
        <v>25</v>
      </c>
      <c r="I172" s="62">
        <v>98</v>
      </c>
      <c r="J172" s="62">
        <v>75</v>
      </c>
      <c r="K172" s="62">
        <v>1</v>
      </c>
      <c r="L172" s="62">
        <v>30</v>
      </c>
      <c r="M172" s="71">
        <f t="shared" si="68"/>
        <v>1.7139988909702424</v>
      </c>
      <c r="N172" s="72">
        <f t="shared" si="69"/>
        <v>2.9914993977067296E-2</v>
      </c>
      <c r="O172" s="72">
        <f t="shared" si="70"/>
        <v>1.5949098289903003</v>
      </c>
      <c r="P172" s="72">
        <f t="shared" si="71"/>
        <v>0.99171106091465622</v>
      </c>
      <c r="Q172" s="71">
        <f t="shared" si="72"/>
        <v>29.97007068820794</v>
      </c>
      <c r="R172" s="72">
        <f t="shared" si="73"/>
        <v>1</v>
      </c>
      <c r="S172" s="71">
        <f t="shared" si="74"/>
        <v>12.184185095418645</v>
      </c>
      <c r="T172" s="72">
        <f t="shared" si="75"/>
        <v>5.6226812384961216</v>
      </c>
      <c r="U172" s="72">
        <f t="shared" si="76"/>
        <v>1.7053462321157722</v>
      </c>
      <c r="V172" s="72">
        <f t="shared" si="77"/>
        <v>4.2170109288720914</v>
      </c>
      <c r="W172" s="72">
        <f t="shared" si="78"/>
        <v>1.6712393074734566</v>
      </c>
      <c r="X172" s="72">
        <f t="shared" si="79"/>
        <v>2.9441251181727739</v>
      </c>
      <c r="Y172" s="72">
        <f t="shared" si="80"/>
        <v>0.71988861713317309</v>
      </c>
      <c r="Z172" s="72">
        <f t="shared" si="81"/>
        <v>3.8557764635098803</v>
      </c>
      <c r="AA172" s="72">
        <f t="shared" si="82"/>
        <v>19.244223536490122</v>
      </c>
      <c r="AB172" s="72">
        <f t="shared" si="83"/>
        <v>3.1677777175068473</v>
      </c>
      <c r="AC172" s="72">
        <f t="shared" si="84"/>
        <v>0.18868182684282603</v>
      </c>
      <c r="AD172" s="73">
        <f t="shared" si="85"/>
        <v>1206.0988078320233</v>
      </c>
      <c r="AE172" s="71">
        <f t="shared" si="86"/>
        <v>193.25470065891747</v>
      </c>
      <c r="AF172" s="74">
        <f t="shared" si="87"/>
        <v>5.8639999173037172</v>
      </c>
      <c r="AG172" s="75">
        <f t="shared" si="88"/>
        <v>5.0664713894290694</v>
      </c>
      <c r="AH172" s="76">
        <f t="shared" si="89"/>
        <v>4.3012267184041919</v>
      </c>
      <c r="AI172" s="77">
        <f t="shared" si="90"/>
        <v>5.8672184638494684</v>
      </c>
    </row>
    <row r="173" spans="1:35" ht="15.75" customHeight="1" x14ac:dyDescent="0.45">
      <c r="A173" s="59">
        <f t="shared" si="66"/>
        <v>45917</v>
      </c>
      <c r="B173" s="60">
        <v>2025</v>
      </c>
      <c r="C173" s="60">
        <v>9</v>
      </c>
      <c r="D173" s="60">
        <v>17</v>
      </c>
      <c r="E173" s="61">
        <v>260</v>
      </c>
      <c r="F173" s="62">
        <v>35</v>
      </c>
      <c r="G173" s="62">
        <v>15</v>
      </c>
      <c r="H173" s="70">
        <f t="shared" si="67"/>
        <v>25</v>
      </c>
      <c r="I173" s="62">
        <v>98</v>
      </c>
      <c r="J173" s="62">
        <v>75</v>
      </c>
      <c r="K173" s="62">
        <v>1</v>
      </c>
      <c r="L173" s="62">
        <v>30</v>
      </c>
      <c r="M173" s="71">
        <f t="shared" si="68"/>
        <v>1.3111704790399239</v>
      </c>
      <c r="N173" s="72">
        <f t="shared" si="69"/>
        <v>2.2884295427510137E-2</v>
      </c>
      <c r="O173" s="72">
        <f t="shared" si="70"/>
        <v>1.5892395869885332</v>
      </c>
      <c r="P173" s="72">
        <f t="shared" si="71"/>
        <v>0.99226211989664515</v>
      </c>
      <c r="Q173" s="71">
        <f t="shared" si="72"/>
        <v>29.73155043118188</v>
      </c>
      <c r="R173" s="72">
        <f t="shared" si="73"/>
        <v>1</v>
      </c>
      <c r="S173" s="71">
        <f t="shared" si="74"/>
        <v>12.140867738644257</v>
      </c>
      <c r="T173" s="72">
        <f t="shared" si="75"/>
        <v>5.6226812384961216</v>
      </c>
      <c r="U173" s="72">
        <f t="shared" si="76"/>
        <v>1.7053462321157722</v>
      </c>
      <c r="V173" s="72">
        <f t="shared" si="77"/>
        <v>4.2170109288720914</v>
      </c>
      <c r="W173" s="72">
        <f t="shared" si="78"/>
        <v>1.6712393074734566</v>
      </c>
      <c r="X173" s="72">
        <f t="shared" si="79"/>
        <v>2.9441251181727739</v>
      </c>
      <c r="Y173" s="72">
        <f t="shared" si="80"/>
        <v>0.71988861713317309</v>
      </c>
      <c r="Z173" s="72">
        <f t="shared" si="81"/>
        <v>3.8557764635098803</v>
      </c>
      <c r="AA173" s="72">
        <f t="shared" si="82"/>
        <v>19.244223536490122</v>
      </c>
      <c r="AB173" s="72">
        <f t="shared" si="83"/>
        <v>3.1677777175068473</v>
      </c>
      <c r="AC173" s="72">
        <f t="shared" si="84"/>
        <v>0.18868182684282603</v>
      </c>
      <c r="AD173" s="73">
        <f t="shared" si="85"/>
        <v>1206.0988078320233</v>
      </c>
      <c r="AE173" s="71">
        <f t="shared" si="86"/>
        <v>193.25470065891747</v>
      </c>
      <c r="AF173" s="74">
        <f t="shared" si="87"/>
        <v>5.8639999173037172</v>
      </c>
      <c r="AG173" s="75">
        <f t="shared" si="88"/>
        <v>5.0261492937425452</v>
      </c>
      <c r="AH173" s="76">
        <f t="shared" si="89"/>
        <v>4.3012267184041919</v>
      </c>
      <c r="AI173" s="77">
        <f t="shared" si="90"/>
        <v>5.8672184638494684</v>
      </c>
    </row>
    <row r="174" spans="1:35" ht="15.75" customHeight="1" x14ac:dyDescent="0.45">
      <c r="A174" s="59">
        <f t="shared" si="66"/>
        <v>45918</v>
      </c>
      <c r="B174" s="60">
        <v>2025</v>
      </c>
      <c r="C174" s="60">
        <v>9</v>
      </c>
      <c r="D174" s="60">
        <v>18</v>
      </c>
      <c r="E174" s="61">
        <v>261</v>
      </c>
      <c r="F174" s="62">
        <v>35</v>
      </c>
      <c r="G174" s="62">
        <v>15</v>
      </c>
      <c r="H174" s="70">
        <f t="shared" si="67"/>
        <v>25</v>
      </c>
      <c r="I174" s="62">
        <v>98</v>
      </c>
      <c r="J174" s="62">
        <v>75</v>
      </c>
      <c r="K174" s="62">
        <v>1</v>
      </c>
      <c r="L174" s="62">
        <v>30</v>
      </c>
      <c r="M174" s="71">
        <f t="shared" si="68"/>
        <v>0.90795353718223704</v>
      </c>
      <c r="N174" s="72">
        <f t="shared" si="69"/>
        <v>1.5846815735620644E-2</v>
      </c>
      <c r="O174" s="72">
        <f t="shared" si="70"/>
        <v>1.583566296652684</v>
      </c>
      <c r="P174" s="72">
        <f t="shared" si="71"/>
        <v>0.99281547179022911</v>
      </c>
      <c r="Q174" s="71">
        <f t="shared" si="72"/>
        <v>29.49202615026196</v>
      </c>
      <c r="R174" s="72">
        <f t="shared" si="73"/>
        <v>1</v>
      </c>
      <c r="S174" s="71">
        <f t="shared" si="74"/>
        <v>12.097527094367335</v>
      </c>
      <c r="T174" s="72">
        <f t="shared" si="75"/>
        <v>5.6226812384961216</v>
      </c>
      <c r="U174" s="72">
        <f t="shared" si="76"/>
        <v>1.7053462321157722</v>
      </c>
      <c r="V174" s="72">
        <f t="shared" si="77"/>
        <v>4.2170109288720914</v>
      </c>
      <c r="W174" s="72">
        <f t="shared" si="78"/>
        <v>1.6712393074734566</v>
      </c>
      <c r="X174" s="72">
        <f t="shared" si="79"/>
        <v>2.9441251181727739</v>
      </c>
      <c r="Y174" s="72">
        <f t="shared" si="80"/>
        <v>0.71988861713317309</v>
      </c>
      <c r="Z174" s="72">
        <f t="shared" si="81"/>
        <v>3.8557764635098803</v>
      </c>
      <c r="AA174" s="72">
        <f t="shared" si="82"/>
        <v>19.244223536490122</v>
      </c>
      <c r="AB174" s="72">
        <f t="shared" si="83"/>
        <v>3.1677777175068473</v>
      </c>
      <c r="AC174" s="72">
        <f t="shared" si="84"/>
        <v>0.18868182684282603</v>
      </c>
      <c r="AD174" s="73">
        <f t="shared" si="85"/>
        <v>1206.0988078320233</v>
      </c>
      <c r="AE174" s="71">
        <f t="shared" si="86"/>
        <v>193.25470065891747</v>
      </c>
      <c r="AF174" s="74">
        <f t="shared" si="87"/>
        <v>5.8639999173037172</v>
      </c>
      <c r="AG174" s="75">
        <f t="shared" si="88"/>
        <v>4.9856574667802604</v>
      </c>
      <c r="AH174" s="76">
        <f t="shared" si="89"/>
        <v>4.3012267184041919</v>
      </c>
      <c r="AI174" s="77">
        <f t="shared" si="90"/>
        <v>5.8672184638494684</v>
      </c>
    </row>
    <row r="175" spans="1:35" ht="15.75" customHeight="1" x14ac:dyDescent="0.45">
      <c r="A175" s="59">
        <f t="shared" si="66"/>
        <v>45919</v>
      </c>
      <c r="B175" s="60">
        <v>2025</v>
      </c>
      <c r="C175" s="60">
        <v>9</v>
      </c>
      <c r="D175" s="60">
        <v>19</v>
      </c>
      <c r="E175" s="61">
        <v>262</v>
      </c>
      <c r="F175" s="62">
        <v>35</v>
      </c>
      <c r="G175" s="62">
        <v>15</v>
      </c>
      <c r="H175" s="70">
        <f t="shared" si="67"/>
        <v>25</v>
      </c>
      <c r="I175" s="62">
        <v>98</v>
      </c>
      <c r="J175" s="62">
        <v>75</v>
      </c>
      <c r="K175" s="62">
        <v>1</v>
      </c>
      <c r="L175" s="62">
        <v>30</v>
      </c>
      <c r="M175" s="71">
        <f t="shared" si="68"/>
        <v>0.50446754783797598</v>
      </c>
      <c r="N175" s="72">
        <f t="shared" si="69"/>
        <v>8.8046402682654731E-3</v>
      </c>
      <c r="O175" s="72">
        <f t="shared" si="70"/>
        <v>1.5778908985785742</v>
      </c>
      <c r="P175" s="72">
        <f t="shared" si="71"/>
        <v>0.9933709526245329</v>
      </c>
      <c r="Q175" s="71">
        <f t="shared" si="72"/>
        <v>29.251576766670869</v>
      </c>
      <c r="R175" s="72">
        <f t="shared" si="73"/>
        <v>1</v>
      </c>
      <c r="S175" s="71">
        <f t="shared" si="74"/>
        <v>12.054170348193844</v>
      </c>
      <c r="T175" s="72">
        <f t="shared" si="75"/>
        <v>5.6226812384961216</v>
      </c>
      <c r="U175" s="72">
        <f t="shared" si="76"/>
        <v>1.7053462321157722</v>
      </c>
      <c r="V175" s="72">
        <f t="shared" si="77"/>
        <v>4.2170109288720914</v>
      </c>
      <c r="W175" s="72">
        <f t="shared" si="78"/>
        <v>1.6712393074734566</v>
      </c>
      <c r="X175" s="72">
        <f t="shared" si="79"/>
        <v>2.9441251181727739</v>
      </c>
      <c r="Y175" s="72">
        <f t="shared" si="80"/>
        <v>0.71988861713317309</v>
      </c>
      <c r="Z175" s="72">
        <f t="shared" si="81"/>
        <v>3.8557764635098803</v>
      </c>
      <c r="AA175" s="72">
        <f t="shared" si="82"/>
        <v>19.244223536490122</v>
      </c>
      <c r="AB175" s="72">
        <f t="shared" si="83"/>
        <v>3.1677777175068473</v>
      </c>
      <c r="AC175" s="72">
        <f t="shared" si="84"/>
        <v>0.18868182684282603</v>
      </c>
      <c r="AD175" s="73">
        <f t="shared" si="85"/>
        <v>1206.0988078320233</v>
      </c>
      <c r="AE175" s="71">
        <f t="shared" si="86"/>
        <v>193.25470065891747</v>
      </c>
      <c r="AF175" s="74">
        <f t="shared" si="87"/>
        <v>5.8639999173037172</v>
      </c>
      <c r="AG175" s="75">
        <f t="shared" si="88"/>
        <v>4.945009250256386</v>
      </c>
      <c r="AH175" s="76">
        <f t="shared" si="89"/>
        <v>4.3012267184041919</v>
      </c>
      <c r="AI175" s="77">
        <f t="shared" si="90"/>
        <v>5.8672184638494684</v>
      </c>
    </row>
    <row r="176" spans="1:35" ht="15.75" customHeight="1" x14ac:dyDescent="0.45">
      <c r="A176" s="59">
        <f t="shared" si="66"/>
        <v>45920</v>
      </c>
      <c r="B176" s="60">
        <v>2025</v>
      </c>
      <c r="C176" s="60">
        <v>9</v>
      </c>
      <c r="D176" s="60">
        <v>20</v>
      </c>
      <c r="E176" s="61">
        <v>263</v>
      </c>
      <c r="F176" s="62">
        <v>35</v>
      </c>
      <c r="G176" s="62">
        <v>15</v>
      </c>
      <c r="H176" s="70">
        <f t="shared" si="67"/>
        <v>25</v>
      </c>
      <c r="I176" s="62">
        <v>98</v>
      </c>
      <c r="J176" s="62">
        <v>75</v>
      </c>
      <c r="K176" s="62">
        <v>1</v>
      </c>
      <c r="L176" s="62">
        <v>30</v>
      </c>
      <c r="M176" s="71">
        <f t="shared" si="68"/>
        <v>0.10083207317288036</v>
      </c>
      <c r="N176" s="72">
        <f t="shared" si="69"/>
        <v>1.7598557837773384E-3</v>
      </c>
      <c r="O176" s="72">
        <f t="shared" si="70"/>
        <v>1.5722143305420706</v>
      </c>
      <c r="P176" s="72">
        <f t="shared" si="71"/>
        <v>0.99392839779782738</v>
      </c>
      <c r="Q176" s="71">
        <f t="shared" si="72"/>
        <v>29.010282461723822</v>
      </c>
      <c r="R176" s="72">
        <f t="shared" si="73"/>
        <v>1</v>
      </c>
      <c r="S176" s="71">
        <f t="shared" si="74"/>
        <v>12.01080466418694</v>
      </c>
      <c r="T176" s="72">
        <f t="shared" si="75"/>
        <v>5.6226812384961216</v>
      </c>
      <c r="U176" s="72">
        <f t="shared" si="76"/>
        <v>1.7053462321157722</v>
      </c>
      <c r="V176" s="72">
        <f t="shared" si="77"/>
        <v>4.2170109288720914</v>
      </c>
      <c r="W176" s="72">
        <f t="shared" si="78"/>
        <v>1.6712393074734566</v>
      </c>
      <c r="X176" s="72">
        <f t="shared" si="79"/>
        <v>2.9441251181727739</v>
      </c>
      <c r="Y176" s="72">
        <f t="shared" si="80"/>
        <v>0.71988861713317309</v>
      </c>
      <c r="Z176" s="72">
        <f t="shared" si="81"/>
        <v>3.8557764635098803</v>
      </c>
      <c r="AA176" s="72">
        <f t="shared" si="82"/>
        <v>19.244223536490122</v>
      </c>
      <c r="AB176" s="72">
        <f t="shared" si="83"/>
        <v>3.1677777175068473</v>
      </c>
      <c r="AC176" s="72">
        <f t="shared" si="84"/>
        <v>0.18868182684282603</v>
      </c>
      <c r="AD176" s="73">
        <f t="shared" si="85"/>
        <v>1206.0988078320233</v>
      </c>
      <c r="AE176" s="71">
        <f t="shared" si="86"/>
        <v>193.25470065891747</v>
      </c>
      <c r="AF176" s="74">
        <f t="shared" si="87"/>
        <v>5.8639999173037172</v>
      </c>
      <c r="AG176" s="75">
        <f t="shared" si="88"/>
        <v>4.9042181989050322</v>
      </c>
      <c r="AH176" s="76">
        <f t="shared" si="89"/>
        <v>4.3012267184041919</v>
      </c>
      <c r="AI176" s="77">
        <f t="shared" si="90"/>
        <v>5.8672184638494684</v>
      </c>
    </row>
    <row r="177" spans="1:35" ht="15.75" customHeight="1" x14ac:dyDescent="0.45">
      <c r="A177" s="59">
        <f t="shared" si="66"/>
        <v>45921</v>
      </c>
      <c r="B177" s="60">
        <v>2025</v>
      </c>
      <c r="C177" s="60">
        <v>9</v>
      </c>
      <c r="D177" s="60">
        <v>21</v>
      </c>
      <c r="E177" s="61">
        <v>264</v>
      </c>
      <c r="F177" s="62">
        <v>35</v>
      </c>
      <c r="G177" s="62">
        <v>15</v>
      </c>
      <c r="H177" s="70">
        <f t="shared" si="67"/>
        <v>25</v>
      </c>
      <c r="I177" s="62">
        <v>98</v>
      </c>
      <c r="J177" s="62">
        <v>75</v>
      </c>
      <c r="K177" s="62">
        <v>1</v>
      </c>
      <c r="L177" s="62">
        <v>30</v>
      </c>
      <c r="M177" s="71">
        <f t="shared" si="68"/>
        <v>-0.3028332803513612</v>
      </c>
      <c r="N177" s="72">
        <f t="shared" si="69"/>
        <v>-5.2854501863990912E-3</v>
      </c>
      <c r="O177" s="72">
        <f t="shared" si="70"/>
        <v>1.5665375287512338</v>
      </c>
      <c r="P177" s="72">
        <f t="shared" si="71"/>
        <v>0.99448764212630436</v>
      </c>
      <c r="Q177" s="71">
        <f t="shared" si="72"/>
        <v>28.76822462648158</v>
      </c>
      <c r="R177" s="72">
        <f t="shared" si="73"/>
        <v>1</v>
      </c>
      <c r="S177" s="71">
        <f t="shared" si="74"/>
        <v>11.96743719443265</v>
      </c>
      <c r="T177" s="72">
        <f t="shared" si="75"/>
        <v>5.6226812384961216</v>
      </c>
      <c r="U177" s="72">
        <f t="shared" si="76"/>
        <v>1.7053462321157722</v>
      </c>
      <c r="V177" s="72">
        <f t="shared" si="77"/>
        <v>4.2170109288720914</v>
      </c>
      <c r="W177" s="72">
        <f t="shared" si="78"/>
        <v>1.6712393074734566</v>
      </c>
      <c r="X177" s="72">
        <f t="shared" si="79"/>
        <v>2.9441251181727739</v>
      </c>
      <c r="Y177" s="72">
        <f t="shared" si="80"/>
        <v>0.71988861713317309</v>
      </c>
      <c r="Z177" s="72">
        <f t="shared" si="81"/>
        <v>3.8557764635098803</v>
      </c>
      <c r="AA177" s="72">
        <f t="shared" si="82"/>
        <v>19.244223536490122</v>
      </c>
      <c r="AB177" s="72">
        <f t="shared" si="83"/>
        <v>3.1677777175068473</v>
      </c>
      <c r="AC177" s="72">
        <f t="shared" si="84"/>
        <v>0.18868182684282603</v>
      </c>
      <c r="AD177" s="73">
        <f t="shared" si="85"/>
        <v>1206.0988078320233</v>
      </c>
      <c r="AE177" s="71">
        <f t="shared" si="86"/>
        <v>193.25470065891747</v>
      </c>
      <c r="AF177" s="74">
        <f t="shared" si="87"/>
        <v>5.8639999173037172</v>
      </c>
      <c r="AG177" s="75">
        <f t="shared" si="88"/>
        <v>4.8632980719690453</v>
      </c>
      <c r="AH177" s="76">
        <f t="shared" si="89"/>
        <v>4.3012267184041919</v>
      </c>
      <c r="AI177" s="77">
        <f t="shared" si="90"/>
        <v>5.8672184638494684</v>
      </c>
    </row>
    <row r="178" spans="1:35" ht="15.75" customHeight="1" x14ac:dyDescent="0.45">
      <c r="A178" s="59">
        <f t="shared" si="66"/>
        <v>45922</v>
      </c>
      <c r="B178" s="60">
        <v>2025</v>
      </c>
      <c r="C178" s="60">
        <v>9</v>
      </c>
      <c r="D178" s="60">
        <v>22</v>
      </c>
      <c r="E178" s="61">
        <v>265</v>
      </c>
      <c r="F178" s="62">
        <v>35</v>
      </c>
      <c r="G178" s="62">
        <v>15</v>
      </c>
      <c r="H178" s="70">
        <f t="shared" si="67"/>
        <v>25</v>
      </c>
      <c r="I178" s="62">
        <v>98</v>
      </c>
      <c r="J178" s="62">
        <v>75</v>
      </c>
      <c r="K178" s="62">
        <v>1</v>
      </c>
      <c r="L178" s="62">
        <v>30</v>
      </c>
      <c r="M178" s="71">
        <f t="shared" si="68"/>
        <v>-0.70640889741928325</v>
      </c>
      <c r="N178" s="72">
        <f t="shared" si="69"/>
        <v>-1.2329189956291222E-2</v>
      </c>
      <c r="O178" s="72">
        <f t="shared" si="70"/>
        <v>1.5608614291006677</v>
      </c>
      <c r="P178" s="72">
        <f t="shared" si="71"/>
        <v>0.99504851989302501</v>
      </c>
      <c r="Q178" s="71">
        <f t="shared" si="72"/>
        <v>28.52548580899056</v>
      </c>
      <c r="R178" s="72">
        <f t="shared" si="73"/>
        <v>1</v>
      </c>
      <c r="S178" s="71">
        <f t="shared" si="74"/>
        <v>11.924075088622367</v>
      </c>
      <c r="T178" s="72">
        <f t="shared" si="75"/>
        <v>5.6226812384961216</v>
      </c>
      <c r="U178" s="72">
        <f t="shared" si="76"/>
        <v>1.7053462321157722</v>
      </c>
      <c r="V178" s="72">
        <f t="shared" si="77"/>
        <v>4.2170109288720914</v>
      </c>
      <c r="W178" s="72">
        <f t="shared" si="78"/>
        <v>1.6712393074734566</v>
      </c>
      <c r="X178" s="72">
        <f t="shared" si="79"/>
        <v>2.9441251181727739</v>
      </c>
      <c r="Y178" s="72">
        <f t="shared" si="80"/>
        <v>0.71988861713317309</v>
      </c>
      <c r="Z178" s="72">
        <f t="shared" si="81"/>
        <v>3.8557764635098803</v>
      </c>
      <c r="AA178" s="72">
        <f t="shared" si="82"/>
        <v>19.244223536490122</v>
      </c>
      <c r="AB178" s="72">
        <f t="shared" si="83"/>
        <v>3.1677777175068473</v>
      </c>
      <c r="AC178" s="72">
        <f t="shared" si="84"/>
        <v>0.18868182684282603</v>
      </c>
      <c r="AD178" s="73">
        <f t="shared" si="85"/>
        <v>1206.0988078320233</v>
      </c>
      <c r="AE178" s="71">
        <f t="shared" si="86"/>
        <v>193.25470065891747</v>
      </c>
      <c r="AF178" s="74">
        <f t="shared" si="87"/>
        <v>5.8639999173037172</v>
      </c>
      <c r="AG178" s="75">
        <f t="shared" si="88"/>
        <v>4.8222628242808918</v>
      </c>
      <c r="AH178" s="76">
        <f t="shared" si="89"/>
        <v>4.3012267184041919</v>
      </c>
      <c r="AI178" s="77">
        <f t="shared" si="90"/>
        <v>5.8672184638494684</v>
      </c>
    </row>
    <row r="179" spans="1:35" ht="15.75" customHeight="1" x14ac:dyDescent="0.45">
      <c r="A179" s="59">
        <f t="shared" si="66"/>
        <v>45923</v>
      </c>
      <c r="B179" s="60">
        <v>2025</v>
      </c>
      <c r="C179" s="60">
        <v>9</v>
      </c>
      <c r="D179" s="60">
        <v>23</v>
      </c>
      <c r="E179" s="61">
        <v>266</v>
      </c>
      <c r="F179" s="62">
        <v>35</v>
      </c>
      <c r="G179" s="62">
        <v>15</v>
      </c>
      <c r="H179" s="70">
        <f t="shared" si="67"/>
        <v>25</v>
      </c>
      <c r="I179" s="62">
        <v>98</v>
      </c>
      <c r="J179" s="62">
        <v>75</v>
      </c>
      <c r="K179" s="62">
        <v>1</v>
      </c>
      <c r="L179" s="62">
        <v>30</v>
      </c>
      <c r="M179" s="71">
        <f t="shared" si="68"/>
        <v>-1.1097751893063883</v>
      </c>
      <c r="N179" s="72">
        <f t="shared" si="69"/>
        <v>-1.9369276304027495E-2</v>
      </c>
      <c r="O179" s="72">
        <f t="shared" si="70"/>
        <v>1.5551869684263082</v>
      </c>
      <c r="P179" s="72">
        <f t="shared" si="71"/>
        <v>0.99561086489702488</v>
      </c>
      <c r="Q179" s="71">
        <f t="shared" si="72"/>
        <v>28.282149659204222</v>
      </c>
      <c r="R179" s="72">
        <f t="shared" si="73"/>
        <v>1</v>
      </c>
      <c r="S179" s="71">
        <f t="shared" si="74"/>
        <v>11.880725503638718</v>
      </c>
      <c r="T179" s="72">
        <f t="shared" si="75"/>
        <v>5.6226812384961216</v>
      </c>
      <c r="U179" s="72">
        <f t="shared" si="76"/>
        <v>1.7053462321157722</v>
      </c>
      <c r="V179" s="72">
        <f t="shared" si="77"/>
        <v>4.2170109288720914</v>
      </c>
      <c r="W179" s="72">
        <f t="shared" si="78"/>
        <v>1.6712393074734566</v>
      </c>
      <c r="X179" s="72">
        <f t="shared" si="79"/>
        <v>2.9441251181727739</v>
      </c>
      <c r="Y179" s="72">
        <f t="shared" si="80"/>
        <v>0.71988861713317309</v>
      </c>
      <c r="Z179" s="72">
        <f t="shared" si="81"/>
        <v>3.8557764635098803</v>
      </c>
      <c r="AA179" s="72">
        <f t="shared" si="82"/>
        <v>19.244223536490122</v>
      </c>
      <c r="AB179" s="72">
        <f t="shared" si="83"/>
        <v>3.1677777175068473</v>
      </c>
      <c r="AC179" s="72">
        <f t="shared" si="84"/>
        <v>0.18868182684282603</v>
      </c>
      <c r="AD179" s="73">
        <f t="shared" si="85"/>
        <v>1206.0988078320233</v>
      </c>
      <c r="AE179" s="71">
        <f t="shared" si="86"/>
        <v>193.25470065891747</v>
      </c>
      <c r="AF179" s="74">
        <f t="shared" si="87"/>
        <v>5.8639999173037172</v>
      </c>
      <c r="AG179" s="75">
        <f t="shared" si="88"/>
        <v>4.7811265969515588</v>
      </c>
      <c r="AH179" s="76">
        <f t="shared" si="89"/>
        <v>4.3012267184041919</v>
      </c>
      <c r="AI179" s="77">
        <f t="shared" si="90"/>
        <v>5.8672184638494684</v>
      </c>
    </row>
    <row r="180" spans="1:35" ht="15.75" customHeight="1" x14ac:dyDescent="0.45">
      <c r="A180" s="59">
        <f t="shared" si="66"/>
        <v>45924</v>
      </c>
      <c r="B180" s="60">
        <v>2025</v>
      </c>
      <c r="C180" s="60">
        <v>9</v>
      </c>
      <c r="D180" s="60">
        <v>24</v>
      </c>
      <c r="E180" s="61">
        <v>267</v>
      </c>
      <c r="F180" s="62">
        <v>35</v>
      </c>
      <c r="G180" s="62">
        <v>15</v>
      </c>
      <c r="H180" s="70">
        <f t="shared" si="67"/>
        <v>25</v>
      </c>
      <c r="I180" s="62">
        <v>98</v>
      </c>
      <c r="J180" s="62">
        <v>75</v>
      </c>
      <c r="K180" s="62">
        <v>1</v>
      </c>
      <c r="L180" s="62">
        <v>30</v>
      </c>
      <c r="M180" s="71">
        <f t="shared" si="68"/>
        <v>-1.5128126293160375</v>
      </c>
      <c r="N180" s="72">
        <f t="shared" si="69"/>
        <v>-2.6403623090329242E-2</v>
      </c>
      <c r="O180" s="72">
        <f t="shared" si="70"/>
        <v>1.5495150857588902</v>
      </c>
      <c r="P180" s="72">
        <f t="shared" si="71"/>
        <v>0.99617451050256367</v>
      </c>
      <c r="Q180" s="71">
        <f t="shared" si="72"/>
        <v>28.038300871686516</v>
      </c>
      <c r="R180" s="72">
        <f t="shared" si="73"/>
        <v>1</v>
      </c>
      <c r="S180" s="71">
        <f t="shared" si="74"/>
        <v>11.837395613131322</v>
      </c>
      <c r="T180" s="72">
        <f t="shared" si="75"/>
        <v>5.6226812384961216</v>
      </c>
      <c r="U180" s="72">
        <f t="shared" si="76"/>
        <v>1.7053462321157722</v>
      </c>
      <c r="V180" s="72">
        <f t="shared" si="77"/>
        <v>4.2170109288720914</v>
      </c>
      <c r="W180" s="72">
        <f t="shared" si="78"/>
        <v>1.6712393074734566</v>
      </c>
      <c r="X180" s="72">
        <f t="shared" si="79"/>
        <v>2.9441251181727739</v>
      </c>
      <c r="Y180" s="72">
        <f t="shared" si="80"/>
        <v>0.71988861713317309</v>
      </c>
      <c r="Z180" s="72">
        <f t="shared" si="81"/>
        <v>3.8557764635098803</v>
      </c>
      <c r="AA180" s="72">
        <f t="shared" si="82"/>
        <v>19.244223536490122</v>
      </c>
      <c r="AB180" s="72">
        <f t="shared" si="83"/>
        <v>3.1677777175068473</v>
      </c>
      <c r="AC180" s="72">
        <f t="shared" si="84"/>
        <v>0.18868182684282603</v>
      </c>
      <c r="AD180" s="73">
        <f t="shared" si="85"/>
        <v>1206.0988078320233</v>
      </c>
      <c r="AE180" s="71">
        <f t="shared" si="86"/>
        <v>193.25470065891747</v>
      </c>
      <c r="AF180" s="74">
        <f t="shared" si="87"/>
        <v>5.8639999173037172</v>
      </c>
      <c r="AG180" s="75">
        <f t="shared" si="88"/>
        <v>4.7399037076845154</v>
      </c>
      <c r="AH180" s="76">
        <f t="shared" si="89"/>
        <v>4.3012267184041919</v>
      </c>
      <c r="AI180" s="77">
        <f t="shared" si="90"/>
        <v>5.8672184638494684</v>
      </c>
    </row>
    <row r="181" spans="1:35" ht="15.75" customHeight="1" x14ac:dyDescent="0.45">
      <c r="A181" s="59">
        <f t="shared" si="66"/>
        <v>45925</v>
      </c>
      <c r="B181" s="60">
        <v>2025</v>
      </c>
      <c r="C181" s="60">
        <v>9</v>
      </c>
      <c r="D181" s="60">
        <v>25</v>
      </c>
      <c r="E181" s="61">
        <v>268</v>
      </c>
      <c r="F181" s="62">
        <v>35</v>
      </c>
      <c r="G181" s="62">
        <v>15</v>
      </c>
      <c r="H181" s="70">
        <f t="shared" si="67"/>
        <v>25</v>
      </c>
      <c r="I181" s="62">
        <v>98</v>
      </c>
      <c r="J181" s="62">
        <v>75</v>
      </c>
      <c r="K181" s="62">
        <v>1</v>
      </c>
      <c r="L181" s="62">
        <v>30</v>
      </c>
      <c r="M181" s="71">
        <f t="shared" si="68"/>
        <v>-1.9154017881979566</v>
      </c>
      <c r="N181" s="72">
        <f t="shared" si="69"/>
        <v>-3.3430145876681666E-2</v>
      </c>
      <c r="O181" s="72">
        <f t="shared" si="70"/>
        <v>1.5438467235743343</v>
      </c>
      <c r="P181" s="72">
        <f t="shared" si="71"/>
        <v>0.99673928968850278</v>
      </c>
      <c r="Q181" s="71">
        <f t="shared" si="72"/>
        <v>27.794025126203756</v>
      </c>
      <c r="R181" s="72">
        <f t="shared" si="73"/>
        <v>1</v>
      </c>
      <c r="S181" s="71">
        <f t="shared" si="74"/>
        <v>11.794092617069017</v>
      </c>
      <c r="T181" s="72">
        <f t="shared" si="75"/>
        <v>5.6226812384961216</v>
      </c>
      <c r="U181" s="72">
        <f t="shared" si="76"/>
        <v>1.7053462321157722</v>
      </c>
      <c r="V181" s="72">
        <f t="shared" si="77"/>
        <v>4.2170109288720914</v>
      </c>
      <c r="W181" s="72">
        <f t="shared" si="78"/>
        <v>1.6712393074734566</v>
      </c>
      <c r="X181" s="72">
        <f t="shared" si="79"/>
        <v>2.9441251181727739</v>
      </c>
      <c r="Y181" s="72">
        <f t="shared" si="80"/>
        <v>0.71988861713317309</v>
      </c>
      <c r="Z181" s="72">
        <f t="shared" si="81"/>
        <v>3.8557764635098803</v>
      </c>
      <c r="AA181" s="72">
        <f t="shared" si="82"/>
        <v>19.244223536490122</v>
      </c>
      <c r="AB181" s="72">
        <f t="shared" si="83"/>
        <v>3.1677777175068473</v>
      </c>
      <c r="AC181" s="72">
        <f t="shared" si="84"/>
        <v>0.18868182684282603</v>
      </c>
      <c r="AD181" s="73">
        <f t="shared" si="85"/>
        <v>1206.0988078320233</v>
      </c>
      <c r="AE181" s="71">
        <f t="shared" si="86"/>
        <v>193.25470065891747</v>
      </c>
      <c r="AF181" s="74">
        <f t="shared" si="87"/>
        <v>5.8639999173037172</v>
      </c>
      <c r="AG181" s="75">
        <f t="shared" si="88"/>
        <v>4.6986086407327115</v>
      </c>
      <c r="AH181" s="76">
        <f t="shared" si="89"/>
        <v>4.3012267184041919</v>
      </c>
      <c r="AI181" s="77">
        <f t="shared" si="90"/>
        <v>5.8672184638494684</v>
      </c>
    </row>
    <row r="182" spans="1:35" ht="15.75" customHeight="1" x14ac:dyDescent="0.45">
      <c r="A182" s="59">
        <f t="shared" si="66"/>
        <v>45926</v>
      </c>
      <c r="B182" s="60">
        <v>2025</v>
      </c>
      <c r="C182" s="60">
        <v>9</v>
      </c>
      <c r="D182" s="60">
        <v>26</v>
      </c>
      <c r="E182" s="61">
        <v>269</v>
      </c>
      <c r="F182" s="62">
        <v>35</v>
      </c>
      <c r="G182" s="62">
        <v>15</v>
      </c>
      <c r="H182" s="70">
        <f t="shared" si="67"/>
        <v>25</v>
      </c>
      <c r="I182" s="62">
        <v>98</v>
      </c>
      <c r="J182" s="62">
        <v>75</v>
      </c>
      <c r="K182" s="62">
        <v>1</v>
      </c>
      <c r="L182" s="62">
        <v>30</v>
      </c>
      <c r="M182" s="71">
        <f t="shared" si="68"/>
        <v>-2.3174233695378699</v>
      </c>
      <c r="N182" s="72">
        <f t="shared" si="69"/>
        <v>-4.0446762543000954E-2</v>
      </c>
      <c r="O182" s="72">
        <f t="shared" si="70"/>
        <v>1.5381828290392683</v>
      </c>
      <c r="P182" s="72">
        <f t="shared" si="71"/>
        <v>0.99730503509779789</v>
      </c>
      <c r="Q182" s="71">
        <f t="shared" si="72"/>
        <v>27.549409026317019</v>
      </c>
      <c r="R182" s="72">
        <f t="shared" si="73"/>
        <v>1</v>
      </c>
      <c r="S182" s="71">
        <f t="shared" si="74"/>
        <v>11.750823751254915</v>
      </c>
      <c r="T182" s="72">
        <f t="shared" si="75"/>
        <v>5.6226812384961216</v>
      </c>
      <c r="U182" s="72">
        <f t="shared" si="76"/>
        <v>1.7053462321157722</v>
      </c>
      <c r="V182" s="72">
        <f t="shared" si="77"/>
        <v>4.2170109288720914</v>
      </c>
      <c r="W182" s="72">
        <f t="shared" si="78"/>
        <v>1.6712393074734566</v>
      </c>
      <c r="X182" s="72">
        <f t="shared" si="79"/>
        <v>2.9441251181727739</v>
      </c>
      <c r="Y182" s="72">
        <f t="shared" si="80"/>
        <v>0.71988861713317309</v>
      </c>
      <c r="Z182" s="72">
        <f t="shared" si="81"/>
        <v>3.8557764635098803</v>
      </c>
      <c r="AA182" s="72">
        <f t="shared" si="82"/>
        <v>19.244223536490122</v>
      </c>
      <c r="AB182" s="72">
        <f t="shared" si="83"/>
        <v>3.1677777175068473</v>
      </c>
      <c r="AC182" s="72">
        <f t="shared" si="84"/>
        <v>0.18868182684282603</v>
      </c>
      <c r="AD182" s="73">
        <f t="shared" si="85"/>
        <v>1206.0988078320233</v>
      </c>
      <c r="AE182" s="71">
        <f t="shared" si="86"/>
        <v>193.25470065891747</v>
      </c>
      <c r="AF182" s="74">
        <f t="shared" si="87"/>
        <v>5.8639999173037172</v>
      </c>
      <c r="AG182" s="75">
        <f t="shared" si="88"/>
        <v>4.6572560365175502</v>
      </c>
      <c r="AH182" s="76">
        <f t="shared" si="89"/>
        <v>4.3012267184041919</v>
      </c>
      <c r="AI182" s="77">
        <f t="shared" si="90"/>
        <v>5.8672184638494684</v>
      </c>
    </row>
    <row r="183" spans="1:35" ht="15.75" customHeight="1" x14ac:dyDescent="0.45">
      <c r="A183" s="59">
        <f t="shared" si="66"/>
        <v>45927</v>
      </c>
      <c r="B183" s="60">
        <v>2025</v>
      </c>
      <c r="C183" s="60">
        <v>9</v>
      </c>
      <c r="D183" s="60">
        <v>27</v>
      </c>
      <c r="E183" s="61">
        <v>270</v>
      </c>
      <c r="F183" s="62">
        <v>35</v>
      </c>
      <c r="G183" s="62">
        <v>15</v>
      </c>
      <c r="H183" s="70">
        <f t="shared" si="67"/>
        <v>25</v>
      </c>
      <c r="I183" s="62">
        <v>98</v>
      </c>
      <c r="J183" s="62">
        <v>75</v>
      </c>
      <c r="K183" s="62">
        <v>1</v>
      </c>
      <c r="L183" s="62">
        <v>30</v>
      </c>
      <c r="M183" s="71">
        <f t="shared" si="68"/>
        <v>-2.7187582451077481</v>
      </c>
      <c r="N183" s="72">
        <f t="shared" si="69"/>
        <v>-4.7451393904613899E-2</v>
      </c>
      <c r="O183" s="72">
        <f t="shared" si="70"/>
        <v>1.5325243552498902</v>
      </c>
      <c r="P183" s="72">
        <f t="shared" si="71"/>
        <v>0.99787157908709034</v>
      </c>
      <c r="Q183" s="71">
        <f t="shared" si="72"/>
        <v>27.304540036092636</v>
      </c>
      <c r="R183" s="72">
        <f t="shared" si="73"/>
        <v>1</v>
      </c>
      <c r="S183" s="71">
        <f t="shared" si="74"/>
        <v>11.707596296790605</v>
      </c>
      <c r="T183" s="72">
        <f t="shared" si="75"/>
        <v>5.6226812384961216</v>
      </c>
      <c r="U183" s="72">
        <f t="shared" si="76"/>
        <v>1.7053462321157722</v>
      </c>
      <c r="V183" s="72">
        <f t="shared" si="77"/>
        <v>4.2170109288720914</v>
      </c>
      <c r="W183" s="72">
        <f t="shared" si="78"/>
        <v>1.6712393074734566</v>
      </c>
      <c r="X183" s="72">
        <f t="shared" si="79"/>
        <v>2.9441251181727739</v>
      </c>
      <c r="Y183" s="72">
        <f t="shared" si="80"/>
        <v>0.71988861713317309</v>
      </c>
      <c r="Z183" s="72">
        <f t="shared" si="81"/>
        <v>3.8557764635098803</v>
      </c>
      <c r="AA183" s="72">
        <f t="shared" si="82"/>
        <v>19.244223536490122</v>
      </c>
      <c r="AB183" s="72">
        <f t="shared" si="83"/>
        <v>3.1677777175068473</v>
      </c>
      <c r="AC183" s="72">
        <f t="shared" si="84"/>
        <v>0.18868182684282603</v>
      </c>
      <c r="AD183" s="73">
        <f t="shared" si="85"/>
        <v>1206.0988078320233</v>
      </c>
      <c r="AE183" s="71">
        <f t="shared" si="86"/>
        <v>193.25470065891747</v>
      </c>
      <c r="AF183" s="74">
        <f t="shared" si="87"/>
        <v>5.8639999173037172</v>
      </c>
      <c r="AG183" s="75">
        <f t="shared" si="88"/>
        <v>4.6158606809297389</v>
      </c>
      <c r="AH183" s="76">
        <f t="shared" si="89"/>
        <v>4.3012267184041919</v>
      </c>
      <c r="AI183" s="77">
        <f t="shared" si="90"/>
        <v>5.8672184638494684</v>
      </c>
    </row>
    <row r="184" spans="1:35" ht="15.75" customHeight="1" x14ac:dyDescent="0.45">
      <c r="A184" s="59">
        <f t="shared" si="66"/>
        <v>45928</v>
      </c>
      <c r="B184" s="60">
        <v>2025</v>
      </c>
      <c r="C184" s="60">
        <v>9</v>
      </c>
      <c r="D184" s="60">
        <v>28</v>
      </c>
      <c r="E184" s="61">
        <v>271</v>
      </c>
      <c r="F184" s="62">
        <v>35</v>
      </c>
      <c r="G184" s="62">
        <v>15</v>
      </c>
      <c r="H184" s="70">
        <f t="shared" si="67"/>
        <v>25</v>
      </c>
      <c r="I184" s="62">
        <v>98</v>
      </c>
      <c r="J184" s="62">
        <v>75</v>
      </c>
      <c r="K184" s="62">
        <v>1</v>
      </c>
      <c r="L184" s="62">
        <v>30</v>
      </c>
      <c r="M184" s="71">
        <f t="shared" si="68"/>
        <v>-3.1192874901662706</v>
      </c>
      <c r="N184" s="72">
        <f t="shared" si="69"/>
        <v>-5.444196432836864E-2</v>
      </c>
      <c r="O184" s="72">
        <f t="shared" si="70"/>
        <v>1.5268722624623399</v>
      </c>
      <c r="P184" s="72">
        <f t="shared" si="71"/>
        <v>0.99843875377638402</v>
      </c>
      <c r="Q184" s="71">
        <f t="shared" si="72"/>
        <v>27.059506415053104</v>
      </c>
      <c r="R184" s="72">
        <f t="shared" si="73"/>
        <v>1</v>
      </c>
      <c r="S184" s="71">
        <f t="shared" si="74"/>
        <v>11.664417589475477</v>
      </c>
      <c r="T184" s="72">
        <f t="shared" si="75"/>
        <v>5.6226812384961216</v>
      </c>
      <c r="U184" s="72">
        <f t="shared" si="76"/>
        <v>1.7053462321157722</v>
      </c>
      <c r="V184" s="72">
        <f t="shared" si="77"/>
        <v>4.2170109288720914</v>
      </c>
      <c r="W184" s="72">
        <f t="shared" si="78"/>
        <v>1.6712393074734566</v>
      </c>
      <c r="X184" s="72">
        <f t="shared" si="79"/>
        <v>2.9441251181727739</v>
      </c>
      <c r="Y184" s="72">
        <f t="shared" si="80"/>
        <v>0.71988861713317309</v>
      </c>
      <c r="Z184" s="72">
        <f t="shared" si="81"/>
        <v>3.8557764635098803</v>
      </c>
      <c r="AA184" s="72">
        <f t="shared" si="82"/>
        <v>19.244223536490122</v>
      </c>
      <c r="AB184" s="72">
        <f t="shared" si="83"/>
        <v>3.1677777175068473</v>
      </c>
      <c r="AC184" s="72">
        <f t="shared" si="84"/>
        <v>0.18868182684282603</v>
      </c>
      <c r="AD184" s="73">
        <f t="shared" si="85"/>
        <v>1206.0988078320233</v>
      </c>
      <c r="AE184" s="71">
        <f t="shared" si="86"/>
        <v>193.25470065891747</v>
      </c>
      <c r="AF184" s="74">
        <f t="shared" si="87"/>
        <v>5.8639999173037172</v>
      </c>
      <c r="AG184" s="75">
        <f t="shared" si="88"/>
        <v>4.5744374943326687</v>
      </c>
      <c r="AH184" s="76">
        <f t="shared" si="89"/>
        <v>4.3012267184041919</v>
      </c>
      <c r="AI184" s="77">
        <f t="shared" si="90"/>
        <v>5.8672184638494684</v>
      </c>
    </row>
    <row r="185" spans="1:35" ht="15.75" customHeight="1" x14ac:dyDescent="0.45">
      <c r="A185" s="59">
        <f t="shared" si="66"/>
        <v>45929</v>
      </c>
      <c r="B185" s="60">
        <v>2025</v>
      </c>
      <c r="C185" s="60">
        <v>9</v>
      </c>
      <c r="D185" s="60">
        <v>29</v>
      </c>
      <c r="E185" s="61">
        <v>272</v>
      </c>
      <c r="F185" s="62">
        <v>35</v>
      </c>
      <c r="G185" s="62">
        <v>15</v>
      </c>
      <c r="H185" s="70">
        <f t="shared" si="67"/>
        <v>25</v>
      </c>
      <c r="I185" s="62">
        <v>98</v>
      </c>
      <c r="J185" s="62">
        <v>75</v>
      </c>
      <c r="K185" s="62">
        <v>1</v>
      </c>
      <c r="L185" s="62">
        <v>30</v>
      </c>
      <c r="M185" s="71">
        <f t="shared" si="68"/>
        <v>-3.5188924186989321</v>
      </c>
      <c r="N185" s="72">
        <f t="shared" si="69"/>
        <v>-6.141640234769203E-2</v>
      </c>
      <c r="O185" s="72">
        <f t="shared" si="70"/>
        <v>1.5212275193127196</v>
      </c>
      <c r="P185" s="72">
        <f t="shared" si="71"/>
        <v>0.99900639109879186</v>
      </c>
      <c r="Q185" s="71">
        <f t="shared" si="72"/>
        <v>26.814397151495744</v>
      </c>
      <c r="R185" s="72">
        <f t="shared" si="73"/>
        <v>1</v>
      </c>
      <c r="S185" s="71">
        <f t="shared" si="74"/>
        <v>11.621295029126964</v>
      </c>
      <c r="T185" s="72">
        <f t="shared" si="75"/>
        <v>5.6226812384961216</v>
      </c>
      <c r="U185" s="72">
        <f t="shared" si="76"/>
        <v>1.7053462321157722</v>
      </c>
      <c r="V185" s="72">
        <f t="shared" si="77"/>
        <v>4.2170109288720914</v>
      </c>
      <c r="W185" s="72">
        <f t="shared" si="78"/>
        <v>1.6712393074734566</v>
      </c>
      <c r="X185" s="72">
        <f t="shared" si="79"/>
        <v>2.9441251181727739</v>
      </c>
      <c r="Y185" s="72">
        <f t="shared" si="80"/>
        <v>0.71988861713317309</v>
      </c>
      <c r="Z185" s="72">
        <f t="shared" si="81"/>
        <v>3.8557764635098803</v>
      </c>
      <c r="AA185" s="72">
        <f t="shared" si="82"/>
        <v>19.244223536490122</v>
      </c>
      <c r="AB185" s="72">
        <f t="shared" si="83"/>
        <v>3.1677777175068473</v>
      </c>
      <c r="AC185" s="72">
        <f t="shared" si="84"/>
        <v>0.18868182684282603</v>
      </c>
      <c r="AD185" s="73">
        <f t="shared" si="85"/>
        <v>1206.0988078320233</v>
      </c>
      <c r="AE185" s="71">
        <f t="shared" si="86"/>
        <v>193.25470065891747</v>
      </c>
      <c r="AF185" s="74">
        <f t="shared" si="87"/>
        <v>5.8639999173037172</v>
      </c>
      <c r="AG185" s="75">
        <f t="shared" si="88"/>
        <v>4.5330015202898712</v>
      </c>
      <c r="AH185" s="76">
        <f t="shared" si="89"/>
        <v>4.3012267184041919</v>
      </c>
      <c r="AI185" s="77">
        <f t="shared" si="90"/>
        <v>5.8672184638494684</v>
      </c>
    </row>
    <row r="186" spans="1:35" ht="15.75" customHeight="1" x14ac:dyDescent="0.45">
      <c r="A186" s="59">
        <f t="shared" si="66"/>
        <v>45930</v>
      </c>
      <c r="B186" s="60">
        <v>2025</v>
      </c>
      <c r="C186" s="60">
        <v>9</v>
      </c>
      <c r="D186" s="60">
        <v>30</v>
      </c>
      <c r="E186" s="61">
        <v>273</v>
      </c>
      <c r="F186" s="62">
        <v>35</v>
      </c>
      <c r="G186" s="62">
        <v>15</v>
      </c>
      <c r="H186" s="70">
        <f t="shared" si="67"/>
        <v>25</v>
      </c>
      <c r="I186" s="62">
        <v>98</v>
      </c>
      <c r="J186" s="62">
        <v>75</v>
      </c>
      <c r="K186" s="62">
        <v>1</v>
      </c>
      <c r="L186" s="62">
        <v>30</v>
      </c>
      <c r="M186" s="71">
        <f t="shared" si="68"/>
        <v>-3.9174546185874455</v>
      </c>
      <c r="N186" s="72">
        <f t="shared" si="69"/>
        <v>-6.8372641276412877E-2</v>
      </c>
      <c r="O186" s="72">
        <f t="shared" si="70"/>
        <v>1.5155911040248529</v>
      </c>
      <c r="P186" s="72">
        <f t="shared" si="71"/>
        <v>0.99957432285033787</v>
      </c>
      <c r="Q186" s="71">
        <f t="shared" si="72"/>
        <v>26.569301894310513</v>
      </c>
      <c r="R186" s="72">
        <f t="shared" si="73"/>
        <v>1</v>
      </c>
      <c r="S186" s="71">
        <f t="shared" si="74"/>
        <v>11.578236088807126</v>
      </c>
      <c r="T186" s="72">
        <f t="shared" si="75"/>
        <v>5.6226812384961216</v>
      </c>
      <c r="U186" s="72">
        <f t="shared" si="76"/>
        <v>1.7053462321157722</v>
      </c>
      <c r="V186" s="72">
        <f t="shared" si="77"/>
        <v>4.2170109288720914</v>
      </c>
      <c r="W186" s="72">
        <f t="shared" si="78"/>
        <v>1.6712393074734566</v>
      </c>
      <c r="X186" s="72">
        <f t="shared" si="79"/>
        <v>2.9441251181727739</v>
      </c>
      <c r="Y186" s="72">
        <f t="shared" si="80"/>
        <v>0.71988861713317309</v>
      </c>
      <c r="Z186" s="72">
        <f t="shared" si="81"/>
        <v>3.8557764635098803</v>
      </c>
      <c r="AA186" s="72">
        <f t="shared" si="82"/>
        <v>19.244223536490122</v>
      </c>
      <c r="AB186" s="72">
        <f t="shared" si="83"/>
        <v>3.1677777175068473</v>
      </c>
      <c r="AC186" s="72">
        <f t="shared" si="84"/>
        <v>0.18868182684282603</v>
      </c>
      <c r="AD186" s="73">
        <f t="shared" si="85"/>
        <v>1206.0988078320233</v>
      </c>
      <c r="AE186" s="71">
        <f t="shared" si="86"/>
        <v>193.25470065891747</v>
      </c>
      <c r="AF186" s="74">
        <f t="shared" si="87"/>
        <v>5.8639999173037172</v>
      </c>
      <c r="AG186" s="75">
        <f t="shared" si="88"/>
        <v>4.4915679140387423</v>
      </c>
      <c r="AH186" s="76">
        <f t="shared" si="89"/>
        <v>4.3012267184041919</v>
      </c>
      <c r="AI186" s="77">
        <f t="shared" si="90"/>
        <v>5.8672184638494684</v>
      </c>
    </row>
    <row r="187" spans="1:35" ht="15.75" customHeight="1" x14ac:dyDescent="0.45">
      <c r="A187" s="59">
        <f t="shared" si="66"/>
        <v>45931</v>
      </c>
      <c r="B187" s="60">
        <v>2025</v>
      </c>
      <c r="C187" s="60">
        <v>10</v>
      </c>
      <c r="D187" s="60">
        <v>1</v>
      </c>
      <c r="E187" s="61">
        <v>274</v>
      </c>
      <c r="F187" s="62">
        <v>35</v>
      </c>
      <c r="G187" s="62">
        <v>15</v>
      </c>
      <c r="H187" s="70">
        <f t="shared" si="67"/>
        <v>25</v>
      </c>
      <c r="I187" s="62">
        <v>98</v>
      </c>
      <c r="J187" s="62">
        <v>75</v>
      </c>
      <c r="K187" s="62">
        <v>1</v>
      </c>
      <c r="L187" s="62">
        <v>30</v>
      </c>
      <c r="M187" s="71">
        <f t="shared" si="68"/>
        <v>-4.3148559866979763</v>
      </c>
      <c r="N187" s="72">
        <f t="shared" si="69"/>
        <v>-7.5308619821168682E-2</v>
      </c>
      <c r="O187" s="72">
        <f t="shared" si="70"/>
        <v>1.509964005603823</v>
      </c>
      <c r="P187" s="72">
        <f t="shared" si="71"/>
        <v>1.0001423807398002</v>
      </c>
      <c r="Q187" s="71">
        <f t="shared" si="72"/>
        <v>26.324310883432695</v>
      </c>
      <c r="R187" s="72">
        <f t="shared" si="73"/>
        <v>1</v>
      </c>
      <c r="S187" s="71">
        <f t="shared" si="74"/>
        <v>11.535248323940587</v>
      </c>
      <c r="T187" s="72">
        <f t="shared" si="75"/>
        <v>5.6226812384961216</v>
      </c>
      <c r="U187" s="72">
        <f t="shared" si="76"/>
        <v>1.7053462321157722</v>
      </c>
      <c r="V187" s="72">
        <f t="shared" si="77"/>
        <v>4.2170109288720914</v>
      </c>
      <c r="W187" s="72">
        <f t="shared" si="78"/>
        <v>1.6712393074734566</v>
      </c>
      <c r="X187" s="72">
        <f t="shared" si="79"/>
        <v>2.9441251181727739</v>
      </c>
      <c r="Y187" s="72">
        <f t="shared" si="80"/>
        <v>0.71988861713317309</v>
      </c>
      <c r="Z187" s="72">
        <f t="shared" si="81"/>
        <v>3.8557764635098803</v>
      </c>
      <c r="AA187" s="72">
        <f t="shared" si="82"/>
        <v>19.244223536490122</v>
      </c>
      <c r="AB187" s="72">
        <f t="shared" si="83"/>
        <v>3.1677777175068473</v>
      </c>
      <c r="AC187" s="72">
        <f t="shared" si="84"/>
        <v>0.18868182684282603</v>
      </c>
      <c r="AD187" s="73">
        <f t="shared" si="85"/>
        <v>1206.0988078320233</v>
      </c>
      <c r="AE187" s="71">
        <f t="shared" si="86"/>
        <v>193.25470065891747</v>
      </c>
      <c r="AF187" s="74">
        <f t="shared" si="87"/>
        <v>5.8639999173037172</v>
      </c>
      <c r="AG187" s="75">
        <f t="shared" si="88"/>
        <v>4.4501519307334982</v>
      </c>
      <c r="AH187" s="76">
        <f t="shared" si="89"/>
        <v>4.3012267184041919</v>
      </c>
      <c r="AI187" s="77">
        <f t="shared" si="90"/>
        <v>5.8672184638494684</v>
      </c>
    </row>
    <row r="188" spans="1:35" ht="15.75" customHeight="1" x14ac:dyDescent="0.45">
      <c r="A188" s="59">
        <f t="shared" si="66"/>
        <v>45932</v>
      </c>
      <c r="B188" s="60">
        <v>2025</v>
      </c>
      <c r="C188" s="60">
        <v>10</v>
      </c>
      <c r="D188" s="60">
        <v>2</v>
      </c>
      <c r="E188" s="61">
        <v>275</v>
      </c>
      <c r="F188" s="62">
        <v>35</v>
      </c>
      <c r="G188" s="62">
        <v>15</v>
      </c>
      <c r="H188" s="70">
        <f t="shared" si="67"/>
        <v>25</v>
      </c>
      <c r="I188" s="62">
        <v>98</v>
      </c>
      <c r="J188" s="62">
        <v>75</v>
      </c>
      <c r="K188" s="62">
        <v>1</v>
      </c>
      <c r="L188" s="62">
        <v>30</v>
      </c>
      <c r="M188" s="71">
        <f t="shared" si="68"/>
        <v>-4.7109787638777885</v>
      </c>
      <c r="N188" s="72">
        <f t="shared" si="69"/>
        <v>-8.2222282692213669E-2</v>
      </c>
      <c r="O188" s="72">
        <f t="shared" si="70"/>
        <v>1.5043472250132797</v>
      </c>
      <c r="P188" s="72">
        <f t="shared" si="71"/>
        <v>1.0007103964385791</v>
      </c>
      <c r="Q188" s="71">
        <f t="shared" si="72"/>
        <v>26.079514879069688</v>
      </c>
      <c r="R188" s="72">
        <f t="shared" si="73"/>
        <v>1</v>
      </c>
      <c r="S188" s="71">
        <f t="shared" si="74"/>
        <v>11.492339381308476</v>
      </c>
      <c r="T188" s="72">
        <f t="shared" si="75"/>
        <v>5.6226812384961216</v>
      </c>
      <c r="U188" s="72">
        <f t="shared" si="76"/>
        <v>1.7053462321157722</v>
      </c>
      <c r="V188" s="72">
        <f t="shared" si="77"/>
        <v>4.2170109288720914</v>
      </c>
      <c r="W188" s="72">
        <f t="shared" si="78"/>
        <v>1.6712393074734566</v>
      </c>
      <c r="X188" s="72">
        <f t="shared" si="79"/>
        <v>2.9441251181727739</v>
      </c>
      <c r="Y188" s="72">
        <f t="shared" si="80"/>
        <v>0.71988861713317309</v>
      </c>
      <c r="Z188" s="72">
        <f t="shared" si="81"/>
        <v>3.8557764635098803</v>
      </c>
      <c r="AA188" s="72">
        <f t="shared" si="82"/>
        <v>19.244223536490122</v>
      </c>
      <c r="AB188" s="72">
        <f t="shared" si="83"/>
        <v>3.1677777175068473</v>
      </c>
      <c r="AC188" s="72">
        <f t="shared" si="84"/>
        <v>0.18868182684282603</v>
      </c>
      <c r="AD188" s="73">
        <f t="shared" si="85"/>
        <v>1206.0988078320233</v>
      </c>
      <c r="AE188" s="71">
        <f t="shared" si="86"/>
        <v>193.25470065891747</v>
      </c>
      <c r="AF188" s="74">
        <f t="shared" si="87"/>
        <v>5.8639999173037172</v>
      </c>
      <c r="AG188" s="75">
        <f t="shared" si="88"/>
        <v>4.4087689134808992</v>
      </c>
      <c r="AH188" s="76">
        <f t="shared" si="89"/>
        <v>4.3012267184041919</v>
      </c>
      <c r="AI188" s="77">
        <f t="shared" si="90"/>
        <v>5.8672184638494684</v>
      </c>
    </row>
    <row r="189" spans="1:35" ht="15.75" customHeight="1" x14ac:dyDescent="0.45">
      <c r="A189" s="59">
        <f t="shared" si="66"/>
        <v>45933</v>
      </c>
      <c r="B189" s="60">
        <v>2025</v>
      </c>
      <c r="C189" s="60">
        <v>10</v>
      </c>
      <c r="D189" s="60">
        <v>3</v>
      </c>
      <c r="E189" s="61">
        <v>276</v>
      </c>
      <c r="F189" s="62">
        <v>35</v>
      </c>
      <c r="G189" s="62">
        <v>15</v>
      </c>
      <c r="H189" s="70">
        <f t="shared" si="67"/>
        <v>25</v>
      </c>
      <c r="I189" s="62">
        <v>98</v>
      </c>
      <c r="J189" s="62">
        <v>75</v>
      </c>
      <c r="K189" s="62">
        <v>1</v>
      </c>
      <c r="L189" s="62">
        <v>30</v>
      </c>
      <c r="M189" s="71">
        <f t="shared" si="68"/>
        <v>-5.1057055698500244</v>
      </c>
      <c r="N189" s="72">
        <f t="shared" si="69"/>
        <v>-8.9111581212449095E-2</v>
      </c>
      <c r="O189" s="72">
        <f t="shared" si="70"/>
        <v>1.4987417763344284</v>
      </c>
      <c r="P189" s="72">
        <f t="shared" si="71"/>
        <v>1.001278201630577</v>
      </c>
      <c r="Q189" s="71">
        <f t="shared" si="72"/>
        <v>25.835005089844284</v>
      </c>
      <c r="R189" s="72">
        <f t="shared" si="73"/>
        <v>1</v>
      </c>
      <c r="S189" s="71">
        <f t="shared" si="74"/>
        <v>11.449517007902433</v>
      </c>
      <c r="T189" s="72">
        <f t="shared" si="75"/>
        <v>5.6226812384961216</v>
      </c>
      <c r="U189" s="72">
        <f t="shared" si="76"/>
        <v>1.7053462321157722</v>
      </c>
      <c r="V189" s="72">
        <f t="shared" si="77"/>
        <v>4.2170109288720914</v>
      </c>
      <c r="W189" s="72">
        <f t="shared" si="78"/>
        <v>1.6712393074734566</v>
      </c>
      <c r="X189" s="72">
        <f t="shared" si="79"/>
        <v>2.9441251181727739</v>
      </c>
      <c r="Y189" s="72">
        <f t="shared" si="80"/>
        <v>0.71988861713317309</v>
      </c>
      <c r="Z189" s="72">
        <f t="shared" si="81"/>
        <v>3.8557764635098803</v>
      </c>
      <c r="AA189" s="72">
        <f t="shared" si="82"/>
        <v>19.244223536490122</v>
      </c>
      <c r="AB189" s="72">
        <f t="shared" si="83"/>
        <v>3.1677777175068473</v>
      </c>
      <c r="AC189" s="72">
        <f t="shared" si="84"/>
        <v>0.18868182684282603</v>
      </c>
      <c r="AD189" s="73">
        <f t="shared" si="85"/>
        <v>1206.0988078320233</v>
      </c>
      <c r="AE189" s="71">
        <f t="shared" si="86"/>
        <v>193.25470065891747</v>
      </c>
      <c r="AF189" s="74">
        <f t="shared" si="87"/>
        <v>5.8639999173037172</v>
      </c>
      <c r="AG189" s="75">
        <f t="shared" si="88"/>
        <v>4.3674342811927858</v>
      </c>
      <c r="AH189" s="76">
        <f t="shared" si="89"/>
        <v>4.3012267184041919</v>
      </c>
      <c r="AI189" s="77">
        <f t="shared" si="90"/>
        <v>5.8672184638494684</v>
      </c>
    </row>
    <row r="190" spans="1:35" ht="15.75" customHeight="1" x14ac:dyDescent="0.45">
      <c r="A190" s="59">
        <f t="shared" si="66"/>
        <v>45934</v>
      </c>
      <c r="B190" s="60">
        <v>2025</v>
      </c>
      <c r="C190" s="60">
        <v>10</v>
      </c>
      <c r="D190" s="60">
        <v>4</v>
      </c>
      <c r="E190" s="61">
        <v>277</v>
      </c>
      <c r="F190" s="62">
        <v>35</v>
      </c>
      <c r="G190" s="62">
        <v>15</v>
      </c>
      <c r="H190" s="70">
        <f t="shared" si="67"/>
        <v>25</v>
      </c>
      <c r="I190" s="62">
        <v>98</v>
      </c>
      <c r="J190" s="62">
        <v>75</v>
      </c>
      <c r="K190" s="62">
        <v>1</v>
      </c>
      <c r="L190" s="62">
        <v>30</v>
      </c>
      <c r="M190" s="71">
        <f t="shared" si="68"/>
        <v>-5.4989194379961486</v>
      </c>
      <c r="N190" s="72">
        <f t="shared" si="69"/>
        <v>-9.5974473924492779E-2</v>
      </c>
      <c r="O190" s="72">
        <f t="shared" si="70"/>
        <v>1.4931486879045597</v>
      </c>
      <c r="P190" s="72">
        <f t="shared" si="71"/>
        <v>1.0018456280620749</v>
      </c>
      <c r="Q190" s="71">
        <f t="shared" si="72"/>
        <v>25.590873100000259</v>
      </c>
      <c r="R190" s="72">
        <f t="shared" si="73"/>
        <v>1</v>
      </c>
      <c r="S190" s="71">
        <f t="shared" si="74"/>
        <v>11.406789059622305</v>
      </c>
      <c r="T190" s="72">
        <f t="shared" si="75"/>
        <v>5.6226812384961216</v>
      </c>
      <c r="U190" s="72">
        <f t="shared" si="76"/>
        <v>1.7053462321157722</v>
      </c>
      <c r="V190" s="72">
        <f t="shared" si="77"/>
        <v>4.2170109288720914</v>
      </c>
      <c r="W190" s="72">
        <f t="shared" si="78"/>
        <v>1.6712393074734566</v>
      </c>
      <c r="X190" s="72">
        <f t="shared" si="79"/>
        <v>2.9441251181727739</v>
      </c>
      <c r="Y190" s="72">
        <f t="shared" si="80"/>
        <v>0.71988861713317309</v>
      </c>
      <c r="Z190" s="72">
        <f t="shared" si="81"/>
        <v>3.8557764635098803</v>
      </c>
      <c r="AA190" s="72">
        <f t="shared" si="82"/>
        <v>19.244223536490122</v>
      </c>
      <c r="AB190" s="72">
        <f t="shared" si="83"/>
        <v>3.1677777175068473</v>
      </c>
      <c r="AC190" s="72">
        <f t="shared" si="84"/>
        <v>0.18868182684282603</v>
      </c>
      <c r="AD190" s="73">
        <f t="shared" si="85"/>
        <v>1206.0988078320233</v>
      </c>
      <c r="AE190" s="71">
        <f t="shared" si="86"/>
        <v>193.25470065891747</v>
      </c>
      <c r="AF190" s="74">
        <f t="shared" si="87"/>
        <v>5.8639999173037172</v>
      </c>
      <c r="AG190" s="75">
        <f t="shared" si="88"/>
        <v>4.3261635162801158</v>
      </c>
      <c r="AH190" s="76">
        <f t="shared" si="89"/>
        <v>4.3012267184041919</v>
      </c>
      <c r="AI190" s="77">
        <f t="shared" si="90"/>
        <v>5.8672184638494684</v>
      </c>
    </row>
    <row r="191" spans="1:35" ht="15.75" customHeight="1" x14ac:dyDescent="0.45">
      <c r="A191" s="59">
        <f t="shared" si="66"/>
        <v>45935</v>
      </c>
      <c r="B191" s="60">
        <v>2025</v>
      </c>
      <c r="C191" s="60">
        <v>10</v>
      </c>
      <c r="D191" s="60">
        <v>5</v>
      </c>
      <c r="E191" s="61">
        <v>278</v>
      </c>
      <c r="F191" s="62">
        <v>35</v>
      </c>
      <c r="G191" s="62">
        <v>15</v>
      </c>
      <c r="H191" s="70">
        <f t="shared" si="67"/>
        <v>25</v>
      </c>
      <c r="I191" s="62">
        <v>98</v>
      </c>
      <c r="J191" s="62">
        <v>75</v>
      </c>
      <c r="K191" s="62">
        <v>1</v>
      </c>
      <c r="L191" s="62">
        <v>30</v>
      </c>
      <c r="M191" s="71">
        <f t="shared" si="68"/>
        <v>-5.8905038500158531</v>
      </c>
      <c r="N191" s="72">
        <f t="shared" si="69"/>
        <v>-0.10280892719561002</v>
      </c>
      <c r="O191" s="72">
        <f t="shared" si="70"/>
        <v>1.4875690034328874</v>
      </c>
      <c r="P191" s="72">
        <f t="shared" si="71"/>
        <v>1.002412507591588</v>
      </c>
      <c r="Q191" s="71">
        <f t="shared" si="72"/>
        <v>25.347210795818029</v>
      </c>
      <c r="R191" s="72">
        <f t="shared" si="73"/>
        <v>1</v>
      </c>
      <c r="S191" s="71">
        <f t="shared" si="74"/>
        <v>11.364163509800516</v>
      </c>
      <c r="T191" s="72">
        <f t="shared" si="75"/>
        <v>5.6226812384961216</v>
      </c>
      <c r="U191" s="72">
        <f t="shared" si="76"/>
        <v>1.7053462321157722</v>
      </c>
      <c r="V191" s="72">
        <f t="shared" si="77"/>
        <v>4.2170109288720914</v>
      </c>
      <c r="W191" s="72">
        <f t="shared" si="78"/>
        <v>1.6712393074734566</v>
      </c>
      <c r="X191" s="72">
        <f t="shared" si="79"/>
        <v>2.9441251181727739</v>
      </c>
      <c r="Y191" s="72">
        <f t="shared" si="80"/>
        <v>0.71988861713317309</v>
      </c>
      <c r="Z191" s="72">
        <f t="shared" si="81"/>
        <v>3.8557764635098803</v>
      </c>
      <c r="AA191" s="72">
        <f t="shared" si="82"/>
        <v>19.244223536490122</v>
      </c>
      <c r="AB191" s="72">
        <f t="shared" si="83"/>
        <v>3.1677777175068473</v>
      </c>
      <c r="AC191" s="72">
        <f t="shared" si="84"/>
        <v>0.18868182684282603</v>
      </c>
      <c r="AD191" s="73">
        <f t="shared" si="85"/>
        <v>1206.0988078320233</v>
      </c>
      <c r="AE191" s="71">
        <f t="shared" si="86"/>
        <v>193.25470065891747</v>
      </c>
      <c r="AF191" s="74">
        <f t="shared" si="87"/>
        <v>5.8639999173037172</v>
      </c>
      <c r="AG191" s="75">
        <f t="shared" si="88"/>
        <v>4.2849721522134523</v>
      </c>
      <c r="AH191" s="76">
        <f t="shared" si="89"/>
        <v>4.3012267184041919</v>
      </c>
      <c r="AI191" s="77">
        <f t="shared" si="90"/>
        <v>5.8672184638494684</v>
      </c>
    </row>
    <row r="192" spans="1:35" ht="15.75" customHeight="1" x14ac:dyDescent="0.45">
      <c r="A192" s="59">
        <f t="shared" si="66"/>
        <v>45936</v>
      </c>
      <c r="B192" s="60">
        <v>2025</v>
      </c>
      <c r="C192" s="60">
        <v>10</v>
      </c>
      <c r="D192" s="60">
        <v>6</v>
      </c>
      <c r="E192" s="61">
        <v>279</v>
      </c>
      <c r="F192" s="62">
        <v>35</v>
      </c>
      <c r="G192" s="62">
        <v>15</v>
      </c>
      <c r="H192" s="70">
        <f t="shared" si="67"/>
        <v>25</v>
      </c>
      <c r="I192" s="62">
        <v>98</v>
      </c>
      <c r="J192" s="62">
        <v>75</v>
      </c>
      <c r="K192" s="62">
        <v>1</v>
      </c>
      <c r="L192" s="62">
        <v>30</v>
      </c>
      <c r="M192" s="71">
        <f t="shared" si="68"/>
        <v>-6.2803427704541068</v>
      </c>
      <c r="N192" s="72">
        <f t="shared" si="69"/>
        <v>-0.10961291582032567</v>
      </c>
      <c r="O192" s="72">
        <f t="shared" si="70"/>
        <v>1.4820037830913944</v>
      </c>
      <c r="P192" s="72">
        <f t="shared" si="71"/>
        <v>1.0029786722396925</v>
      </c>
      <c r="Q192" s="71">
        <f t="shared" si="72"/>
        <v>25.104110291390882</v>
      </c>
      <c r="R192" s="72">
        <f t="shared" si="73"/>
        <v>1</v>
      </c>
      <c r="S192" s="71">
        <f t="shared" si="74"/>
        <v>11.321648457535481</v>
      </c>
      <c r="T192" s="72">
        <f t="shared" si="75"/>
        <v>5.6226812384961216</v>
      </c>
      <c r="U192" s="72">
        <f t="shared" si="76"/>
        <v>1.7053462321157722</v>
      </c>
      <c r="V192" s="72">
        <f t="shared" si="77"/>
        <v>4.2170109288720914</v>
      </c>
      <c r="W192" s="72">
        <f t="shared" si="78"/>
        <v>1.6712393074734566</v>
      </c>
      <c r="X192" s="72">
        <f t="shared" si="79"/>
        <v>2.9441251181727739</v>
      </c>
      <c r="Y192" s="72">
        <f t="shared" si="80"/>
        <v>0.71988861713317309</v>
      </c>
      <c r="Z192" s="72">
        <f t="shared" si="81"/>
        <v>3.8557764635098803</v>
      </c>
      <c r="AA192" s="72">
        <f t="shared" si="82"/>
        <v>19.244223536490122</v>
      </c>
      <c r="AB192" s="72">
        <f t="shared" si="83"/>
        <v>3.1677777175068473</v>
      </c>
      <c r="AC192" s="72">
        <f t="shared" si="84"/>
        <v>0.18868182684282603</v>
      </c>
      <c r="AD192" s="73">
        <f t="shared" si="85"/>
        <v>1206.0988078320233</v>
      </c>
      <c r="AE192" s="71">
        <f t="shared" si="86"/>
        <v>193.25470065891747</v>
      </c>
      <c r="AF192" s="74">
        <f t="shared" si="87"/>
        <v>5.8639999173037172</v>
      </c>
      <c r="AG192" s="75">
        <f t="shared" si="88"/>
        <v>4.2438757609753575</v>
      </c>
      <c r="AH192" s="76">
        <f t="shared" si="89"/>
        <v>4.3012267184041919</v>
      </c>
      <c r="AI192" s="77">
        <f t="shared" si="90"/>
        <v>5.8672184638494684</v>
      </c>
    </row>
    <row r="193" spans="1:35" ht="15.75" customHeight="1" x14ac:dyDescent="0.45">
      <c r="A193" s="59">
        <f t="shared" si="66"/>
        <v>45937</v>
      </c>
      <c r="B193" s="60">
        <v>2025</v>
      </c>
      <c r="C193" s="60">
        <v>10</v>
      </c>
      <c r="D193" s="60">
        <v>7</v>
      </c>
      <c r="E193" s="61">
        <v>280</v>
      </c>
      <c r="F193" s="62">
        <v>35</v>
      </c>
      <c r="G193" s="62">
        <v>15</v>
      </c>
      <c r="H193" s="70">
        <f t="shared" si="67"/>
        <v>25</v>
      </c>
      <c r="I193" s="62">
        <v>98</v>
      </c>
      <c r="J193" s="62">
        <v>75</v>
      </c>
      <c r="K193" s="62">
        <v>1</v>
      </c>
      <c r="L193" s="62">
        <v>30</v>
      </c>
      <c r="M193" s="71">
        <f t="shared" si="68"/>
        <v>-6.6683206810851265</v>
      </c>
      <c r="N193" s="72">
        <f t="shared" si="69"/>
        <v>-0.11638442362053907</v>
      </c>
      <c r="O193" s="72">
        <f t="shared" si="70"/>
        <v>1.4764541045782906</v>
      </c>
      <c r="P193" s="72">
        <f t="shared" si="71"/>
        <v>1.0035439542387994</v>
      </c>
      <c r="Q193" s="71">
        <f t="shared" si="72"/>
        <v>24.861663853913583</v>
      </c>
      <c r="R193" s="72">
        <f t="shared" si="73"/>
        <v>1</v>
      </c>
      <c r="S193" s="71">
        <f t="shared" si="74"/>
        <v>11.279252135815819</v>
      </c>
      <c r="T193" s="72">
        <f t="shared" si="75"/>
        <v>5.6226812384961216</v>
      </c>
      <c r="U193" s="72">
        <f t="shared" si="76"/>
        <v>1.7053462321157722</v>
      </c>
      <c r="V193" s="72">
        <f t="shared" si="77"/>
        <v>4.2170109288720914</v>
      </c>
      <c r="W193" s="72">
        <f t="shared" si="78"/>
        <v>1.6712393074734566</v>
      </c>
      <c r="X193" s="72">
        <f t="shared" si="79"/>
        <v>2.9441251181727739</v>
      </c>
      <c r="Y193" s="72">
        <f t="shared" si="80"/>
        <v>0.71988861713317309</v>
      </c>
      <c r="Z193" s="72">
        <f t="shared" si="81"/>
        <v>3.8557764635098803</v>
      </c>
      <c r="AA193" s="72">
        <f t="shared" si="82"/>
        <v>19.244223536490122</v>
      </c>
      <c r="AB193" s="72">
        <f t="shared" si="83"/>
        <v>3.1677777175068473</v>
      </c>
      <c r="AC193" s="72">
        <f t="shared" si="84"/>
        <v>0.18868182684282603</v>
      </c>
      <c r="AD193" s="73">
        <f t="shared" si="85"/>
        <v>1206.0988078320233</v>
      </c>
      <c r="AE193" s="71">
        <f t="shared" si="86"/>
        <v>193.25470065891747</v>
      </c>
      <c r="AF193" s="74">
        <f t="shared" si="87"/>
        <v>5.8639999173037172</v>
      </c>
      <c r="AG193" s="75">
        <f t="shared" si="88"/>
        <v>4.2028899404303619</v>
      </c>
      <c r="AH193" s="76">
        <f t="shared" si="89"/>
        <v>4.3012267184041919</v>
      </c>
      <c r="AI193" s="77">
        <f t="shared" si="90"/>
        <v>5.8672184638494684</v>
      </c>
    </row>
    <row r="194" spans="1:35" ht="15.75" customHeight="1" x14ac:dyDescent="0.45">
      <c r="A194" s="59">
        <f t="shared" si="66"/>
        <v>45938</v>
      </c>
      <c r="B194" s="60">
        <v>2025</v>
      </c>
      <c r="C194" s="60">
        <v>10</v>
      </c>
      <c r="D194" s="60">
        <v>8</v>
      </c>
      <c r="E194" s="61">
        <v>281</v>
      </c>
      <c r="F194" s="62">
        <v>35</v>
      </c>
      <c r="G194" s="62">
        <v>15</v>
      </c>
      <c r="H194" s="70">
        <f t="shared" si="67"/>
        <v>25</v>
      </c>
      <c r="I194" s="62">
        <v>98</v>
      </c>
      <c r="J194" s="62">
        <v>75</v>
      </c>
      <c r="K194" s="62">
        <v>1</v>
      </c>
      <c r="L194" s="62">
        <v>30</v>
      </c>
      <c r="M194" s="71">
        <f t="shared" si="68"/>
        <v>-7.0543226151430627</v>
      </c>
      <c r="N194" s="72">
        <f t="shared" si="69"/>
        <v>-0.12312144404296359</v>
      </c>
      <c r="O194" s="72">
        <f t="shared" si="70"/>
        <v>1.4709210641516033</v>
      </c>
      <c r="P194" s="72">
        <f t="shared" si="71"/>
        <v>1.0041081860828691</v>
      </c>
      <c r="Q194" s="71">
        <f t="shared" si="72"/>
        <v>24.619963828636998</v>
      </c>
      <c r="R194" s="72">
        <f t="shared" si="73"/>
        <v>1</v>
      </c>
      <c r="S194" s="71">
        <f t="shared" si="74"/>
        <v>11.236982919416372</v>
      </c>
      <c r="T194" s="72">
        <f t="shared" si="75"/>
        <v>5.6226812384961216</v>
      </c>
      <c r="U194" s="72">
        <f t="shared" si="76"/>
        <v>1.7053462321157722</v>
      </c>
      <c r="V194" s="72">
        <f t="shared" si="77"/>
        <v>4.2170109288720914</v>
      </c>
      <c r="W194" s="72">
        <f t="shared" si="78"/>
        <v>1.6712393074734566</v>
      </c>
      <c r="X194" s="72">
        <f t="shared" si="79"/>
        <v>2.9441251181727739</v>
      </c>
      <c r="Y194" s="72">
        <f t="shared" si="80"/>
        <v>0.71988861713317309</v>
      </c>
      <c r="Z194" s="72">
        <f t="shared" si="81"/>
        <v>3.8557764635098803</v>
      </c>
      <c r="AA194" s="72">
        <f t="shared" si="82"/>
        <v>19.244223536490122</v>
      </c>
      <c r="AB194" s="72">
        <f t="shared" si="83"/>
        <v>3.1677777175068473</v>
      </c>
      <c r="AC194" s="72">
        <f t="shared" si="84"/>
        <v>0.18868182684282603</v>
      </c>
      <c r="AD194" s="73">
        <f t="shared" si="85"/>
        <v>1206.0988078320233</v>
      </c>
      <c r="AE194" s="71">
        <f t="shared" si="86"/>
        <v>193.25470065891747</v>
      </c>
      <c r="AF194" s="74">
        <f t="shared" si="87"/>
        <v>5.8639999173037172</v>
      </c>
      <c r="AG194" s="75">
        <f t="shared" si="88"/>
        <v>4.1620303016384543</v>
      </c>
      <c r="AH194" s="76">
        <f t="shared" si="89"/>
        <v>4.3012267184041919</v>
      </c>
      <c r="AI194" s="77">
        <f t="shared" si="90"/>
        <v>5.8672184638494684</v>
      </c>
    </row>
    <row r="195" spans="1:35" ht="15.75" customHeight="1" x14ac:dyDescent="0.45">
      <c r="A195" s="59">
        <f t="shared" si="66"/>
        <v>45939</v>
      </c>
      <c r="B195" s="60">
        <v>2025</v>
      </c>
      <c r="C195" s="60">
        <v>10</v>
      </c>
      <c r="D195" s="60">
        <v>9</v>
      </c>
      <c r="E195" s="61">
        <v>282</v>
      </c>
      <c r="F195" s="62">
        <v>35</v>
      </c>
      <c r="G195" s="62">
        <v>15</v>
      </c>
      <c r="H195" s="70">
        <f t="shared" si="67"/>
        <v>25</v>
      </c>
      <c r="I195" s="62">
        <v>98</v>
      </c>
      <c r="J195" s="62">
        <v>75</v>
      </c>
      <c r="K195" s="62">
        <v>1</v>
      </c>
      <c r="L195" s="62">
        <v>30</v>
      </c>
      <c r="M195" s="71">
        <f t="shared" si="68"/>
        <v>-7.4382341913893262</v>
      </c>
      <c r="N195" s="72">
        <f t="shared" si="69"/>
        <v>-0.12982198075371504</v>
      </c>
      <c r="O195" s="72">
        <f t="shared" si="70"/>
        <v>1.4654057776303218</v>
      </c>
      <c r="P195" s="72">
        <f t="shared" si="71"/>
        <v>1.0046712005770475</v>
      </c>
      <c r="Q195" s="71">
        <f t="shared" si="72"/>
        <v>24.379102563643059</v>
      </c>
      <c r="R195" s="72">
        <f t="shared" si="73"/>
        <v>1</v>
      </c>
      <c r="S195" s="71">
        <f t="shared" si="74"/>
        <v>11.194849332546385</v>
      </c>
      <c r="T195" s="72">
        <f t="shared" si="75"/>
        <v>5.6226812384961216</v>
      </c>
      <c r="U195" s="72">
        <f t="shared" si="76"/>
        <v>1.7053462321157722</v>
      </c>
      <c r="V195" s="72">
        <f t="shared" si="77"/>
        <v>4.2170109288720914</v>
      </c>
      <c r="W195" s="72">
        <f t="shared" si="78"/>
        <v>1.6712393074734566</v>
      </c>
      <c r="X195" s="72">
        <f t="shared" si="79"/>
        <v>2.9441251181727739</v>
      </c>
      <c r="Y195" s="72">
        <f t="shared" si="80"/>
        <v>0.71988861713317309</v>
      </c>
      <c r="Z195" s="72">
        <f t="shared" si="81"/>
        <v>3.8557764635098803</v>
      </c>
      <c r="AA195" s="72">
        <f t="shared" si="82"/>
        <v>19.244223536490122</v>
      </c>
      <c r="AB195" s="72">
        <f t="shared" si="83"/>
        <v>3.1677777175068473</v>
      </c>
      <c r="AC195" s="72">
        <f t="shared" si="84"/>
        <v>0.18868182684282603</v>
      </c>
      <c r="AD195" s="73">
        <f t="shared" si="85"/>
        <v>1206.0988078320233</v>
      </c>
      <c r="AE195" s="71">
        <f t="shared" si="86"/>
        <v>193.25470065891747</v>
      </c>
      <c r="AF195" s="74">
        <f t="shared" si="87"/>
        <v>5.8639999173037172</v>
      </c>
      <c r="AG195" s="75">
        <f t="shared" si="88"/>
        <v>4.1213124561382228</v>
      </c>
      <c r="AH195" s="76">
        <f t="shared" si="89"/>
        <v>4.3012267184041919</v>
      </c>
      <c r="AI195" s="77">
        <f t="shared" si="90"/>
        <v>5.8672184638494684</v>
      </c>
    </row>
    <row r="196" spans="1:35" ht="15.75" customHeight="1" x14ac:dyDescent="0.45">
      <c r="A196" s="59">
        <f t="shared" ref="A196:A259" si="91">DATE(B196,C196,D196)</f>
        <v>45940</v>
      </c>
      <c r="B196" s="60">
        <v>2025</v>
      </c>
      <c r="C196" s="60">
        <v>10</v>
      </c>
      <c r="D196" s="60">
        <v>10</v>
      </c>
      <c r="E196" s="61">
        <v>283</v>
      </c>
      <c r="F196" s="62">
        <v>35</v>
      </c>
      <c r="G196" s="62">
        <v>15</v>
      </c>
      <c r="H196" s="70">
        <f t="shared" ref="H196:H259" si="92">(F196+G196)/2</f>
        <v>25</v>
      </c>
      <c r="I196" s="62">
        <v>98</v>
      </c>
      <c r="J196" s="62">
        <v>75</v>
      </c>
      <c r="K196" s="62">
        <v>1</v>
      </c>
      <c r="L196" s="62">
        <v>30</v>
      </c>
      <c r="M196" s="71">
        <f t="shared" ref="M196:M259" si="93">23.45*COS(2*3.1416/365*(E196-172))</f>
        <v>-7.8199416480063499</v>
      </c>
      <c r="N196" s="72">
        <f t="shared" ref="N196:N259" si="94">M196*3.1416/180</f>
        <v>-0.13648404822987081</v>
      </c>
      <c r="O196" s="72">
        <f t="shared" si="70"/>
        <v>1.4599093813604247</v>
      </c>
      <c r="P196" s="72">
        <f t="shared" si="71"/>
        <v>1.0052328308872085</v>
      </c>
      <c r="Q196" s="71">
        <f t="shared" si="72"/>
        <v>24.139172334595031</v>
      </c>
      <c r="R196" s="72">
        <f t="shared" si="73"/>
        <v>1</v>
      </c>
      <c r="S196" s="71">
        <f t="shared" si="74"/>
        <v>11.152860056229372</v>
      </c>
      <c r="T196" s="72">
        <f t="shared" si="75"/>
        <v>5.6226812384961216</v>
      </c>
      <c r="U196" s="72">
        <f t="shared" si="76"/>
        <v>1.7053462321157722</v>
      </c>
      <c r="V196" s="72">
        <f t="shared" si="77"/>
        <v>4.2170109288720914</v>
      </c>
      <c r="W196" s="72">
        <f t="shared" si="78"/>
        <v>1.6712393074734566</v>
      </c>
      <c r="X196" s="72">
        <f t="shared" si="79"/>
        <v>2.9441251181727739</v>
      </c>
      <c r="Y196" s="72">
        <f t="shared" si="80"/>
        <v>0.71988861713317309</v>
      </c>
      <c r="Z196" s="72">
        <f t="shared" si="81"/>
        <v>3.8557764635098803</v>
      </c>
      <c r="AA196" s="72">
        <f t="shared" si="82"/>
        <v>19.244223536490122</v>
      </c>
      <c r="AB196" s="72">
        <f t="shared" si="83"/>
        <v>3.1677777175068473</v>
      </c>
      <c r="AC196" s="72">
        <f t="shared" si="84"/>
        <v>0.18868182684282603</v>
      </c>
      <c r="AD196" s="73">
        <f t="shared" si="85"/>
        <v>1206.0988078320233</v>
      </c>
      <c r="AE196" s="71">
        <f t="shared" si="86"/>
        <v>193.25470065891747</v>
      </c>
      <c r="AF196" s="74">
        <f t="shared" si="87"/>
        <v>5.8639999173037172</v>
      </c>
      <c r="AG196" s="75">
        <f t="shared" si="88"/>
        <v>4.0807520032258013</v>
      </c>
      <c r="AH196" s="76">
        <f t="shared" si="89"/>
        <v>4.3012267184041919</v>
      </c>
      <c r="AI196" s="77">
        <f t="shared" si="90"/>
        <v>5.8672184638494684</v>
      </c>
    </row>
    <row r="197" spans="1:35" ht="15.75" customHeight="1" x14ac:dyDescent="0.45">
      <c r="A197" s="59">
        <f t="shared" si="91"/>
        <v>45941</v>
      </c>
      <c r="B197" s="60">
        <v>2025</v>
      </c>
      <c r="C197" s="60">
        <v>10</v>
      </c>
      <c r="D197" s="60">
        <v>11</v>
      </c>
      <c r="E197" s="61">
        <v>284</v>
      </c>
      <c r="F197" s="62">
        <v>35</v>
      </c>
      <c r="G197" s="62">
        <v>15</v>
      </c>
      <c r="H197" s="70">
        <f t="shared" si="92"/>
        <v>25</v>
      </c>
      <c r="I197" s="62">
        <v>98</v>
      </c>
      <c r="J197" s="62">
        <v>75</v>
      </c>
      <c r="K197" s="62">
        <v>1</v>
      </c>
      <c r="L197" s="62">
        <v>30</v>
      </c>
      <c r="M197" s="71">
        <f t="shared" si="93"/>
        <v>-8.1993318763078342</v>
      </c>
      <c r="N197" s="72">
        <f t="shared" si="94"/>
        <v>-0.14310567234782606</v>
      </c>
      <c r="O197" s="72">
        <f t="shared" si="70"/>
        <v>1.4544330331430182</v>
      </c>
      <c r="P197" s="72">
        <f t="shared" si="71"/>
        <v>1.0057929105893921</v>
      </c>
      <c r="Q197" s="71">
        <f t="shared" si="72"/>
        <v>23.900265269618554</v>
      </c>
      <c r="R197" s="72">
        <f t="shared" si="73"/>
        <v>1</v>
      </c>
      <c r="S197" s="71">
        <f t="shared" si="74"/>
        <v>11.11102393539357</v>
      </c>
      <c r="T197" s="72">
        <f t="shared" si="75"/>
        <v>5.6226812384961216</v>
      </c>
      <c r="U197" s="72">
        <f t="shared" si="76"/>
        <v>1.7053462321157722</v>
      </c>
      <c r="V197" s="72">
        <f t="shared" si="77"/>
        <v>4.2170109288720914</v>
      </c>
      <c r="W197" s="72">
        <f t="shared" si="78"/>
        <v>1.6712393074734566</v>
      </c>
      <c r="X197" s="72">
        <f t="shared" si="79"/>
        <v>2.9441251181727739</v>
      </c>
      <c r="Y197" s="72">
        <f t="shared" si="80"/>
        <v>0.71988861713317309</v>
      </c>
      <c r="Z197" s="72">
        <f t="shared" si="81"/>
        <v>3.8557764635098803</v>
      </c>
      <c r="AA197" s="72">
        <f t="shared" si="82"/>
        <v>19.244223536490122</v>
      </c>
      <c r="AB197" s="72">
        <f t="shared" si="83"/>
        <v>3.1677777175068473</v>
      </c>
      <c r="AC197" s="72">
        <f t="shared" si="84"/>
        <v>0.18868182684282603</v>
      </c>
      <c r="AD197" s="73">
        <f t="shared" si="85"/>
        <v>1206.0988078320233</v>
      </c>
      <c r="AE197" s="71">
        <f t="shared" si="86"/>
        <v>193.25470065891747</v>
      </c>
      <c r="AF197" s="74">
        <f t="shared" si="87"/>
        <v>5.8639999173037172</v>
      </c>
      <c r="AG197" s="75">
        <f t="shared" si="88"/>
        <v>4.0403645172559388</v>
      </c>
      <c r="AH197" s="76">
        <f t="shared" si="89"/>
        <v>4.3012267184041919</v>
      </c>
      <c r="AI197" s="77">
        <f t="shared" si="90"/>
        <v>5.8672184638494684</v>
      </c>
    </row>
    <row r="198" spans="1:35" ht="15.75" customHeight="1" x14ac:dyDescent="0.45">
      <c r="A198" s="59">
        <f t="shared" si="91"/>
        <v>45942</v>
      </c>
      <c r="B198" s="60">
        <v>2025</v>
      </c>
      <c r="C198" s="60">
        <v>10</v>
      </c>
      <c r="D198" s="60">
        <v>12</v>
      </c>
      <c r="E198" s="61">
        <v>285</v>
      </c>
      <c r="F198" s="62">
        <v>35</v>
      </c>
      <c r="G198" s="62">
        <v>15</v>
      </c>
      <c r="H198" s="70">
        <f t="shared" si="92"/>
        <v>25</v>
      </c>
      <c r="I198" s="62">
        <v>98</v>
      </c>
      <c r="J198" s="62">
        <v>75</v>
      </c>
      <c r="K198" s="62">
        <v>1</v>
      </c>
      <c r="L198" s="62">
        <v>30</v>
      </c>
      <c r="M198" s="71">
        <f t="shared" si="93"/>
        <v>-8.5762924542554568</v>
      </c>
      <c r="N198" s="72">
        <f t="shared" si="94"/>
        <v>-0.14968489096827189</v>
      </c>
      <c r="O198" s="72">
        <f t="shared" si="70"/>
        <v>1.4489779131217111</v>
      </c>
      <c r="P198" s="72">
        <f t="shared" si="71"/>
        <v>1.0063512737191189</v>
      </c>
      <c r="Q198" s="71">
        <f t="shared" si="72"/>
        <v>23.662473274468169</v>
      </c>
      <c r="R198" s="72">
        <f t="shared" si="73"/>
        <v>1</v>
      </c>
      <c r="S198" s="71">
        <f t="shared" si="74"/>
        <v>11.069349985650964</v>
      </c>
      <c r="T198" s="72">
        <f t="shared" si="75"/>
        <v>5.6226812384961216</v>
      </c>
      <c r="U198" s="72">
        <f t="shared" si="76"/>
        <v>1.7053462321157722</v>
      </c>
      <c r="V198" s="72">
        <f t="shared" si="77"/>
        <v>4.2170109288720914</v>
      </c>
      <c r="W198" s="72">
        <f t="shared" si="78"/>
        <v>1.6712393074734566</v>
      </c>
      <c r="X198" s="72">
        <f t="shared" si="79"/>
        <v>2.9441251181727739</v>
      </c>
      <c r="Y198" s="72">
        <f t="shared" si="80"/>
        <v>0.71988861713317309</v>
      </c>
      <c r="Z198" s="72">
        <f t="shared" si="81"/>
        <v>3.8557764635098803</v>
      </c>
      <c r="AA198" s="72">
        <f t="shared" si="82"/>
        <v>19.244223536490122</v>
      </c>
      <c r="AB198" s="72">
        <f t="shared" si="83"/>
        <v>3.1677777175068473</v>
      </c>
      <c r="AC198" s="72">
        <f t="shared" si="84"/>
        <v>0.18868182684282603</v>
      </c>
      <c r="AD198" s="73">
        <f t="shared" si="85"/>
        <v>1206.0988078320233</v>
      </c>
      <c r="AE198" s="71">
        <f t="shared" si="86"/>
        <v>193.25470065891747</v>
      </c>
      <c r="AF198" s="74">
        <f t="shared" si="87"/>
        <v>5.8639999173037172</v>
      </c>
      <c r="AG198" s="75">
        <f t="shared" si="88"/>
        <v>4.0001655349913188</v>
      </c>
      <c r="AH198" s="76">
        <f t="shared" si="89"/>
        <v>4.3012267184041919</v>
      </c>
      <c r="AI198" s="77">
        <f t="shared" si="90"/>
        <v>5.8672184638494684</v>
      </c>
    </row>
    <row r="199" spans="1:35" ht="15.75" customHeight="1" x14ac:dyDescent="0.45">
      <c r="A199" s="59">
        <f t="shared" si="91"/>
        <v>45943</v>
      </c>
      <c r="B199" s="60">
        <v>2025</v>
      </c>
      <c r="C199" s="60">
        <v>10</v>
      </c>
      <c r="D199" s="60">
        <v>13</v>
      </c>
      <c r="E199" s="61">
        <v>286</v>
      </c>
      <c r="F199" s="62">
        <v>35</v>
      </c>
      <c r="G199" s="62">
        <v>15</v>
      </c>
      <c r="H199" s="70">
        <f t="shared" si="92"/>
        <v>25</v>
      </c>
      <c r="I199" s="62">
        <v>98</v>
      </c>
      <c r="J199" s="62">
        <v>75</v>
      </c>
      <c r="K199" s="62">
        <v>1</v>
      </c>
      <c r="L199" s="62">
        <v>30</v>
      </c>
      <c r="M199" s="71">
        <f t="shared" si="93"/>
        <v>-8.9507116797720983</v>
      </c>
      <c r="N199" s="72">
        <f t="shared" si="94"/>
        <v>-0.15621975451762235</v>
      </c>
      <c r="O199" s="72">
        <f t="shared" si="70"/>
        <v>1.4435452246262526</v>
      </c>
      <c r="P199" s="72">
        <f t="shared" si="71"/>
        <v>1.0069077548205694</v>
      </c>
      <c r="Q199" s="71">
        <f t="shared" si="72"/>
        <v>23.425887958134034</v>
      </c>
      <c r="R199" s="72">
        <f t="shared" si="73"/>
        <v>1</v>
      </c>
      <c r="S199" s="71">
        <f t="shared" si="74"/>
        <v>11.027847399742191</v>
      </c>
      <c r="T199" s="72">
        <f t="shared" si="75"/>
        <v>5.6226812384961216</v>
      </c>
      <c r="U199" s="72">
        <f t="shared" si="76"/>
        <v>1.7053462321157722</v>
      </c>
      <c r="V199" s="72">
        <f t="shared" si="77"/>
        <v>4.2170109288720914</v>
      </c>
      <c r="W199" s="72">
        <f t="shared" si="78"/>
        <v>1.6712393074734566</v>
      </c>
      <c r="X199" s="72">
        <f t="shared" si="79"/>
        <v>2.9441251181727739</v>
      </c>
      <c r="Y199" s="72">
        <f t="shared" si="80"/>
        <v>0.71988861713317309</v>
      </c>
      <c r="Z199" s="72">
        <f t="shared" si="81"/>
        <v>3.8557764635098803</v>
      </c>
      <c r="AA199" s="72">
        <f t="shared" si="82"/>
        <v>19.244223536490122</v>
      </c>
      <c r="AB199" s="72">
        <f t="shared" si="83"/>
        <v>3.1677777175068473</v>
      </c>
      <c r="AC199" s="72">
        <f t="shared" si="84"/>
        <v>0.18868182684282603</v>
      </c>
      <c r="AD199" s="73">
        <f t="shared" si="85"/>
        <v>1206.0988078320233</v>
      </c>
      <c r="AE199" s="71">
        <f t="shared" si="86"/>
        <v>193.25470065891747</v>
      </c>
      <c r="AF199" s="74">
        <f t="shared" si="87"/>
        <v>5.8639999173037172</v>
      </c>
      <c r="AG199" s="75">
        <f t="shared" si="88"/>
        <v>3.9601705430262992</v>
      </c>
      <c r="AH199" s="76">
        <f t="shared" si="89"/>
        <v>4.3012267184041919</v>
      </c>
      <c r="AI199" s="77">
        <f t="shared" si="90"/>
        <v>5.8672184638494684</v>
      </c>
    </row>
    <row r="200" spans="1:35" ht="15.75" customHeight="1" x14ac:dyDescent="0.45">
      <c r="A200" s="59">
        <f t="shared" si="91"/>
        <v>45944</v>
      </c>
      <c r="B200" s="60">
        <v>2025</v>
      </c>
      <c r="C200" s="60">
        <v>10</v>
      </c>
      <c r="D200" s="60">
        <v>14</v>
      </c>
      <c r="E200" s="61">
        <v>287</v>
      </c>
      <c r="F200" s="62">
        <v>35</v>
      </c>
      <c r="G200" s="62">
        <v>15</v>
      </c>
      <c r="H200" s="70">
        <f t="shared" si="92"/>
        <v>25</v>
      </c>
      <c r="I200" s="62">
        <v>98</v>
      </c>
      <c r="J200" s="62">
        <v>75</v>
      </c>
      <c r="K200" s="62">
        <v>1</v>
      </c>
      <c r="L200" s="62">
        <v>30</v>
      </c>
      <c r="M200" s="71">
        <f t="shared" si="93"/>
        <v>-9.32247860384172</v>
      </c>
      <c r="N200" s="72">
        <f t="shared" si="94"/>
        <v>-0.16270832656571749</v>
      </c>
      <c r="O200" s="72">
        <f t="shared" ref="O200:O263" si="95">ACOS(-TAN($AL$7*3.1416/180)*TAN(N200))</f>
        <v>1.438136194969361</v>
      </c>
      <c r="P200" s="72">
        <f t="shared" ref="P200:P263" si="96">1+0.033*COS(2*3.1416/365*E200)</f>
        <v>1.0074621889956119</v>
      </c>
      <c r="Q200" s="71">
        <f t="shared" ref="Q200:Q263" si="97">37.4*P200*(SIN($AL$7*3.1416/180)*SIN(N200)*O200+COS($AL$7*3.1416/180)*COS(N200)*SIN(O200))</f>
        <v>23.190600559041943</v>
      </c>
      <c r="R200" s="72">
        <f t="shared" ref="R200:R263" si="98">MIN(1,MAX(0,2*(L200/Q200-0.25)))</f>
        <v>1</v>
      </c>
      <c r="S200" s="71">
        <f t="shared" ref="S200:S263" si="99">O200*2*12/3.1416</f>
        <v>10.986525553623842</v>
      </c>
      <c r="T200" s="72">
        <f t="shared" ref="T200:T263" si="100">0.6108*EXP(17.27*F200/(237.3+F200))</f>
        <v>5.6226812384961216</v>
      </c>
      <c r="U200" s="72">
        <f t="shared" ref="U200:U263" si="101">0.6108*EXP(17.27*G200/(237.3+G200))</f>
        <v>1.7053462321157722</v>
      </c>
      <c r="V200" s="72">
        <f t="shared" ref="V200:V263" si="102">T200*J200/100</f>
        <v>4.2170109288720914</v>
      </c>
      <c r="W200" s="72">
        <f t="shared" ref="W200:W263" si="103">U200*I200/100</f>
        <v>1.6712393074734566</v>
      </c>
      <c r="X200" s="72">
        <f t="shared" ref="X200:X263" si="104">0.5*(V200+W200)</f>
        <v>2.9441251181727739</v>
      </c>
      <c r="Y200" s="72">
        <f t="shared" ref="Y200:Y263" si="105">0.5*(T200+U200)-X200</f>
        <v>0.71988861713317309</v>
      </c>
      <c r="Z200" s="72">
        <f t="shared" ref="Z200:Z263" si="106">(0.1+0.9*R200)*(0.34-0.14*SQRT(X200))*0.0000000049*(273+H200)^4</f>
        <v>3.8557764635098803</v>
      </c>
      <c r="AA200" s="72">
        <f t="shared" ref="AA200:AA263" si="107">(1-$AL$3)*L200-Z200</f>
        <v>19.244223536490122</v>
      </c>
      <c r="AB200" s="72">
        <f t="shared" ref="AB200:AB263" si="108">0.6108*EXP(17.27*H200/(237.3+H200))</f>
        <v>3.1677777175068473</v>
      </c>
      <c r="AC200" s="72">
        <f t="shared" ref="AC200:AC263" si="109">4098*AB200/(237.3+H200)^2</f>
        <v>0.18868182684282603</v>
      </c>
      <c r="AD200" s="73">
        <f t="shared" ref="AD200:AD263" si="110">29000*$AL$9/8.31/(H200+273)*(1.01+0.622*X200/($AL$9-X200))</f>
        <v>1206.0988078320233</v>
      </c>
      <c r="AE200" s="71">
        <f t="shared" si="86"/>
        <v>193.25470065891747</v>
      </c>
      <c r="AF200" s="74">
        <f t="shared" si="87"/>
        <v>5.8639999173037172</v>
      </c>
      <c r="AG200" s="75">
        <f t="shared" si="88"/>
        <v>3.9203949653109529</v>
      </c>
      <c r="AH200" s="76">
        <f t="shared" si="89"/>
        <v>4.3012267184041919</v>
      </c>
      <c r="AI200" s="77">
        <f t="shared" si="90"/>
        <v>5.8672184638494684</v>
      </c>
    </row>
    <row r="201" spans="1:35" ht="15.75" customHeight="1" x14ac:dyDescent="0.45">
      <c r="A201" s="59">
        <f t="shared" si="91"/>
        <v>45945</v>
      </c>
      <c r="B201" s="60">
        <v>2025</v>
      </c>
      <c r="C201" s="60">
        <v>10</v>
      </c>
      <c r="D201" s="60">
        <v>15</v>
      </c>
      <c r="E201" s="61">
        <v>288</v>
      </c>
      <c r="F201" s="62">
        <v>35</v>
      </c>
      <c r="G201" s="62">
        <v>15</v>
      </c>
      <c r="H201" s="70">
        <f t="shared" si="92"/>
        <v>25</v>
      </c>
      <c r="I201" s="62">
        <v>98</v>
      </c>
      <c r="J201" s="62">
        <v>75</v>
      </c>
      <c r="K201" s="62">
        <v>1</v>
      </c>
      <c r="L201" s="62">
        <v>30</v>
      </c>
      <c r="M201" s="71">
        <f t="shared" si="93"/>
        <v>-9.6914830633861335</v>
      </c>
      <c r="N201" s="72">
        <f t="shared" si="94"/>
        <v>-0.16914868439963265</v>
      </c>
      <c r="O201" s="72">
        <f t="shared" si="95"/>
        <v>1.4327520761935644</v>
      </c>
      <c r="P201" s="72">
        <f t="shared" si="96"/>
        <v>1.0080144119526666</v>
      </c>
      <c r="Q201" s="71">
        <f t="shared" si="97"/>
        <v>22.956701871998817</v>
      </c>
      <c r="R201" s="72">
        <f t="shared" si="98"/>
        <v>1</v>
      </c>
      <c r="S201" s="71">
        <f t="shared" si="99"/>
        <v>10.945394012173907</v>
      </c>
      <c r="T201" s="72">
        <f t="shared" si="100"/>
        <v>5.6226812384961216</v>
      </c>
      <c r="U201" s="72">
        <f t="shared" si="101"/>
        <v>1.7053462321157722</v>
      </c>
      <c r="V201" s="72">
        <f t="shared" si="102"/>
        <v>4.2170109288720914</v>
      </c>
      <c r="W201" s="72">
        <f t="shared" si="103"/>
        <v>1.6712393074734566</v>
      </c>
      <c r="X201" s="72">
        <f t="shared" si="104"/>
        <v>2.9441251181727739</v>
      </c>
      <c r="Y201" s="72">
        <f t="shared" si="105"/>
        <v>0.71988861713317309</v>
      </c>
      <c r="Z201" s="72">
        <f t="shared" si="106"/>
        <v>3.8557764635098803</v>
      </c>
      <c r="AA201" s="72">
        <f t="shared" si="107"/>
        <v>19.244223536490122</v>
      </c>
      <c r="AB201" s="72">
        <f t="shared" si="108"/>
        <v>3.1677777175068473</v>
      </c>
      <c r="AC201" s="72">
        <f t="shared" si="109"/>
        <v>0.18868182684282603</v>
      </c>
      <c r="AD201" s="73">
        <f t="shared" si="110"/>
        <v>1206.0988078320233</v>
      </c>
      <c r="AE201" s="71">
        <f t="shared" ref="AE201:AE264" si="111">LN(($AL$6-0.65*$AL$4)/0.13/$AL$4)*LN(($AL$6-0.65*$AL$4)/0.13/$AL$4/0.2)/0.4^2/K201</f>
        <v>193.25470065891747</v>
      </c>
      <c r="AF201" s="74">
        <f t="shared" ref="AF201:AF264" si="112">(AC201*AA201+0.5*Y201*K201)/2.45/(AC201+0.067*(1+0.33*K201))</f>
        <v>5.8639999173037172</v>
      </c>
      <c r="AG201" s="75">
        <f t="shared" ref="AG201:AG264" si="113">0.00552*Q201*(H201+17.8)*SQRT(F201-G201)*$AL$11</f>
        <v>3.8808541508011194</v>
      </c>
      <c r="AH201" s="76">
        <f t="shared" ref="AH201:AH264" si="114">0.68/2.45*AC201/(0.067+AC201)*0.7*L201</f>
        <v>4.3012267184041919</v>
      </c>
      <c r="AI201" s="77">
        <f t="shared" si="90"/>
        <v>5.8672184638494684</v>
      </c>
    </row>
    <row r="202" spans="1:35" ht="15.75" customHeight="1" x14ac:dyDescent="0.45">
      <c r="A202" s="59">
        <f t="shared" si="91"/>
        <v>45946</v>
      </c>
      <c r="B202" s="60">
        <v>2025</v>
      </c>
      <c r="C202" s="60">
        <v>10</v>
      </c>
      <c r="D202" s="60">
        <v>16</v>
      </c>
      <c r="E202" s="61">
        <v>289</v>
      </c>
      <c r="F202" s="62">
        <v>35</v>
      </c>
      <c r="G202" s="62">
        <v>15</v>
      </c>
      <c r="H202" s="70">
        <f t="shared" si="92"/>
        <v>25</v>
      </c>
      <c r="I202" s="62">
        <v>98</v>
      </c>
      <c r="J202" s="62">
        <v>75</v>
      </c>
      <c r="K202" s="62">
        <v>1</v>
      </c>
      <c r="L202" s="62">
        <v>30</v>
      </c>
      <c r="M202" s="71">
        <f t="shared" si="93"/>
        <v>-10.057615713908833</v>
      </c>
      <c r="N202" s="72">
        <f t="shared" si="94"/>
        <v>-0.17553891959342216</v>
      </c>
      <c r="O202" s="72">
        <f t="shared" si="95"/>
        <v>1.4273941457647852</v>
      </c>
      <c r="P202" s="72">
        <f t="shared" si="96"/>
        <v>1.0085642600553879</v>
      </c>
      <c r="Q202" s="71">
        <f t="shared" si="97"/>
        <v>22.724282176033785</v>
      </c>
      <c r="R202" s="72">
        <f t="shared" si="98"/>
        <v>1</v>
      </c>
      <c r="S202" s="71">
        <f t="shared" si="99"/>
        <v>10.904462534490339</v>
      </c>
      <c r="T202" s="72">
        <f t="shared" si="100"/>
        <v>5.6226812384961216</v>
      </c>
      <c r="U202" s="72">
        <f t="shared" si="101"/>
        <v>1.7053462321157722</v>
      </c>
      <c r="V202" s="72">
        <f t="shared" si="102"/>
        <v>4.2170109288720914</v>
      </c>
      <c r="W202" s="72">
        <f t="shared" si="103"/>
        <v>1.6712393074734566</v>
      </c>
      <c r="X202" s="72">
        <f t="shared" si="104"/>
        <v>2.9441251181727739</v>
      </c>
      <c r="Y202" s="72">
        <f t="shared" si="105"/>
        <v>0.71988861713317309</v>
      </c>
      <c r="Z202" s="72">
        <f t="shared" si="106"/>
        <v>3.8557764635098803</v>
      </c>
      <c r="AA202" s="72">
        <f t="shared" si="107"/>
        <v>19.244223536490122</v>
      </c>
      <c r="AB202" s="72">
        <f t="shared" si="108"/>
        <v>3.1677777175068473</v>
      </c>
      <c r="AC202" s="72">
        <f t="shared" si="109"/>
        <v>0.18868182684282603</v>
      </c>
      <c r="AD202" s="73">
        <f t="shared" si="110"/>
        <v>1206.0988078320233</v>
      </c>
      <c r="AE202" s="71">
        <f t="shared" si="111"/>
        <v>193.25470065891747</v>
      </c>
      <c r="AF202" s="74">
        <f t="shared" si="112"/>
        <v>5.8639999173037172</v>
      </c>
      <c r="AG202" s="75">
        <f t="shared" si="113"/>
        <v>3.8415633612598739</v>
      </c>
      <c r="AH202" s="76">
        <f t="shared" si="114"/>
        <v>4.3012267184041919</v>
      </c>
      <c r="AI202" s="77">
        <f t="shared" ref="AI202:AI265" si="115">(AC202*AA202+0.0864*AD202*Y202/AE202)/(AC202+0.067*(1+$AL$5/AE202))/2.45</f>
        <v>5.8672184638494684</v>
      </c>
    </row>
    <row r="203" spans="1:35" ht="15.75" customHeight="1" x14ac:dyDescent="0.45">
      <c r="A203" s="59">
        <f t="shared" si="91"/>
        <v>45947</v>
      </c>
      <c r="B203" s="60">
        <v>2025</v>
      </c>
      <c r="C203" s="60">
        <v>10</v>
      </c>
      <c r="D203" s="60">
        <v>17</v>
      </c>
      <c r="E203" s="61">
        <v>290</v>
      </c>
      <c r="F203" s="62">
        <v>35</v>
      </c>
      <c r="G203" s="62">
        <v>15</v>
      </c>
      <c r="H203" s="70">
        <f t="shared" si="92"/>
        <v>25</v>
      </c>
      <c r="I203" s="62">
        <v>98</v>
      </c>
      <c r="J203" s="62">
        <v>75</v>
      </c>
      <c r="K203" s="62">
        <v>1</v>
      </c>
      <c r="L203" s="62">
        <v>30</v>
      </c>
      <c r="M203" s="71">
        <f t="shared" si="93"/>
        <v>-10.420768061896283</v>
      </c>
      <c r="N203" s="72">
        <f t="shared" si="94"/>
        <v>-0.1818771385736298</v>
      </c>
      <c r="O203" s="72">
        <f t="shared" si="95"/>
        <v>1.4220637072093008</v>
      </c>
      <c r="P203" s="72">
        <f t="shared" si="96"/>
        <v>1.0091115703711544</v>
      </c>
      <c r="Q203" s="71">
        <f t="shared" si="97"/>
        <v>22.493431163282615</v>
      </c>
      <c r="R203" s="72">
        <f t="shared" si="98"/>
        <v>1</v>
      </c>
      <c r="S203" s="71">
        <f t="shared" si="99"/>
        <v>10.863741078757073</v>
      </c>
      <c r="T203" s="72">
        <f t="shared" si="100"/>
        <v>5.6226812384961216</v>
      </c>
      <c r="U203" s="72">
        <f t="shared" si="101"/>
        <v>1.7053462321157722</v>
      </c>
      <c r="V203" s="72">
        <f t="shared" si="102"/>
        <v>4.2170109288720914</v>
      </c>
      <c r="W203" s="72">
        <f t="shared" si="103"/>
        <v>1.6712393074734566</v>
      </c>
      <c r="X203" s="72">
        <f t="shared" si="104"/>
        <v>2.9441251181727739</v>
      </c>
      <c r="Y203" s="72">
        <f t="shared" si="105"/>
        <v>0.71988861713317309</v>
      </c>
      <c r="Z203" s="72">
        <f t="shared" si="106"/>
        <v>3.8557764635098803</v>
      </c>
      <c r="AA203" s="72">
        <f t="shared" si="107"/>
        <v>19.244223536490122</v>
      </c>
      <c r="AB203" s="72">
        <f t="shared" si="108"/>
        <v>3.1677777175068473</v>
      </c>
      <c r="AC203" s="72">
        <f t="shared" si="109"/>
        <v>0.18868182684282603</v>
      </c>
      <c r="AD203" s="73">
        <f t="shared" si="110"/>
        <v>1206.0988078320233</v>
      </c>
      <c r="AE203" s="71">
        <f t="shared" si="111"/>
        <v>193.25470065891747</v>
      </c>
      <c r="AF203" s="74">
        <f t="shared" si="112"/>
        <v>5.8639999173037172</v>
      </c>
      <c r="AG203" s="75">
        <f t="shared" si="113"/>
        <v>3.80253775923536</v>
      </c>
      <c r="AH203" s="76">
        <f t="shared" si="114"/>
        <v>4.3012267184041919</v>
      </c>
      <c r="AI203" s="77">
        <f t="shared" si="115"/>
        <v>5.8672184638494684</v>
      </c>
    </row>
    <row r="204" spans="1:35" ht="15.75" customHeight="1" x14ac:dyDescent="0.45">
      <c r="A204" s="59">
        <f t="shared" si="91"/>
        <v>45948</v>
      </c>
      <c r="B204" s="60">
        <v>2025</v>
      </c>
      <c r="C204" s="60">
        <v>10</v>
      </c>
      <c r="D204" s="60">
        <v>18</v>
      </c>
      <c r="E204" s="61">
        <v>291</v>
      </c>
      <c r="F204" s="62">
        <v>35</v>
      </c>
      <c r="G204" s="62">
        <v>15</v>
      </c>
      <c r="H204" s="70">
        <f t="shared" si="92"/>
        <v>25</v>
      </c>
      <c r="I204" s="62">
        <v>98</v>
      </c>
      <c r="J204" s="62">
        <v>75</v>
      </c>
      <c r="K204" s="62">
        <v>1</v>
      </c>
      <c r="L204" s="62">
        <v>30</v>
      </c>
      <c r="M204" s="71">
        <f t="shared" si="93"/>
        <v>-10.780832496967037</v>
      </c>
      <c r="N204" s="72">
        <f t="shared" si="94"/>
        <v>-0.18816146318039803</v>
      </c>
      <c r="O204" s="72">
        <f t="shared" si="95"/>
        <v>1.4167620906906289</v>
      </c>
      <c r="P204" s="72">
        <f t="shared" si="96"/>
        <v>1.0096561807193492</v>
      </c>
      <c r="Q204" s="71">
        <f t="shared" si="97"/>
        <v>22.26423786906096</v>
      </c>
      <c r="R204" s="72">
        <f t="shared" si="98"/>
        <v>1</v>
      </c>
      <c r="S204" s="71">
        <f t="shared" si="99"/>
        <v>10.823239806651101</v>
      </c>
      <c r="T204" s="72">
        <f t="shared" si="100"/>
        <v>5.6226812384961216</v>
      </c>
      <c r="U204" s="72">
        <f t="shared" si="101"/>
        <v>1.7053462321157722</v>
      </c>
      <c r="V204" s="72">
        <f t="shared" si="102"/>
        <v>4.2170109288720914</v>
      </c>
      <c r="W204" s="72">
        <f t="shared" si="103"/>
        <v>1.6712393074734566</v>
      </c>
      <c r="X204" s="72">
        <f t="shared" si="104"/>
        <v>2.9441251181727739</v>
      </c>
      <c r="Y204" s="72">
        <f t="shared" si="105"/>
        <v>0.71988861713317309</v>
      </c>
      <c r="Z204" s="72">
        <f t="shared" si="106"/>
        <v>3.8557764635098803</v>
      </c>
      <c r="AA204" s="72">
        <f t="shared" si="107"/>
        <v>19.244223536490122</v>
      </c>
      <c r="AB204" s="72">
        <f t="shared" si="108"/>
        <v>3.1677777175068473</v>
      </c>
      <c r="AC204" s="72">
        <f t="shared" si="109"/>
        <v>0.18868182684282603</v>
      </c>
      <c r="AD204" s="73">
        <f t="shared" si="110"/>
        <v>1206.0988078320233</v>
      </c>
      <c r="AE204" s="71">
        <f t="shared" si="111"/>
        <v>193.25470065891747</v>
      </c>
      <c r="AF204" s="74">
        <f t="shared" si="112"/>
        <v>5.8639999173037172</v>
      </c>
      <c r="AG204" s="75">
        <f t="shared" si="113"/>
        <v>3.7637923962396069</v>
      </c>
      <c r="AH204" s="76">
        <f t="shared" si="114"/>
        <v>4.3012267184041919</v>
      </c>
      <c r="AI204" s="77">
        <f t="shared" si="115"/>
        <v>5.8672184638494684</v>
      </c>
    </row>
    <row r="205" spans="1:35" ht="15.75" customHeight="1" x14ac:dyDescent="0.45">
      <c r="A205" s="59">
        <f t="shared" si="91"/>
        <v>45949</v>
      </c>
      <c r="B205" s="60">
        <v>2025</v>
      </c>
      <c r="C205" s="60">
        <v>10</v>
      </c>
      <c r="D205" s="60">
        <v>19</v>
      </c>
      <c r="E205" s="61">
        <v>292</v>
      </c>
      <c r="F205" s="62">
        <v>35</v>
      </c>
      <c r="G205" s="62">
        <v>15</v>
      </c>
      <c r="H205" s="70">
        <f t="shared" si="92"/>
        <v>25</v>
      </c>
      <c r="I205" s="62">
        <v>98</v>
      </c>
      <c r="J205" s="62">
        <v>75</v>
      </c>
      <c r="K205" s="62">
        <v>1</v>
      </c>
      <c r="L205" s="62">
        <v>30</v>
      </c>
      <c r="M205" s="71">
        <f t="shared" si="93"/>
        <v>-11.137702323759173</v>
      </c>
      <c r="N205" s="72">
        <f t="shared" si="94"/>
        <v>-0.19439003122401008</v>
      </c>
      <c r="O205" s="72">
        <f t="shared" si="95"/>
        <v>1.4114906535227985</v>
      </c>
      <c r="P205" s="72">
        <f t="shared" si="96"/>
        <v>1.0101979297194175</v>
      </c>
      <c r="Q205" s="71">
        <f t="shared" si="97"/>
        <v>22.036790603268511</v>
      </c>
      <c r="R205" s="72">
        <f t="shared" si="98"/>
        <v>1</v>
      </c>
      <c r="S205" s="71">
        <f t="shared" si="99"/>
        <v>10.782969087263549</v>
      </c>
      <c r="T205" s="72">
        <f t="shared" si="100"/>
        <v>5.6226812384961216</v>
      </c>
      <c r="U205" s="72">
        <f t="shared" si="101"/>
        <v>1.7053462321157722</v>
      </c>
      <c r="V205" s="72">
        <f t="shared" si="102"/>
        <v>4.2170109288720914</v>
      </c>
      <c r="W205" s="72">
        <f t="shared" si="103"/>
        <v>1.6712393074734566</v>
      </c>
      <c r="X205" s="72">
        <f t="shared" si="104"/>
        <v>2.9441251181727739</v>
      </c>
      <c r="Y205" s="72">
        <f t="shared" si="105"/>
        <v>0.71988861713317309</v>
      </c>
      <c r="Z205" s="72">
        <f t="shared" si="106"/>
        <v>3.8557764635098803</v>
      </c>
      <c r="AA205" s="72">
        <f t="shared" si="107"/>
        <v>19.244223536490122</v>
      </c>
      <c r="AB205" s="72">
        <f t="shared" si="108"/>
        <v>3.1677777175068473</v>
      </c>
      <c r="AC205" s="72">
        <f t="shared" si="109"/>
        <v>0.18868182684282603</v>
      </c>
      <c r="AD205" s="73">
        <f t="shared" si="110"/>
        <v>1206.0988078320233</v>
      </c>
      <c r="AE205" s="71">
        <f t="shared" si="111"/>
        <v>193.25470065891747</v>
      </c>
      <c r="AF205" s="74">
        <f t="shared" si="112"/>
        <v>5.8639999173037172</v>
      </c>
      <c r="AG205" s="75">
        <f t="shared" si="113"/>
        <v>3.7253422011523227</v>
      </c>
      <c r="AH205" s="76">
        <f t="shared" si="114"/>
        <v>4.3012267184041919</v>
      </c>
      <c r="AI205" s="77">
        <f t="shared" si="115"/>
        <v>5.8672184638494684</v>
      </c>
    </row>
    <row r="206" spans="1:35" ht="15.75" customHeight="1" x14ac:dyDescent="0.45">
      <c r="A206" s="59">
        <f t="shared" si="91"/>
        <v>45950</v>
      </c>
      <c r="B206" s="60">
        <v>2025</v>
      </c>
      <c r="C206" s="60">
        <v>10</v>
      </c>
      <c r="D206" s="60">
        <v>20</v>
      </c>
      <c r="E206" s="61">
        <v>293</v>
      </c>
      <c r="F206" s="62">
        <v>35</v>
      </c>
      <c r="G206" s="62">
        <v>15</v>
      </c>
      <c r="H206" s="70">
        <f t="shared" si="92"/>
        <v>25</v>
      </c>
      <c r="I206" s="62">
        <v>98</v>
      </c>
      <c r="J206" s="62">
        <v>75</v>
      </c>
      <c r="K206" s="62">
        <v>1</v>
      </c>
      <c r="L206" s="62">
        <v>30</v>
      </c>
      <c r="M206" s="71">
        <f t="shared" si="93"/>
        <v>-11.491271793546572</v>
      </c>
      <c r="N206" s="72">
        <f t="shared" si="94"/>
        <v>-0.20056099703669947</v>
      </c>
      <c r="O206" s="72">
        <f t="shared" si="95"/>
        <v>1.4062507806163962</v>
      </c>
      <c r="P206" s="72">
        <f t="shared" si="96"/>
        <v>1.010736656838688</v>
      </c>
      <c r="Q206" s="71">
        <f t="shared" si="97"/>
        <v>21.811176883263048</v>
      </c>
      <c r="R206" s="72">
        <f t="shared" si="98"/>
        <v>1</v>
      </c>
      <c r="S206" s="71">
        <f t="shared" si="99"/>
        <v>10.742939500507228</v>
      </c>
      <c r="T206" s="72">
        <f t="shared" si="100"/>
        <v>5.6226812384961216</v>
      </c>
      <c r="U206" s="72">
        <f t="shared" si="101"/>
        <v>1.7053462321157722</v>
      </c>
      <c r="V206" s="72">
        <f t="shared" si="102"/>
        <v>4.2170109288720914</v>
      </c>
      <c r="W206" s="72">
        <f t="shared" si="103"/>
        <v>1.6712393074734566</v>
      </c>
      <c r="X206" s="72">
        <f t="shared" si="104"/>
        <v>2.9441251181727739</v>
      </c>
      <c r="Y206" s="72">
        <f t="shared" si="105"/>
        <v>0.71988861713317309</v>
      </c>
      <c r="Z206" s="72">
        <f t="shared" si="106"/>
        <v>3.8557764635098803</v>
      </c>
      <c r="AA206" s="72">
        <f t="shared" si="107"/>
        <v>19.244223536490122</v>
      </c>
      <c r="AB206" s="72">
        <f t="shared" si="108"/>
        <v>3.1677777175068473</v>
      </c>
      <c r="AC206" s="72">
        <f t="shared" si="109"/>
        <v>0.18868182684282603</v>
      </c>
      <c r="AD206" s="73">
        <f t="shared" si="110"/>
        <v>1206.0988078320233</v>
      </c>
      <c r="AE206" s="71">
        <f t="shared" si="111"/>
        <v>193.25470065891747</v>
      </c>
      <c r="AF206" s="74">
        <f t="shared" si="112"/>
        <v>5.8639999173037172</v>
      </c>
      <c r="AG206" s="75">
        <f t="shared" si="113"/>
        <v>3.687201968873187</v>
      </c>
      <c r="AH206" s="76">
        <f t="shared" si="114"/>
        <v>4.3012267184041919</v>
      </c>
      <c r="AI206" s="77">
        <f t="shared" si="115"/>
        <v>5.8672184638494684</v>
      </c>
    </row>
    <row r="207" spans="1:35" ht="15.75" customHeight="1" x14ac:dyDescent="0.45">
      <c r="A207" s="59">
        <f t="shared" si="91"/>
        <v>45951</v>
      </c>
      <c r="B207" s="60">
        <v>2025</v>
      </c>
      <c r="C207" s="60">
        <v>10</v>
      </c>
      <c r="D207" s="60">
        <v>21</v>
      </c>
      <c r="E207" s="61">
        <v>294</v>
      </c>
      <c r="F207" s="62">
        <v>35</v>
      </c>
      <c r="G207" s="62">
        <v>15</v>
      </c>
      <c r="H207" s="70">
        <f t="shared" si="92"/>
        <v>25</v>
      </c>
      <c r="I207" s="62">
        <v>98</v>
      </c>
      <c r="J207" s="62">
        <v>75</v>
      </c>
      <c r="K207" s="62">
        <v>1</v>
      </c>
      <c r="L207" s="62">
        <v>30</v>
      </c>
      <c r="M207" s="71">
        <f t="shared" si="93"/>
        <v>-11.841436135574694</v>
      </c>
      <c r="N207" s="72">
        <f t="shared" si="94"/>
        <v>-0.20667253201956368</v>
      </c>
      <c r="O207" s="72">
        <f t="shared" si="95"/>
        <v>1.4010438848537101</v>
      </c>
      <c r="P207" s="72">
        <f t="shared" si="96"/>
        <v>1.0112722024399421</v>
      </c>
      <c r="Q207" s="71">
        <f t="shared" si="97"/>
        <v>21.587483368339203</v>
      </c>
      <c r="R207" s="72">
        <f t="shared" si="98"/>
        <v>1</v>
      </c>
      <c r="S207" s="71">
        <f t="shared" si="99"/>
        <v>10.703161839982508</v>
      </c>
      <c r="T207" s="72">
        <f t="shared" si="100"/>
        <v>5.6226812384961216</v>
      </c>
      <c r="U207" s="72">
        <f t="shared" si="101"/>
        <v>1.7053462321157722</v>
      </c>
      <c r="V207" s="72">
        <f t="shared" si="102"/>
        <v>4.2170109288720914</v>
      </c>
      <c r="W207" s="72">
        <f t="shared" si="103"/>
        <v>1.6712393074734566</v>
      </c>
      <c r="X207" s="72">
        <f t="shared" si="104"/>
        <v>2.9441251181727739</v>
      </c>
      <c r="Y207" s="72">
        <f t="shared" si="105"/>
        <v>0.71988861713317309</v>
      </c>
      <c r="Z207" s="72">
        <f t="shared" si="106"/>
        <v>3.8557764635098803</v>
      </c>
      <c r="AA207" s="72">
        <f t="shared" si="107"/>
        <v>19.244223536490122</v>
      </c>
      <c r="AB207" s="72">
        <f t="shared" si="108"/>
        <v>3.1677777175068473</v>
      </c>
      <c r="AC207" s="72">
        <f t="shared" si="109"/>
        <v>0.18868182684282603</v>
      </c>
      <c r="AD207" s="73">
        <f t="shared" si="110"/>
        <v>1206.0988078320233</v>
      </c>
      <c r="AE207" s="71">
        <f t="shared" si="111"/>
        <v>193.25470065891747</v>
      </c>
      <c r="AF207" s="74">
        <f t="shared" si="112"/>
        <v>5.8639999173037172</v>
      </c>
      <c r="AG207" s="75">
        <f t="shared" si="113"/>
        <v>3.6493863492454226</v>
      </c>
      <c r="AH207" s="76">
        <f t="shared" si="114"/>
        <v>4.3012267184041919</v>
      </c>
      <c r="AI207" s="77">
        <f t="shared" si="115"/>
        <v>5.8672184638494684</v>
      </c>
    </row>
    <row r="208" spans="1:35" ht="15.75" customHeight="1" x14ac:dyDescent="0.45">
      <c r="A208" s="59">
        <f t="shared" si="91"/>
        <v>45952</v>
      </c>
      <c r="B208" s="60">
        <v>2025</v>
      </c>
      <c r="C208" s="60">
        <v>10</v>
      </c>
      <c r="D208" s="60">
        <v>22</v>
      </c>
      <c r="E208" s="61">
        <v>295</v>
      </c>
      <c r="F208" s="62">
        <v>35</v>
      </c>
      <c r="G208" s="62">
        <v>15</v>
      </c>
      <c r="H208" s="70">
        <f t="shared" si="92"/>
        <v>25</v>
      </c>
      <c r="I208" s="62">
        <v>98</v>
      </c>
      <c r="J208" s="62">
        <v>75</v>
      </c>
      <c r="K208" s="62">
        <v>1</v>
      </c>
      <c r="L208" s="62">
        <v>30</v>
      </c>
      <c r="M208" s="71">
        <f t="shared" si="93"/>
        <v>-12.188091588106575</v>
      </c>
      <c r="N208" s="72">
        <f t="shared" si="94"/>
        <v>-0.21272282518442007</v>
      </c>
      <c r="O208" s="72">
        <f t="shared" si="95"/>
        <v>1.3958714073892386</v>
      </c>
      <c r="P208" s="72">
        <f t="shared" si="96"/>
        <v>1.0118044078287178</v>
      </c>
      <c r="Q208" s="71">
        <f t="shared" si="97"/>
        <v>21.365795795942873</v>
      </c>
      <c r="R208" s="72">
        <f t="shared" si="98"/>
        <v>1</v>
      </c>
      <c r="S208" s="71">
        <f t="shared" si="99"/>
        <v>10.663647115273024</v>
      </c>
      <c r="T208" s="72">
        <f t="shared" si="100"/>
        <v>5.6226812384961216</v>
      </c>
      <c r="U208" s="72">
        <f t="shared" si="101"/>
        <v>1.7053462321157722</v>
      </c>
      <c r="V208" s="72">
        <f t="shared" si="102"/>
        <v>4.2170109288720914</v>
      </c>
      <c r="W208" s="72">
        <f t="shared" si="103"/>
        <v>1.6712393074734566</v>
      </c>
      <c r="X208" s="72">
        <f t="shared" si="104"/>
        <v>2.9441251181727739</v>
      </c>
      <c r="Y208" s="72">
        <f t="shared" si="105"/>
        <v>0.71988861713317309</v>
      </c>
      <c r="Z208" s="72">
        <f t="shared" si="106"/>
        <v>3.8557764635098803</v>
      </c>
      <c r="AA208" s="72">
        <f t="shared" si="107"/>
        <v>19.244223536490122</v>
      </c>
      <c r="AB208" s="72">
        <f t="shared" si="108"/>
        <v>3.1677777175068473</v>
      </c>
      <c r="AC208" s="72">
        <f t="shared" si="109"/>
        <v>0.18868182684282603</v>
      </c>
      <c r="AD208" s="73">
        <f t="shared" si="110"/>
        <v>1206.0988078320233</v>
      </c>
      <c r="AE208" s="71">
        <f t="shared" si="111"/>
        <v>193.25470065891747</v>
      </c>
      <c r="AF208" s="74">
        <f t="shared" si="112"/>
        <v>5.8639999173037172</v>
      </c>
      <c r="AG208" s="75">
        <f t="shared" si="113"/>
        <v>3.6119098362727686</v>
      </c>
      <c r="AH208" s="76">
        <f t="shared" si="114"/>
        <v>4.3012267184041919</v>
      </c>
      <c r="AI208" s="77">
        <f t="shared" si="115"/>
        <v>5.8672184638494684</v>
      </c>
    </row>
    <row r="209" spans="1:35" ht="15.75" customHeight="1" x14ac:dyDescent="0.45">
      <c r="A209" s="59">
        <f t="shared" si="91"/>
        <v>45953</v>
      </c>
      <c r="B209" s="60">
        <v>2025</v>
      </c>
      <c r="C209" s="60">
        <v>10</v>
      </c>
      <c r="D209" s="60">
        <v>23</v>
      </c>
      <c r="E209" s="61">
        <v>296</v>
      </c>
      <c r="F209" s="62">
        <v>35</v>
      </c>
      <c r="G209" s="62">
        <v>15</v>
      </c>
      <c r="H209" s="70">
        <f t="shared" si="92"/>
        <v>25</v>
      </c>
      <c r="I209" s="62">
        <v>98</v>
      </c>
      <c r="J209" s="62">
        <v>75</v>
      </c>
      <c r="K209" s="62">
        <v>1</v>
      </c>
      <c r="L209" s="62">
        <v>30</v>
      </c>
      <c r="M209" s="71">
        <f t="shared" si="93"/>
        <v>-12.531135429169771</v>
      </c>
      <c r="N209" s="72">
        <f t="shared" si="94"/>
        <v>-0.21871008369044306</v>
      </c>
      <c r="O209" s="72">
        <f t="shared" si="95"/>
        <v>1.3907348178717851</v>
      </c>
      <c r="P209" s="72">
        <f t="shared" si="96"/>
        <v>1.012333115300335</v>
      </c>
      <c r="Q209" s="71">
        <f t="shared" si="97"/>
        <v>21.146198919747491</v>
      </c>
      <c r="R209" s="72">
        <f t="shared" si="98"/>
        <v>1</v>
      </c>
      <c r="S209" s="71">
        <f t="shared" si="99"/>
        <v>10.624406553642363</v>
      </c>
      <c r="T209" s="72">
        <f t="shared" si="100"/>
        <v>5.6226812384961216</v>
      </c>
      <c r="U209" s="72">
        <f t="shared" si="101"/>
        <v>1.7053462321157722</v>
      </c>
      <c r="V209" s="72">
        <f t="shared" si="102"/>
        <v>4.2170109288720914</v>
      </c>
      <c r="W209" s="72">
        <f t="shared" si="103"/>
        <v>1.6712393074734566</v>
      </c>
      <c r="X209" s="72">
        <f t="shared" si="104"/>
        <v>2.9441251181727739</v>
      </c>
      <c r="Y209" s="72">
        <f t="shared" si="105"/>
        <v>0.71988861713317309</v>
      </c>
      <c r="Z209" s="72">
        <f t="shared" si="106"/>
        <v>3.8557764635098803</v>
      </c>
      <c r="AA209" s="72">
        <f t="shared" si="107"/>
        <v>19.244223536490122</v>
      </c>
      <c r="AB209" s="72">
        <f t="shared" si="108"/>
        <v>3.1677777175068473</v>
      </c>
      <c r="AC209" s="72">
        <f t="shared" si="109"/>
        <v>0.18868182684282603</v>
      </c>
      <c r="AD209" s="73">
        <f t="shared" si="110"/>
        <v>1206.0988078320233</v>
      </c>
      <c r="AE209" s="71">
        <f t="shared" si="111"/>
        <v>193.25470065891747</v>
      </c>
      <c r="AF209" s="74">
        <f t="shared" si="112"/>
        <v>5.8639999173037172</v>
      </c>
      <c r="AG209" s="75">
        <f t="shared" si="113"/>
        <v>3.5747867576512142</v>
      </c>
      <c r="AH209" s="76">
        <f t="shared" si="114"/>
        <v>4.3012267184041919</v>
      </c>
      <c r="AI209" s="77">
        <f t="shared" si="115"/>
        <v>5.8672184638494684</v>
      </c>
    </row>
    <row r="210" spans="1:35" ht="15.75" customHeight="1" x14ac:dyDescent="0.45">
      <c r="A210" s="59">
        <f t="shared" si="91"/>
        <v>45954</v>
      </c>
      <c r="B210" s="60">
        <v>2025</v>
      </c>
      <c r="C210" s="60">
        <v>10</v>
      </c>
      <c r="D210" s="60">
        <v>24</v>
      </c>
      <c r="E210" s="61">
        <v>297</v>
      </c>
      <c r="F210" s="62">
        <v>35</v>
      </c>
      <c r="G210" s="62">
        <v>15</v>
      </c>
      <c r="H210" s="70">
        <f t="shared" si="92"/>
        <v>25</v>
      </c>
      <c r="I210" s="62">
        <v>98</v>
      </c>
      <c r="J210" s="62">
        <v>75</v>
      </c>
      <c r="K210" s="62">
        <v>1</v>
      </c>
      <c r="L210" s="62">
        <v>30</v>
      </c>
      <c r="M210" s="71">
        <f t="shared" si="93"/>
        <v>-12.870466006995292</v>
      </c>
      <c r="N210" s="72">
        <f t="shared" si="94"/>
        <v>-0.22463253337542449</v>
      </c>
      <c r="O210" s="72">
        <f t="shared" si="95"/>
        <v>1.3856356145843365</v>
      </c>
      <c r="P210" s="72">
        <f t="shared" si="96"/>
        <v>1.0128581681866269</v>
      </c>
      <c r="Q210" s="71">
        <f t="shared" si="97"/>
        <v>20.928776449713293</v>
      </c>
      <c r="R210" s="72">
        <f t="shared" si="98"/>
        <v>1</v>
      </c>
      <c r="S210" s="71">
        <f t="shared" si="99"/>
        <v>10.585451601102648</v>
      </c>
      <c r="T210" s="72">
        <f t="shared" si="100"/>
        <v>5.6226812384961216</v>
      </c>
      <c r="U210" s="72">
        <f t="shared" si="101"/>
        <v>1.7053462321157722</v>
      </c>
      <c r="V210" s="72">
        <f t="shared" si="102"/>
        <v>4.2170109288720914</v>
      </c>
      <c r="W210" s="72">
        <f t="shared" si="103"/>
        <v>1.6712393074734566</v>
      </c>
      <c r="X210" s="72">
        <f t="shared" si="104"/>
        <v>2.9441251181727739</v>
      </c>
      <c r="Y210" s="72">
        <f t="shared" si="105"/>
        <v>0.71988861713317309</v>
      </c>
      <c r="Z210" s="72">
        <f t="shared" si="106"/>
        <v>3.8557764635098803</v>
      </c>
      <c r="AA210" s="72">
        <f t="shared" si="107"/>
        <v>19.244223536490122</v>
      </c>
      <c r="AB210" s="72">
        <f t="shared" si="108"/>
        <v>3.1677777175068473</v>
      </c>
      <c r="AC210" s="72">
        <f t="shared" si="109"/>
        <v>0.18868182684282603</v>
      </c>
      <c r="AD210" s="73">
        <f t="shared" si="110"/>
        <v>1206.0988078320233</v>
      </c>
      <c r="AE210" s="71">
        <f t="shared" si="111"/>
        <v>193.25470065891747</v>
      </c>
      <c r="AF210" s="74">
        <f t="shared" si="112"/>
        <v>5.8639999173037172</v>
      </c>
      <c r="AG210" s="75">
        <f t="shared" si="113"/>
        <v>3.5380312646359546</v>
      </c>
      <c r="AH210" s="76">
        <f t="shared" si="114"/>
        <v>4.3012267184041919</v>
      </c>
      <c r="AI210" s="77">
        <f t="shared" si="115"/>
        <v>5.8672184638494684</v>
      </c>
    </row>
    <row r="211" spans="1:35" ht="15.75" customHeight="1" x14ac:dyDescent="0.45">
      <c r="A211" s="59">
        <f t="shared" si="91"/>
        <v>45955</v>
      </c>
      <c r="B211" s="60">
        <v>2025</v>
      </c>
      <c r="C211" s="60">
        <v>10</v>
      </c>
      <c r="D211" s="60">
        <v>25</v>
      </c>
      <c r="E211" s="61">
        <v>298</v>
      </c>
      <c r="F211" s="62">
        <v>35</v>
      </c>
      <c r="G211" s="62">
        <v>15</v>
      </c>
      <c r="H211" s="70">
        <f t="shared" si="92"/>
        <v>25</v>
      </c>
      <c r="I211" s="62">
        <v>98</v>
      </c>
      <c r="J211" s="62">
        <v>75</v>
      </c>
      <c r="K211" s="62">
        <v>1</v>
      </c>
      <c r="L211" s="62">
        <v>30</v>
      </c>
      <c r="M211" s="71">
        <f t="shared" si="93"/>
        <v>-13.205982770139324</v>
      </c>
      <c r="N211" s="72">
        <f t="shared" si="94"/>
        <v>-0.23048841928149832</v>
      </c>
      <c r="O211" s="72">
        <f t="shared" si="95"/>
        <v>1.3805753244979022</v>
      </c>
      <c r="P211" s="72">
        <f t="shared" si="96"/>
        <v>1.0133794109023639</v>
      </c>
      <c r="Q211" s="71">
        <f t="shared" si="97"/>
        <v>20.713610994245506</v>
      </c>
      <c r="R211" s="72">
        <f t="shared" si="98"/>
        <v>1</v>
      </c>
      <c r="S211" s="71">
        <f t="shared" si="99"/>
        <v>10.546793922825838</v>
      </c>
      <c r="T211" s="72">
        <f t="shared" si="100"/>
        <v>5.6226812384961216</v>
      </c>
      <c r="U211" s="72">
        <f t="shared" si="101"/>
        <v>1.7053462321157722</v>
      </c>
      <c r="V211" s="72">
        <f t="shared" si="102"/>
        <v>4.2170109288720914</v>
      </c>
      <c r="W211" s="72">
        <f t="shared" si="103"/>
        <v>1.6712393074734566</v>
      </c>
      <c r="X211" s="72">
        <f t="shared" si="104"/>
        <v>2.9441251181727739</v>
      </c>
      <c r="Y211" s="72">
        <f t="shared" si="105"/>
        <v>0.71988861713317309</v>
      </c>
      <c r="Z211" s="72">
        <f t="shared" si="106"/>
        <v>3.8557764635098803</v>
      </c>
      <c r="AA211" s="72">
        <f t="shared" si="107"/>
        <v>19.244223536490122</v>
      </c>
      <c r="AB211" s="72">
        <f t="shared" si="108"/>
        <v>3.1677777175068473</v>
      </c>
      <c r="AC211" s="72">
        <f t="shared" si="109"/>
        <v>0.18868182684282603</v>
      </c>
      <c r="AD211" s="73">
        <f t="shared" si="110"/>
        <v>1206.0988078320233</v>
      </c>
      <c r="AE211" s="71">
        <f t="shared" si="111"/>
        <v>193.25470065891747</v>
      </c>
      <c r="AF211" s="74">
        <f t="shared" si="112"/>
        <v>5.8639999173037172</v>
      </c>
      <c r="AG211" s="75">
        <f t="shared" si="113"/>
        <v>3.5016573222631746</v>
      </c>
      <c r="AH211" s="76">
        <f t="shared" si="114"/>
        <v>4.3012267184041919</v>
      </c>
      <c r="AI211" s="77">
        <f t="shared" si="115"/>
        <v>5.8672184638494684</v>
      </c>
    </row>
    <row r="212" spans="1:35" ht="15.75" customHeight="1" x14ac:dyDescent="0.45">
      <c r="A212" s="59">
        <f t="shared" si="91"/>
        <v>45956</v>
      </c>
      <c r="B212" s="60">
        <v>2025</v>
      </c>
      <c r="C212" s="60">
        <v>10</v>
      </c>
      <c r="D212" s="60">
        <v>26</v>
      </c>
      <c r="E212" s="61">
        <v>299</v>
      </c>
      <c r="F212" s="62">
        <v>35</v>
      </c>
      <c r="G212" s="62">
        <v>15</v>
      </c>
      <c r="H212" s="70">
        <f t="shared" si="92"/>
        <v>25</v>
      </c>
      <c r="I212" s="62">
        <v>98</v>
      </c>
      <c r="J212" s="62">
        <v>75</v>
      </c>
      <c r="K212" s="62">
        <v>1</v>
      </c>
      <c r="L212" s="62">
        <v>30</v>
      </c>
      <c r="M212" s="71">
        <f t="shared" si="93"/>
        <v>-13.537586297278931</v>
      </c>
      <c r="N212" s="72">
        <f t="shared" si="94"/>
        <v>-0.23627600617517494</v>
      </c>
      <c r="O212" s="72">
        <f t="shared" si="95"/>
        <v>1.3755555032354989</v>
      </c>
      <c r="P212" s="72">
        <f t="shared" si="96"/>
        <v>1.0138966889913577</v>
      </c>
      <c r="Q212" s="71">
        <f t="shared" si="97"/>
        <v>20.500784004561829</v>
      </c>
      <c r="R212" s="72">
        <f t="shared" si="98"/>
        <v>1</v>
      </c>
      <c r="S212" s="71">
        <f t="shared" si="99"/>
        <v>10.508445402868594</v>
      </c>
      <c r="T212" s="72">
        <f t="shared" si="100"/>
        <v>5.6226812384961216</v>
      </c>
      <c r="U212" s="72">
        <f t="shared" si="101"/>
        <v>1.7053462321157722</v>
      </c>
      <c r="V212" s="72">
        <f t="shared" si="102"/>
        <v>4.2170109288720914</v>
      </c>
      <c r="W212" s="72">
        <f t="shared" si="103"/>
        <v>1.6712393074734566</v>
      </c>
      <c r="X212" s="72">
        <f t="shared" si="104"/>
        <v>2.9441251181727739</v>
      </c>
      <c r="Y212" s="72">
        <f t="shared" si="105"/>
        <v>0.71988861713317309</v>
      </c>
      <c r="Z212" s="72">
        <f t="shared" si="106"/>
        <v>3.8557764635098803</v>
      </c>
      <c r="AA212" s="72">
        <f t="shared" si="107"/>
        <v>19.244223536490122</v>
      </c>
      <c r="AB212" s="72">
        <f t="shared" si="108"/>
        <v>3.1677777175068473</v>
      </c>
      <c r="AC212" s="72">
        <f t="shared" si="109"/>
        <v>0.18868182684282603</v>
      </c>
      <c r="AD212" s="73">
        <f t="shared" si="110"/>
        <v>1206.0988078320233</v>
      </c>
      <c r="AE212" s="71">
        <f t="shared" si="111"/>
        <v>193.25470065891747</v>
      </c>
      <c r="AF212" s="74">
        <f t="shared" si="112"/>
        <v>5.8639999173037172</v>
      </c>
      <c r="AG212" s="75">
        <f t="shared" si="113"/>
        <v>3.4656786999453124</v>
      </c>
      <c r="AH212" s="76">
        <f t="shared" si="114"/>
        <v>4.3012267184041919</v>
      </c>
      <c r="AI212" s="77">
        <f t="shared" si="115"/>
        <v>5.8672184638494684</v>
      </c>
    </row>
    <row r="213" spans="1:35" ht="15.75" customHeight="1" x14ac:dyDescent="0.45">
      <c r="A213" s="59">
        <f t="shared" si="91"/>
        <v>45957</v>
      </c>
      <c r="B213" s="60">
        <v>2025</v>
      </c>
      <c r="C213" s="60">
        <v>10</v>
      </c>
      <c r="D213" s="60">
        <v>27</v>
      </c>
      <c r="E213" s="61">
        <v>300</v>
      </c>
      <c r="F213" s="62">
        <v>35</v>
      </c>
      <c r="G213" s="62">
        <v>15</v>
      </c>
      <c r="H213" s="70">
        <f t="shared" si="92"/>
        <v>25</v>
      </c>
      <c r="I213" s="62">
        <v>98</v>
      </c>
      <c r="J213" s="62">
        <v>75</v>
      </c>
      <c r="K213" s="62">
        <v>1</v>
      </c>
      <c r="L213" s="62">
        <v>30</v>
      </c>
      <c r="M213" s="71">
        <f t="shared" si="93"/>
        <v>-13.865178326672886</v>
      </c>
      <c r="N213" s="72">
        <f t="shared" si="94"/>
        <v>-0.24199357906153077</v>
      </c>
      <c r="O213" s="72">
        <f t="shared" si="95"/>
        <v>1.3705777349424855</v>
      </c>
      <c r="P213" s="72">
        <f t="shared" si="96"/>
        <v>1.0144098491722298</v>
      </c>
      <c r="Q213" s="71">
        <f t="shared" si="97"/>
        <v>20.290375721372957</v>
      </c>
      <c r="R213" s="72">
        <f t="shared" si="98"/>
        <v>1</v>
      </c>
      <c r="S213" s="71">
        <f t="shared" si="99"/>
        <v>10.470418143181707</v>
      </c>
      <c r="T213" s="72">
        <f t="shared" si="100"/>
        <v>5.6226812384961216</v>
      </c>
      <c r="U213" s="72">
        <f t="shared" si="101"/>
        <v>1.7053462321157722</v>
      </c>
      <c r="V213" s="72">
        <f t="shared" si="102"/>
        <v>4.2170109288720914</v>
      </c>
      <c r="W213" s="72">
        <f t="shared" si="103"/>
        <v>1.6712393074734566</v>
      </c>
      <c r="X213" s="72">
        <f t="shared" si="104"/>
        <v>2.9441251181727739</v>
      </c>
      <c r="Y213" s="72">
        <f t="shared" si="105"/>
        <v>0.71988861713317309</v>
      </c>
      <c r="Z213" s="72">
        <f t="shared" si="106"/>
        <v>3.8557764635098803</v>
      </c>
      <c r="AA213" s="72">
        <f t="shared" si="107"/>
        <v>19.244223536490122</v>
      </c>
      <c r="AB213" s="72">
        <f t="shared" si="108"/>
        <v>3.1677777175068473</v>
      </c>
      <c r="AC213" s="72">
        <f t="shared" si="109"/>
        <v>0.18868182684282603</v>
      </c>
      <c r="AD213" s="73">
        <f t="shared" si="110"/>
        <v>1206.0988078320233</v>
      </c>
      <c r="AE213" s="71">
        <f t="shared" si="111"/>
        <v>193.25470065891747</v>
      </c>
      <c r="AF213" s="74">
        <f t="shared" si="112"/>
        <v>5.8639999173037172</v>
      </c>
      <c r="AG213" s="75">
        <f t="shared" si="113"/>
        <v>3.4301089624573473</v>
      </c>
      <c r="AH213" s="76">
        <f t="shared" si="114"/>
        <v>4.3012267184041919</v>
      </c>
      <c r="AI213" s="77">
        <f t="shared" si="115"/>
        <v>5.8672184638494684</v>
      </c>
    </row>
    <row r="214" spans="1:35" ht="15.75" customHeight="1" x14ac:dyDescent="0.45">
      <c r="A214" s="59">
        <f t="shared" si="91"/>
        <v>45958</v>
      </c>
      <c r="B214" s="60">
        <v>2025</v>
      </c>
      <c r="C214" s="60">
        <v>10</v>
      </c>
      <c r="D214" s="60">
        <v>28</v>
      </c>
      <c r="E214" s="61">
        <v>301</v>
      </c>
      <c r="F214" s="62">
        <v>35</v>
      </c>
      <c r="G214" s="62">
        <v>15</v>
      </c>
      <c r="H214" s="70">
        <f t="shared" si="92"/>
        <v>25</v>
      </c>
      <c r="I214" s="62">
        <v>98</v>
      </c>
      <c r="J214" s="62">
        <v>75</v>
      </c>
      <c r="K214" s="62">
        <v>1</v>
      </c>
      <c r="L214" s="62">
        <v>30</v>
      </c>
      <c r="M214" s="71">
        <f t="shared" si="93"/>
        <v>-14.188661785278887</v>
      </c>
      <c r="N214" s="72">
        <f t="shared" si="94"/>
        <v>-0.24763944369240085</v>
      </c>
      <c r="O214" s="72">
        <f t="shared" si="95"/>
        <v>1.3656436320594976</v>
      </c>
      <c r="P214" s="72">
        <f t="shared" si="96"/>
        <v>1.0149187393838326</v>
      </c>
      <c r="Q214" s="71">
        <f t="shared" si="97"/>
        <v>20.082465123974178</v>
      </c>
      <c r="R214" s="72">
        <f t="shared" si="98"/>
        <v>1</v>
      </c>
      <c r="S214" s="71">
        <f t="shared" si="99"/>
        <v>10.432724461875459</v>
      </c>
      <c r="T214" s="72">
        <f t="shared" si="100"/>
        <v>5.6226812384961216</v>
      </c>
      <c r="U214" s="72">
        <f t="shared" si="101"/>
        <v>1.7053462321157722</v>
      </c>
      <c r="V214" s="72">
        <f t="shared" si="102"/>
        <v>4.2170109288720914</v>
      </c>
      <c r="W214" s="72">
        <f t="shared" si="103"/>
        <v>1.6712393074734566</v>
      </c>
      <c r="X214" s="72">
        <f t="shared" si="104"/>
        <v>2.9441251181727739</v>
      </c>
      <c r="Y214" s="72">
        <f t="shared" si="105"/>
        <v>0.71988861713317309</v>
      </c>
      <c r="Z214" s="72">
        <f t="shared" si="106"/>
        <v>3.8557764635098803</v>
      </c>
      <c r="AA214" s="72">
        <f t="shared" si="107"/>
        <v>19.244223536490122</v>
      </c>
      <c r="AB214" s="72">
        <f t="shared" si="108"/>
        <v>3.1677777175068473</v>
      </c>
      <c r="AC214" s="72">
        <f t="shared" si="109"/>
        <v>0.18868182684282603</v>
      </c>
      <c r="AD214" s="73">
        <f t="shared" si="110"/>
        <v>1206.0988078320233</v>
      </c>
      <c r="AE214" s="71">
        <f t="shared" si="111"/>
        <v>193.25470065891747</v>
      </c>
      <c r="AF214" s="74">
        <f t="shared" si="112"/>
        <v>5.8639999173037172</v>
      </c>
      <c r="AG214" s="75">
        <f t="shared" si="113"/>
        <v>3.394961461330682</v>
      </c>
      <c r="AH214" s="76">
        <f t="shared" si="114"/>
        <v>4.3012267184041919</v>
      </c>
      <c r="AI214" s="77">
        <f t="shared" si="115"/>
        <v>5.8672184638494684</v>
      </c>
    </row>
    <row r="215" spans="1:35" ht="15.75" customHeight="1" x14ac:dyDescent="0.45">
      <c r="A215" s="59">
        <f t="shared" si="91"/>
        <v>45959</v>
      </c>
      <c r="B215" s="60">
        <v>2025</v>
      </c>
      <c r="C215" s="60">
        <v>10</v>
      </c>
      <c r="D215" s="60">
        <v>29</v>
      </c>
      <c r="E215" s="61">
        <v>302</v>
      </c>
      <c r="F215" s="62">
        <v>35</v>
      </c>
      <c r="G215" s="62">
        <v>15</v>
      </c>
      <c r="H215" s="70">
        <f t="shared" si="92"/>
        <v>25</v>
      </c>
      <c r="I215" s="62">
        <v>98</v>
      </c>
      <c r="J215" s="62">
        <v>75</v>
      </c>
      <c r="K215" s="62">
        <v>1</v>
      </c>
      <c r="L215" s="62">
        <v>30</v>
      </c>
      <c r="M215" s="71">
        <f t="shared" si="93"/>
        <v>-14.507940817518508</v>
      </c>
      <c r="N215" s="72">
        <f t="shared" si="94"/>
        <v>-0.25321192706842299</v>
      </c>
      <c r="O215" s="72">
        <f t="shared" si="95"/>
        <v>1.3607548349942997</v>
      </c>
      <c r="P215" s="72">
        <f t="shared" si="96"/>
        <v>1.0154232088303086</v>
      </c>
      <c r="Q215" s="71">
        <f t="shared" si="97"/>
        <v>19.877129881838698</v>
      </c>
      <c r="R215" s="72">
        <f t="shared" si="98"/>
        <v>1</v>
      </c>
      <c r="S215" s="71">
        <f t="shared" si="99"/>
        <v>10.395376890712756</v>
      </c>
      <c r="T215" s="72">
        <f t="shared" si="100"/>
        <v>5.6226812384961216</v>
      </c>
      <c r="U215" s="72">
        <f t="shared" si="101"/>
        <v>1.7053462321157722</v>
      </c>
      <c r="V215" s="72">
        <f t="shared" si="102"/>
        <v>4.2170109288720914</v>
      </c>
      <c r="W215" s="72">
        <f t="shared" si="103"/>
        <v>1.6712393074734566</v>
      </c>
      <c r="X215" s="72">
        <f t="shared" si="104"/>
        <v>2.9441251181727739</v>
      </c>
      <c r="Y215" s="72">
        <f t="shared" si="105"/>
        <v>0.71988861713317309</v>
      </c>
      <c r="Z215" s="72">
        <f t="shared" si="106"/>
        <v>3.8557764635098803</v>
      </c>
      <c r="AA215" s="72">
        <f t="shared" si="107"/>
        <v>19.244223536490122</v>
      </c>
      <c r="AB215" s="72">
        <f t="shared" si="108"/>
        <v>3.1677777175068473</v>
      </c>
      <c r="AC215" s="72">
        <f t="shared" si="109"/>
        <v>0.18868182684282603</v>
      </c>
      <c r="AD215" s="73">
        <f t="shared" si="110"/>
        <v>1206.0988078320233</v>
      </c>
      <c r="AE215" s="71">
        <f t="shared" si="111"/>
        <v>193.25470065891747</v>
      </c>
      <c r="AF215" s="74">
        <f t="shared" si="112"/>
        <v>5.8639999173037172</v>
      </c>
      <c r="AG215" s="75">
        <f t="shared" si="113"/>
        <v>3.3602493266699445</v>
      </c>
      <c r="AH215" s="76">
        <f t="shared" si="114"/>
        <v>4.3012267184041919</v>
      </c>
      <c r="AI215" s="77">
        <f t="shared" si="115"/>
        <v>5.8672184638494684</v>
      </c>
    </row>
    <row r="216" spans="1:35" ht="15.75" customHeight="1" x14ac:dyDescent="0.45">
      <c r="A216" s="59">
        <f t="shared" si="91"/>
        <v>45960</v>
      </c>
      <c r="B216" s="60">
        <v>2025</v>
      </c>
      <c r="C216" s="60">
        <v>10</v>
      </c>
      <c r="D216" s="60">
        <v>30</v>
      </c>
      <c r="E216" s="61">
        <v>303</v>
      </c>
      <c r="F216" s="62">
        <v>35</v>
      </c>
      <c r="G216" s="62">
        <v>15</v>
      </c>
      <c r="H216" s="70">
        <f t="shared" si="92"/>
        <v>25</v>
      </c>
      <c r="I216" s="62">
        <v>98</v>
      </c>
      <c r="J216" s="62">
        <v>75</v>
      </c>
      <c r="K216" s="62">
        <v>1</v>
      </c>
      <c r="L216" s="62">
        <v>30</v>
      </c>
      <c r="M216" s="71">
        <f t="shared" si="93"/>
        <v>-14.822920813681424</v>
      </c>
      <c r="N216" s="72">
        <f t="shared" si="94"/>
        <v>-0.25870937793478649</v>
      </c>
      <c r="O216" s="72">
        <f t="shared" si="95"/>
        <v>1.3559130116889544</v>
      </c>
      <c r="P216" s="72">
        <f t="shared" si="96"/>
        <v>1.015923108025774</v>
      </c>
      <c r="Q216" s="71">
        <f t="shared" si="97"/>
        <v>19.674446308796618</v>
      </c>
      <c r="R216" s="72">
        <f t="shared" si="98"/>
        <v>1</v>
      </c>
      <c r="S216" s="71">
        <f t="shared" si="99"/>
        <v>10.358388171802554</v>
      </c>
      <c r="T216" s="72">
        <f t="shared" si="100"/>
        <v>5.6226812384961216</v>
      </c>
      <c r="U216" s="72">
        <f t="shared" si="101"/>
        <v>1.7053462321157722</v>
      </c>
      <c r="V216" s="72">
        <f t="shared" si="102"/>
        <v>4.2170109288720914</v>
      </c>
      <c r="W216" s="72">
        <f t="shared" si="103"/>
        <v>1.6712393074734566</v>
      </c>
      <c r="X216" s="72">
        <f t="shared" si="104"/>
        <v>2.9441251181727739</v>
      </c>
      <c r="Y216" s="72">
        <f t="shared" si="105"/>
        <v>0.71988861713317309</v>
      </c>
      <c r="Z216" s="72">
        <f t="shared" si="106"/>
        <v>3.8557764635098803</v>
      </c>
      <c r="AA216" s="72">
        <f t="shared" si="107"/>
        <v>19.244223536490122</v>
      </c>
      <c r="AB216" s="72">
        <f t="shared" si="108"/>
        <v>3.1677777175068473</v>
      </c>
      <c r="AC216" s="72">
        <f t="shared" si="109"/>
        <v>0.18868182684282603</v>
      </c>
      <c r="AD216" s="73">
        <f t="shared" si="110"/>
        <v>1206.0988078320233</v>
      </c>
      <c r="AE216" s="71">
        <f t="shared" si="111"/>
        <v>193.25470065891747</v>
      </c>
      <c r="AF216" s="74">
        <f t="shared" si="112"/>
        <v>5.8639999173037172</v>
      </c>
      <c r="AG216" s="75">
        <f t="shared" si="113"/>
        <v>3.3259854594068954</v>
      </c>
      <c r="AH216" s="76">
        <f t="shared" si="114"/>
        <v>4.3012267184041919</v>
      </c>
      <c r="AI216" s="77">
        <f t="shared" si="115"/>
        <v>5.8672184638494684</v>
      </c>
    </row>
    <row r="217" spans="1:35" ht="15.75" customHeight="1" x14ac:dyDescent="0.45">
      <c r="A217" s="59">
        <f t="shared" si="91"/>
        <v>45961</v>
      </c>
      <c r="B217" s="60">
        <v>2025</v>
      </c>
      <c r="C217" s="60">
        <v>10</v>
      </c>
      <c r="D217" s="60">
        <v>31</v>
      </c>
      <c r="E217" s="61">
        <v>304</v>
      </c>
      <c r="F217" s="62">
        <v>35</v>
      </c>
      <c r="G217" s="62">
        <v>15</v>
      </c>
      <c r="H217" s="70">
        <f t="shared" si="92"/>
        <v>25</v>
      </c>
      <c r="I217" s="62">
        <v>98</v>
      </c>
      <c r="J217" s="62">
        <v>75</v>
      </c>
      <c r="K217" s="62">
        <v>1</v>
      </c>
      <c r="L217" s="62">
        <v>30</v>
      </c>
      <c r="M217" s="71">
        <f t="shared" si="93"/>
        <v>-15.133508437960442</v>
      </c>
      <c r="N217" s="72">
        <f t="shared" si="94"/>
        <v>-0.26413016727053623</v>
      </c>
      <c r="O217" s="72">
        <f t="shared" si="95"/>
        <v>1.3511198570788401</v>
      </c>
      <c r="P217" s="72">
        <f t="shared" si="96"/>
        <v>1.016418288838616</v>
      </c>
      <c r="Q217" s="71">
        <f t="shared" si="97"/>
        <v>19.474489319875886</v>
      </c>
      <c r="R217" s="72">
        <f t="shared" si="98"/>
        <v>1</v>
      </c>
      <c r="S217" s="71">
        <f t="shared" si="99"/>
        <v>10.321771253467073</v>
      </c>
      <c r="T217" s="72">
        <f t="shared" si="100"/>
        <v>5.6226812384961216</v>
      </c>
      <c r="U217" s="72">
        <f t="shared" si="101"/>
        <v>1.7053462321157722</v>
      </c>
      <c r="V217" s="72">
        <f t="shared" si="102"/>
        <v>4.2170109288720914</v>
      </c>
      <c r="W217" s="72">
        <f t="shared" si="103"/>
        <v>1.6712393074734566</v>
      </c>
      <c r="X217" s="72">
        <f t="shared" si="104"/>
        <v>2.9441251181727739</v>
      </c>
      <c r="Y217" s="72">
        <f t="shared" si="105"/>
        <v>0.71988861713317309</v>
      </c>
      <c r="Z217" s="72">
        <f t="shared" si="106"/>
        <v>3.8557764635098803</v>
      </c>
      <c r="AA217" s="72">
        <f t="shared" si="107"/>
        <v>19.244223536490122</v>
      </c>
      <c r="AB217" s="72">
        <f t="shared" si="108"/>
        <v>3.1677777175068473</v>
      </c>
      <c r="AC217" s="72">
        <f t="shared" si="109"/>
        <v>0.18868182684282603</v>
      </c>
      <c r="AD217" s="73">
        <f t="shared" si="110"/>
        <v>1206.0988078320233</v>
      </c>
      <c r="AE217" s="71">
        <f t="shared" si="111"/>
        <v>193.25470065891747</v>
      </c>
      <c r="AF217" s="74">
        <f t="shared" si="112"/>
        <v>5.8639999173037172</v>
      </c>
      <c r="AG217" s="75">
        <f t="shared" si="113"/>
        <v>3.2921825240043483</v>
      </c>
      <c r="AH217" s="76">
        <f t="shared" si="114"/>
        <v>4.3012267184041919</v>
      </c>
      <c r="AI217" s="77">
        <f t="shared" si="115"/>
        <v>5.8672184638494684</v>
      </c>
    </row>
    <row r="218" spans="1:35" ht="15.75" customHeight="1" x14ac:dyDescent="0.45">
      <c r="A218" s="59">
        <f t="shared" si="91"/>
        <v>45962</v>
      </c>
      <c r="B218" s="60">
        <v>2025</v>
      </c>
      <c r="C218" s="60">
        <v>11</v>
      </c>
      <c r="D218" s="60">
        <v>1</v>
      </c>
      <c r="E218" s="61">
        <v>305</v>
      </c>
      <c r="F218" s="62">
        <v>35</v>
      </c>
      <c r="G218" s="62">
        <v>15</v>
      </c>
      <c r="H218" s="70">
        <f t="shared" si="92"/>
        <v>25</v>
      </c>
      <c r="I218" s="62">
        <v>98</v>
      </c>
      <c r="J218" s="62">
        <v>75</v>
      </c>
      <c r="K218" s="62">
        <v>1</v>
      </c>
      <c r="L218" s="62">
        <v>30</v>
      </c>
      <c r="M218" s="71">
        <f t="shared" si="93"/>
        <v>-15.439611656109038</v>
      </c>
      <c r="N218" s="72">
        <f t="shared" si="94"/>
        <v>-0.26947268877128977</v>
      </c>
      <c r="O218" s="72">
        <f t="shared" si="95"/>
        <v>1.346377092440177</v>
      </c>
      <c r="P218" s="72">
        <f t="shared" si="96"/>
        <v>1.0169086045353866</v>
      </c>
      <c r="Q218" s="71">
        <f t="shared" si="97"/>
        <v>19.277332390873735</v>
      </c>
      <c r="R218" s="72">
        <f t="shared" si="98"/>
        <v>1</v>
      </c>
      <c r="S218" s="71">
        <f t="shared" si="99"/>
        <v>10.285539285257274</v>
      </c>
      <c r="T218" s="72">
        <f t="shared" si="100"/>
        <v>5.6226812384961216</v>
      </c>
      <c r="U218" s="72">
        <f t="shared" si="101"/>
        <v>1.7053462321157722</v>
      </c>
      <c r="V218" s="72">
        <f t="shared" si="102"/>
        <v>4.2170109288720914</v>
      </c>
      <c r="W218" s="72">
        <f t="shared" si="103"/>
        <v>1.6712393074734566</v>
      </c>
      <c r="X218" s="72">
        <f t="shared" si="104"/>
        <v>2.9441251181727739</v>
      </c>
      <c r="Y218" s="72">
        <f t="shared" si="105"/>
        <v>0.71988861713317309</v>
      </c>
      <c r="Z218" s="72">
        <f t="shared" si="106"/>
        <v>3.8557764635098803</v>
      </c>
      <c r="AA218" s="72">
        <f t="shared" si="107"/>
        <v>19.244223536490122</v>
      </c>
      <c r="AB218" s="72">
        <f t="shared" si="108"/>
        <v>3.1677777175068473</v>
      </c>
      <c r="AC218" s="72">
        <f t="shared" si="109"/>
        <v>0.18868182684282603</v>
      </c>
      <c r="AD218" s="73">
        <f t="shared" si="110"/>
        <v>1206.0988078320233</v>
      </c>
      <c r="AE218" s="71">
        <f t="shared" si="111"/>
        <v>193.25470065891747</v>
      </c>
      <c r="AF218" s="74">
        <f t="shared" si="112"/>
        <v>5.8639999173037172</v>
      </c>
      <c r="AG218" s="75">
        <f t="shared" si="113"/>
        <v>3.2588529416216772</v>
      </c>
      <c r="AH218" s="76">
        <f t="shared" si="114"/>
        <v>4.3012267184041919</v>
      </c>
      <c r="AI218" s="77">
        <f t="shared" si="115"/>
        <v>5.8672184638494684</v>
      </c>
    </row>
    <row r="219" spans="1:35" ht="15.75" customHeight="1" x14ac:dyDescent="0.45">
      <c r="A219" s="59">
        <f t="shared" si="91"/>
        <v>45963</v>
      </c>
      <c r="B219" s="60">
        <v>2025</v>
      </c>
      <c r="C219" s="60">
        <v>11</v>
      </c>
      <c r="D219" s="60">
        <v>2</v>
      </c>
      <c r="E219" s="61">
        <v>306</v>
      </c>
      <c r="F219" s="62">
        <v>35</v>
      </c>
      <c r="G219" s="62">
        <v>15</v>
      </c>
      <c r="H219" s="70">
        <f t="shared" si="92"/>
        <v>25</v>
      </c>
      <c r="I219" s="62">
        <v>98</v>
      </c>
      <c r="J219" s="62">
        <v>75</v>
      </c>
      <c r="K219" s="62">
        <v>1</v>
      </c>
      <c r="L219" s="62">
        <v>30</v>
      </c>
      <c r="M219" s="71">
        <f t="shared" si="93"/>
        <v>-15.741139762713226</v>
      </c>
      <c r="N219" s="72">
        <f t="shared" si="94"/>
        <v>-0.27473535932522153</v>
      </c>
      <c r="O219" s="72">
        <f t="shared" si="95"/>
        <v>1.3416864646229125</v>
      </c>
      <c r="P219" s="72">
        <f t="shared" si="96"/>
        <v>1.0173939098242832</v>
      </c>
      <c r="Q219" s="71">
        <f t="shared" si="97"/>
        <v>19.083047520719269</v>
      </c>
      <c r="R219" s="72">
        <f t="shared" si="98"/>
        <v>1</v>
      </c>
      <c r="S219" s="71">
        <f t="shared" si="99"/>
        <v>10.249705612092532</v>
      </c>
      <c r="T219" s="72">
        <f t="shared" si="100"/>
        <v>5.6226812384961216</v>
      </c>
      <c r="U219" s="72">
        <f t="shared" si="101"/>
        <v>1.7053462321157722</v>
      </c>
      <c r="V219" s="72">
        <f t="shared" si="102"/>
        <v>4.2170109288720914</v>
      </c>
      <c r="W219" s="72">
        <f t="shared" si="103"/>
        <v>1.6712393074734566</v>
      </c>
      <c r="X219" s="72">
        <f t="shared" si="104"/>
        <v>2.9441251181727739</v>
      </c>
      <c r="Y219" s="72">
        <f t="shared" si="105"/>
        <v>0.71988861713317309</v>
      </c>
      <c r="Z219" s="72">
        <f t="shared" si="106"/>
        <v>3.8557764635098803</v>
      </c>
      <c r="AA219" s="72">
        <f t="shared" si="107"/>
        <v>19.244223536490122</v>
      </c>
      <c r="AB219" s="72">
        <f t="shared" si="108"/>
        <v>3.1677777175068473</v>
      </c>
      <c r="AC219" s="72">
        <f t="shared" si="109"/>
        <v>0.18868182684282603</v>
      </c>
      <c r="AD219" s="73">
        <f t="shared" si="110"/>
        <v>1206.0988078320233</v>
      </c>
      <c r="AE219" s="71">
        <f t="shared" si="111"/>
        <v>193.25470065891747</v>
      </c>
      <c r="AF219" s="74">
        <f t="shared" si="112"/>
        <v>5.8639999173037172</v>
      </c>
      <c r="AG219" s="75">
        <f t="shared" si="113"/>
        <v>3.2260088837521761</v>
      </c>
      <c r="AH219" s="76">
        <f t="shared" si="114"/>
        <v>4.3012267184041919</v>
      </c>
      <c r="AI219" s="77">
        <f t="shared" si="115"/>
        <v>5.8672184638494684</v>
      </c>
    </row>
    <row r="220" spans="1:35" ht="15.75" customHeight="1" x14ac:dyDescent="0.45">
      <c r="A220" s="59">
        <f t="shared" si="91"/>
        <v>45964</v>
      </c>
      <c r="B220" s="60">
        <v>2025</v>
      </c>
      <c r="C220" s="60">
        <v>11</v>
      </c>
      <c r="D220" s="60">
        <v>3</v>
      </c>
      <c r="E220" s="61">
        <v>307</v>
      </c>
      <c r="F220" s="62">
        <v>35</v>
      </c>
      <c r="G220" s="62">
        <v>15</v>
      </c>
      <c r="H220" s="70">
        <f t="shared" si="92"/>
        <v>25</v>
      </c>
      <c r="I220" s="62">
        <v>98</v>
      </c>
      <c r="J220" s="62">
        <v>75</v>
      </c>
      <c r="K220" s="62">
        <v>1</v>
      </c>
      <c r="L220" s="62">
        <v>30</v>
      </c>
      <c r="M220" s="71">
        <f t="shared" si="93"/>
        <v>-16.038003408069635</v>
      </c>
      <c r="N220" s="72">
        <f t="shared" si="94"/>
        <v>-0.27991661948217533</v>
      </c>
      <c r="O220" s="72">
        <f t="shared" si="95"/>
        <v>1.3370497451660106</v>
      </c>
      <c r="P220" s="72">
        <f t="shared" si="96"/>
        <v>1.0178740608982029</v>
      </c>
      <c r="Q220" s="71">
        <f t="shared" si="97"/>
        <v>18.89170519667918</v>
      </c>
      <c r="R220" s="72">
        <f t="shared" si="98"/>
        <v>1</v>
      </c>
      <c r="S220" s="71">
        <f t="shared" si="99"/>
        <v>10.214283767501989</v>
      </c>
      <c r="T220" s="72">
        <f t="shared" si="100"/>
        <v>5.6226812384961216</v>
      </c>
      <c r="U220" s="72">
        <f t="shared" si="101"/>
        <v>1.7053462321157722</v>
      </c>
      <c r="V220" s="72">
        <f t="shared" si="102"/>
        <v>4.2170109288720914</v>
      </c>
      <c r="W220" s="72">
        <f t="shared" si="103"/>
        <v>1.6712393074734566</v>
      </c>
      <c r="X220" s="72">
        <f t="shared" si="104"/>
        <v>2.9441251181727739</v>
      </c>
      <c r="Y220" s="72">
        <f t="shared" si="105"/>
        <v>0.71988861713317309</v>
      </c>
      <c r="Z220" s="72">
        <f t="shared" si="106"/>
        <v>3.8557764635098803</v>
      </c>
      <c r="AA220" s="72">
        <f t="shared" si="107"/>
        <v>19.244223536490122</v>
      </c>
      <c r="AB220" s="72">
        <f t="shared" si="108"/>
        <v>3.1677777175068473</v>
      </c>
      <c r="AC220" s="72">
        <f t="shared" si="109"/>
        <v>0.18868182684282603</v>
      </c>
      <c r="AD220" s="73">
        <f t="shared" si="110"/>
        <v>1206.0988078320233</v>
      </c>
      <c r="AE220" s="71">
        <f t="shared" si="111"/>
        <v>193.25470065891747</v>
      </c>
      <c r="AF220" s="74">
        <f t="shared" si="112"/>
        <v>5.8639999173037172</v>
      </c>
      <c r="AG220" s="75">
        <f t="shared" si="113"/>
        <v>3.1936622663410463</v>
      </c>
      <c r="AH220" s="76">
        <f t="shared" si="114"/>
        <v>4.3012267184041919</v>
      </c>
      <c r="AI220" s="77">
        <f t="shared" si="115"/>
        <v>5.8672184638494684</v>
      </c>
    </row>
    <row r="221" spans="1:35" ht="15.75" customHeight="1" x14ac:dyDescent="0.45">
      <c r="A221" s="59">
        <f t="shared" si="91"/>
        <v>45965</v>
      </c>
      <c r="B221" s="60">
        <v>2025</v>
      </c>
      <c r="C221" s="60">
        <v>11</v>
      </c>
      <c r="D221" s="60">
        <v>4</v>
      </c>
      <c r="E221" s="61">
        <v>308</v>
      </c>
      <c r="F221" s="62">
        <v>35</v>
      </c>
      <c r="G221" s="62">
        <v>15</v>
      </c>
      <c r="H221" s="70">
        <f t="shared" si="92"/>
        <v>25</v>
      </c>
      <c r="I221" s="62">
        <v>98</v>
      </c>
      <c r="J221" s="62">
        <v>75</v>
      </c>
      <c r="K221" s="62">
        <v>1</v>
      </c>
      <c r="L221" s="62">
        <v>30</v>
      </c>
      <c r="M221" s="71">
        <f t="shared" si="93"/>
        <v>-16.330114624661906</v>
      </c>
      <c r="N221" s="72">
        <f t="shared" si="94"/>
        <v>-0.28501493391576577</v>
      </c>
      <c r="O221" s="72">
        <f t="shared" si="95"/>
        <v>1.3324687292924358</v>
      </c>
      <c r="P221" s="72">
        <f t="shared" si="96"/>
        <v>1.0183489154773542</v>
      </c>
      <c r="Q221" s="71">
        <f t="shared" si="97"/>
        <v>18.703374362450297</v>
      </c>
      <c r="R221" s="72">
        <f t="shared" si="98"/>
        <v>1</v>
      </c>
      <c r="S221" s="71">
        <f t="shared" si="99"/>
        <v>10.179287465946798</v>
      </c>
      <c r="T221" s="72">
        <f t="shared" si="100"/>
        <v>5.6226812384961216</v>
      </c>
      <c r="U221" s="72">
        <f t="shared" si="101"/>
        <v>1.7053462321157722</v>
      </c>
      <c r="V221" s="72">
        <f t="shared" si="102"/>
        <v>4.2170109288720914</v>
      </c>
      <c r="W221" s="72">
        <f t="shared" si="103"/>
        <v>1.6712393074734566</v>
      </c>
      <c r="X221" s="72">
        <f t="shared" si="104"/>
        <v>2.9441251181727739</v>
      </c>
      <c r="Y221" s="72">
        <f t="shared" si="105"/>
        <v>0.71988861713317309</v>
      </c>
      <c r="Z221" s="72">
        <f t="shared" si="106"/>
        <v>3.8557764635098803</v>
      </c>
      <c r="AA221" s="72">
        <f t="shared" si="107"/>
        <v>19.244223536490122</v>
      </c>
      <c r="AB221" s="72">
        <f t="shared" si="108"/>
        <v>3.1677777175068473</v>
      </c>
      <c r="AC221" s="72">
        <f t="shared" si="109"/>
        <v>0.18868182684282603</v>
      </c>
      <c r="AD221" s="73">
        <f t="shared" si="110"/>
        <v>1206.0988078320233</v>
      </c>
      <c r="AE221" s="71">
        <f t="shared" si="111"/>
        <v>193.25470065891747</v>
      </c>
      <c r="AF221" s="74">
        <f t="shared" si="112"/>
        <v>5.8639999173037172</v>
      </c>
      <c r="AG221" s="75">
        <f t="shared" si="113"/>
        <v>3.1618247443914114</v>
      </c>
      <c r="AH221" s="76">
        <f t="shared" si="114"/>
        <v>4.3012267184041919</v>
      </c>
      <c r="AI221" s="77">
        <f t="shared" si="115"/>
        <v>5.8672184638494684</v>
      </c>
    </row>
    <row r="222" spans="1:35" ht="15.75" customHeight="1" x14ac:dyDescent="0.45">
      <c r="A222" s="59">
        <f t="shared" si="91"/>
        <v>45966</v>
      </c>
      <c r="B222" s="60">
        <v>2025</v>
      </c>
      <c r="C222" s="60">
        <v>11</v>
      </c>
      <c r="D222" s="60">
        <v>5</v>
      </c>
      <c r="E222" s="61">
        <v>309</v>
      </c>
      <c r="F222" s="62">
        <v>35</v>
      </c>
      <c r="G222" s="62">
        <v>15</v>
      </c>
      <c r="H222" s="70">
        <f t="shared" si="92"/>
        <v>25</v>
      </c>
      <c r="I222" s="62">
        <v>98</v>
      </c>
      <c r="J222" s="62">
        <v>75</v>
      </c>
      <c r="K222" s="62">
        <v>1</v>
      </c>
      <c r="L222" s="62">
        <v>30</v>
      </c>
      <c r="M222" s="71">
        <f t="shared" si="93"/>
        <v>-16.617386853227469</v>
      </c>
      <c r="N222" s="72">
        <f t="shared" si="94"/>
        <v>-0.29002879187833008</v>
      </c>
      <c r="O222" s="72">
        <f t="shared" si="95"/>
        <v>1.3279452347813951</v>
      </c>
      <c r="P222" s="72">
        <f t="shared" si="96"/>
        <v>1.0188183328514193</v>
      </c>
      <c r="Q222" s="71">
        <f t="shared" si="97"/>
        <v>18.518122389173516</v>
      </c>
      <c r="R222" s="72">
        <f t="shared" si="98"/>
        <v>1</v>
      </c>
      <c r="S222" s="71">
        <f t="shared" si="99"/>
        <v>10.144730594204701</v>
      </c>
      <c r="T222" s="72">
        <f t="shared" si="100"/>
        <v>5.6226812384961216</v>
      </c>
      <c r="U222" s="72">
        <f t="shared" si="101"/>
        <v>1.7053462321157722</v>
      </c>
      <c r="V222" s="72">
        <f t="shared" si="102"/>
        <v>4.2170109288720914</v>
      </c>
      <c r="W222" s="72">
        <f t="shared" si="103"/>
        <v>1.6712393074734566</v>
      </c>
      <c r="X222" s="72">
        <f t="shared" si="104"/>
        <v>2.9441251181727739</v>
      </c>
      <c r="Y222" s="72">
        <f t="shared" si="105"/>
        <v>0.71988861713317309</v>
      </c>
      <c r="Z222" s="72">
        <f t="shared" si="106"/>
        <v>3.8557764635098803</v>
      </c>
      <c r="AA222" s="72">
        <f t="shared" si="107"/>
        <v>19.244223536490122</v>
      </c>
      <c r="AB222" s="72">
        <f t="shared" si="108"/>
        <v>3.1677777175068473</v>
      </c>
      <c r="AC222" s="72">
        <f t="shared" si="109"/>
        <v>0.18868182684282603</v>
      </c>
      <c r="AD222" s="73">
        <f t="shared" si="110"/>
        <v>1206.0988078320233</v>
      </c>
      <c r="AE222" s="71">
        <f t="shared" si="111"/>
        <v>193.25470065891747</v>
      </c>
      <c r="AF222" s="74">
        <f t="shared" si="112"/>
        <v>5.8639999173037172</v>
      </c>
      <c r="AG222" s="75">
        <f t="shared" si="113"/>
        <v>3.1305077070641891</v>
      </c>
      <c r="AH222" s="76">
        <f t="shared" si="114"/>
        <v>4.3012267184041919</v>
      </c>
      <c r="AI222" s="77">
        <f t="shared" si="115"/>
        <v>5.8672184638494684</v>
      </c>
    </row>
    <row r="223" spans="1:35" ht="15.75" customHeight="1" x14ac:dyDescent="0.45">
      <c r="A223" s="59">
        <f t="shared" si="91"/>
        <v>45967</v>
      </c>
      <c r="B223" s="60">
        <v>2025</v>
      </c>
      <c r="C223" s="60">
        <v>11</v>
      </c>
      <c r="D223" s="60">
        <v>6</v>
      </c>
      <c r="E223" s="61">
        <v>310</v>
      </c>
      <c r="F223" s="62">
        <v>35</v>
      </c>
      <c r="G223" s="62">
        <v>15</v>
      </c>
      <c r="H223" s="70">
        <f t="shared" si="92"/>
        <v>25</v>
      </c>
      <c r="I223" s="62">
        <v>98</v>
      </c>
      <c r="J223" s="62">
        <v>75</v>
      </c>
      <c r="K223" s="62">
        <v>1</v>
      </c>
      <c r="L223" s="62">
        <v>30</v>
      </c>
      <c r="M223" s="71">
        <f t="shared" si="93"/>
        <v>-16.899734968407056</v>
      </c>
      <c r="N223" s="72">
        <f t="shared" si="94"/>
        <v>-0.29495670764859783</v>
      </c>
      <c r="O223" s="72">
        <f t="shared" si="95"/>
        <v>1.3234811007157119</v>
      </c>
      <c r="P223" s="72">
        <f t="shared" si="96"/>
        <v>1.0192821739212485</v>
      </c>
      <c r="Q223" s="71">
        <f t="shared" si="97"/>
        <v>18.33601504939449</v>
      </c>
      <c r="R223" s="72">
        <f t="shared" si="98"/>
        <v>1</v>
      </c>
      <c r="S223" s="71">
        <f t="shared" si="99"/>
        <v>10.110627201800702</v>
      </c>
      <c r="T223" s="72">
        <f t="shared" si="100"/>
        <v>5.6226812384961216</v>
      </c>
      <c r="U223" s="72">
        <f t="shared" si="101"/>
        <v>1.7053462321157722</v>
      </c>
      <c r="V223" s="72">
        <f t="shared" si="102"/>
        <v>4.2170109288720914</v>
      </c>
      <c r="W223" s="72">
        <f t="shared" si="103"/>
        <v>1.6712393074734566</v>
      </c>
      <c r="X223" s="72">
        <f t="shared" si="104"/>
        <v>2.9441251181727739</v>
      </c>
      <c r="Y223" s="72">
        <f t="shared" si="105"/>
        <v>0.71988861713317309</v>
      </c>
      <c r="Z223" s="72">
        <f t="shared" si="106"/>
        <v>3.8557764635098803</v>
      </c>
      <c r="AA223" s="72">
        <f t="shared" si="107"/>
        <v>19.244223536490122</v>
      </c>
      <c r="AB223" s="72">
        <f t="shared" si="108"/>
        <v>3.1677777175068473</v>
      </c>
      <c r="AC223" s="72">
        <f t="shared" si="109"/>
        <v>0.18868182684282603</v>
      </c>
      <c r="AD223" s="73">
        <f t="shared" si="110"/>
        <v>1206.0988078320233</v>
      </c>
      <c r="AE223" s="71">
        <f t="shared" si="111"/>
        <v>193.25470065891747</v>
      </c>
      <c r="AF223" s="74">
        <f t="shared" si="112"/>
        <v>5.8639999173037172</v>
      </c>
      <c r="AG223" s="75">
        <f t="shared" si="113"/>
        <v>3.0997222732761229</v>
      </c>
      <c r="AH223" s="76">
        <f t="shared" si="114"/>
        <v>4.3012267184041919</v>
      </c>
      <c r="AI223" s="77">
        <f t="shared" si="115"/>
        <v>5.8672184638494684</v>
      </c>
    </row>
    <row r="224" spans="1:35" ht="15.75" customHeight="1" x14ac:dyDescent="0.45">
      <c r="A224" s="59">
        <f t="shared" si="91"/>
        <v>45968</v>
      </c>
      <c r="B224" s="60">
        <v>2025</v>
      </c>
      <c r="C224" s="60">
        <v>11</v>
      </c>
      <c r="D224" s="60">
        <v>7</v>
      </c>
      <c r="E224" s="61">
        <v>311</v>
      </c>
      <c r="F224" s="62">
        <v>35</v>
      </c>
      <c r="G224" s="62">
        <v>15</v>
      </c>
      <c r="H224" s="70">
        <f t="shared" si="92"/>
        <v>25</v>
      </c>
      <c r="I224" s="62">
        <v>98</v>
      </c>
      <c r="J224" s="62">
        <v>75</v>
      </c>
      <c r="K224" s="62">
        <v>1</v>
      </c>
      <c r="L224" s="62">
        <v>30</v>
      </c>
      <c r="M224" s="71">
        <f t="shared" si="93"/>
        <v>-17.177075303969271</v>
      </c>
      <c r="N224" s="72">
        <f t="shared" si="94"/>
        <v>-0.29979722097194367</v>
      </c>
      <c r="O224" s="72">
        <f t="shared" si="95"/>
        <v>1.3190781861025431</v>
      </c>
      <c r="P224" s="72">
        <f t="shared" si="96"/>
        <v>1.0197403012400799</v>
      </c>
      <c r="Q224" s="71">
        <f t="shared" si="97"/>
        <v>18.157116493987509</v>
      </c>
      <c r="R224" s="72">
        <f t="shared" si="98"/>
        <v>1</v>
      </c>
      <c r="S224" s="71">
        <f t="shared" si="99"/>
        <v>10.076991490470153</v>
      </c>
      <c r="T224" s="72">
        <f t="shared" si="100"/>
        <v>5.6226812384961216</v>
      </c>
      <c r="U224" s="72">
        <f t="shared" si="101"/>
        <v>1.7053462321157722</v>
      </c>
      <c r="V224" s="72">
        <f t="shared" si="102"/>
        <v>4.2170109288720914</v>
      </c>
      <c r="W224" s="72">
        <f t="shared" si="103"/>
        <v>1.6712393074734566</v>
      </c>
      <c r="X224" s="72">
        <f t="shared" si="104"/>
        <v>2.9441251181727739</v>
      </c>
      <c r="Y224" s="72">
        <f t="shared" si="105"/>
        <v>0.71988861713317309</v>
      </c>
      <c r="Z224" s="72">
        <f t="shared" si="106"/>
        <v>3.8557764635098803</v>
      </c>
      <c r="AA224" s="72">
        <f t="shared" si="107"/>
        <v>19.244223536490122</v>
      </c>
      <c r="AB224" s="72">
        <f t="shared" si="108"/>
        <v>3.1677777175068473</v>
      </c>
      <c r="AC224" s="72">
        <f t="shared" si="109"/>
        <v>0.18868182684282603</v>
      </c>
      <c r="AD224" s="73">
        <f t="shared" si="110"/>
        <v>1206.0988078320233</v>
      </c>
      <c r="AE224" s="71">
        <f t="shared" si="111"/>
        <v>193.25470065891747</v>
      </c>
      <c r="AF224" s="74">
        <f t="shared" si="112"/>
        <v>5.8639999173037172</v>
      </c>
      <c r="AG224" s="75">
        <f t="shared" si="113"/>
        <v>3.0694792877987385</v>
      </c>
      <c r="AH224" s="76">
        <f t="shared" si="114"/>
        <v>4.3012267184041919</v>
      </c>
      <c r="AI224" s="77">
        <f t="shared" si="115"/>
        <v>5.8672184638494684</v>
      </c>
    </row>
    <row r="225" spans="1:35" ht="15.75" customHeight="1" x14ac:dyDescent="0.45">
      <c r="A225" s="59">
        <f t="shared" si="91"/>
        <v>45969</v>
      </c>
      <c r="B225" s="60">
        <v>2025</v>
      </c>
      <c r="C225" s="60">
        <v>11</v>
      </c>
      <c r="D225" s="60">
        <v>8</v>
      </c>
      <c r="E225" s="61">
        <v>312</v>
      </c>
      <c r="F225" s="62">
        <v>35</v>
      </c>
      <c r="G225" s="62">
        <v>15</v>
      </c>
      <c r="H225" s="70">
        <f t="shared" si="92"/>
        <v>25</v>
      </c>
      <c r="I225" s="62">
        <v>98</v>
      </c>
      <c r="J225" s="62">
        <v>75</v>
      </c>
      <c r="K225" s="62">
        <v>1</v>
      </c>
      <c r="L225" s="62">
        <v>30</v>
      </c>
      <c r="M225" s="71">
        <f t="shared" si="93"/>
        <v>-17.449325677602861</v>
      </c>
      <c r="N225" s="72">
        <f t="shared" si="94"/>
        <v>-0.30454889749309522</v>
      </c>
      <c r="O225" s="72">
        <f t="shared" si="95"/>
        <v>1.3147383683660452</v>
      </c>
      <c r="P225" s="72">
        <f t="shared" si="96"/>
        <v>1.0201925790542665</v>
      </c>
      <c r="Q225" s="71">
        <f t="shared" si="97"/>
        <v>17.981489232048691</v>
      </c>
      <c r="R225" s="72">
        <f t="shared" si="98"/>
        <v>1</v>
      </c>
      <c r="S225" s="71">
        <f t="shared" si="99"/>
        <v>10.043837802643584</v>
      </c>
      <c r="T225" s="72">
        <f t="shared" si="100"/>
        <v>5.6226812384961216</v>
      </c>
      <c r="U225" s="72">
        <f t="shared" si="101"/>
        <v>1.7053462321157722</v>
      </c>
      <c r="V225" s="72">
        <f t="shared" si="102"/>
        <v>4.2170109288720914</v>
      </c>
      <c r="W225" s="72">
        <f t="shared" si="103"/>
        <v>1.6712393074734566</v>
      </c>
      <c r="X225" s="72">
        <f t="shared" si="104"/>
        <v>2.9441251181727739</v>
      </c>
      <c r="Y225" s="72">
        <f t="shared" si="105"/>
        <v>0.71988861713317309</v>
      </c>
      <c r="Z225" s="72">
        <f t="shared" si="106"/>
        <v>3.8557764635098803</v>
      </c>
      <c r="AA225" s="72">
        <f t="shared" si="107"/>
        <v>19.244223536490122</v>
      </c>
      <c r="AB225" s="72">
        <f t="shared" si="108"/>
        <v>3.1677777175068473</v>
      </c>
      <c r="AC225" s="72">
        <f t="shared" si="109"/>
        <v>0.18868182684282603</v>
      </c>
      <c r="AD225" s="73">
        <f t="shared" si="110"/>
        <v>1206.0988078320233</v>
      </c>
      <c r="AE225" s="71">
        <f t="shared" si="111"/>
        <v>193.25470065891747</v>
      </c>
      <c r="AF225" s="74">
        <f t="shared" si="112"/>
        <v>5.8639999173037172</v>
      </c>
      <c r="AG225" s="75">
        <f t="shared" si="113"/>
        <v>3.0397893178592654</v>
      </c>
      <c r="AH225" s="76">
        <f t="shared" si="114"/>
        <v>4.3012267184041919</v>
      </c>
      <c r="AI225" s="77">
        <f t="shared" si="115"/>
        <v>5.8672184638494684</v>
      </c>
    </row>
    <row r="226" spans="1:35" ht="15.75" customHeight="1" x14ac:dyDescent="0.45">
      <c r="A226" s="59">
        <f t="shared" si="91"/>
        <v>45970</v>
      </c>
      <c r="B226" s="60">
        <v>2025</v>
      </c>
      <c r="C226" s="60">
        <v>11</v>
      </c>
      <c r="D226" s="60">
        <v>9</v>
      </c>
      <c r="E226" s="61">
        <v>313</v>
      </c>
      <c r="F226" s="62">
        <v>35</v>
      </c>
      <c r="G226" s="62">
        <v>15</v>
      </c>
      <c r="H226" s="70">
        <f t="shared" si="92"/>
        <v>25</v>
      </c>
      <c r="I226" s="62">
        <v>98</v>
      </c>
      <c r="J226" s="62">
        <v>75</v>
      </c>
      <c r="K226" s="62">
        <v>1</v>
      </c>
      <c r="L226" s="62">
        <v>30</v>
      </c>
      <c r="M226" s="71">
        <f t="shared" si="93"/>
        <v>-17.716405415269172</v>
      </c>
      <c r="N226" s="72">
        <f t="shared" si="94"/>
        <v>-0.30921032918116464</v>
      </c>
      <c r="O226" s="72">
        <f t="shared" si="95"/>
        <v>1.3104635417110062</v>
      </c>
      <c r="P226" s="72">
        <f t="shared" si="96"/>
        <v>1.0206388733435046</v>
      </c>
      <c r="Q226" s="71">
        <f t="shared" si="97"/>
        <v>17.809194113755737</v>
      </c>
      <c r="R226" s="72">
        <f t="shared" si="98"/>
        <v>1</v>
      </c>
      <c r="S226" s="71">
        <f t="shared" si="99"/>
        <v>10.011180608945807</v>
      </c>
      <c r="T226" s="72">
        <f t="shared" si="100"/>
        <v>5.6226812384961216</v>
      </c>
      <c r="U226" s="72">
        <f t="shared" si="101"/>
        <v>1.7053462321157722</v>
      </c>
      <c r="V226" s="72">
        <f t="shared" si="102"/>
        <v>4.2170109288720914</v>
      </c>
      <c r="W226" s="72">
        <f t="shared" si="103"/>
        <v>1.6712393074734566</v>
      </c>
      <c r="X226" s="72">
        <f t="shared" si="104"/>
        <v>2.9441251181727739</v>
      </c>
      <c r="Y226" s="72">
        <f t="shared" si="105"/>
        <v>0.71988861713317309</v>
      </c>
      <c r="Z226" s="72">
        <f t="shared" si="106"/>
        <v>3.8557764635098803</v>
      </c>
      <c r="AA226" s="72">
        <f t="shared" si="107"/>
        <v>19.244223536490122</v>
      </c>
      <c r="AB226" s="72">
        <f t="shared" si="108"/>
        <v>3.1677777175068473</v>
      </c>
      <c r="AC226" s="72">
        <f t="shared" si="109"/>
        <v>0.18868182684282603</v>
      </c>
      <c r="AD226" s="73">
        <f t="shared" si="110"/>
        <v>1206.0988078320233</v>
      </c>
      <c r="AE226" s="71">
        <f t="shared" si="111"/>
        <v>193.25470065891747</v>
      </c>
      <c r="AF226" s="74">
        <f t="shared" si="112"/>
        <v>5.8639999173037172</v>
      </c>
      <c r="AG226" s="75">
        <f t="shared" si="113"/>
        <v>3.010662650243062</v>
      </c>
      <c r="AH226" s="76">
        <f t="shared" si="114"/>
        <v>4.3012267184041919</v>
      </c>
      <c r="AI226" s="77">
        <f t="shared" si="115"/>
        <v>5.8672184638494684</v>
      </c>
    </row>
    <row r="227" spans="1:35" ht="15.75" customHeight="1" x14ac:dyDescent="0.45">
      <c r="A227" s="59">
        <f t="shared" si="91"/>
        <v>45971</v>
      </c>
      <c r="B227" s="60">
        <v>2025</v>
      </c>
      <c r="C227" s="60">
        <v>11</v>
      </c>
      <c r="D227" s="60">
        <v>10</v>
      </c>
      <c r="E227" s="61">
        <v>314</v>
      </c>
      <c r="F227" s="62">
        <v>35</v>
      </c>
      <c r="G227" s="62">
        <v>15</v>
      </c>
      <c r="H227" s="70">
        <f t="shared" si="92"/>
        <v>25</v>
      </c>
      <c r="I227" s="62">
        <v>98</v>
      </c>
      <c r="J227" s="62">
        <v>75</v>
      </c>
      <c r="K227" s="62">
        <v>1</v>
      </c>
      <c r="L227" s="62">
        <v>30</v>
      </c>
      <c r="M227" s="71">
        <f t="shared" si="93"/>
        <v>-17.978235375107761</v>
      </c>
      <c r="N227" s="72">
        <f t="shared" si="94"/>
        <v>-0.31378013474688082</v>
      </c>
      <c r="O227" s="72">
        <f t="shared" si="95"/>
        <v>1.3062556153569187</v>
      </c>
      <c r="P227" s="72">
        <f t="shared" si="96"/>
        <v>1.0210790518605455</v>
      </c>
      <c r="Q227" s="71">
        <f t="shared" si="97"/>
        <v>17.640290316180767</v>
      </c>
      <c r="R227" s="72">
        <f t="shared" si="98"/>
        <v>1</v>
      </c>
      <c r="S227" s="71">
        <f t="shared" si="99"/>
        <v>9.979034494705262</v>
      </c>
      <c r="T227" s="72">
        <f t="shared" si="100"/>
        <v>5.6226812384961216</v>
      </c>
      <c r="U227" s="72">
        <f t="shared" si="101"/>
        <v>1.7053462321157722</v>
      </c>
      <c r="V227" s="72">
        <f t="shared" si="102"/>
        <v>4.2170109288720914</v>
      </c>
      <c r="W227" s="72">
        <f t="shared" si="103"/>
        <v>1.6712393074734566</v>
      </c>
      <c r="X227" s="72">
        <f t="shared" si="104"/>
        <v>2.9441251181727739</v>
      </c>
      <c r="Y227" s="72">
        <f t="shared" si="105"/>
        <v>0.71988861713317309</v>
      </c>
      <c r="Z227" s="72">
        <f t="shared" si="106"/>
        <v>3.8557764635098803</v>
      </c>
      <c r="AA227" s="72">
        <f t="shared" si="107"/>
        <v>19.244223536490122</v>
      </c>
      <c r="AB227" s="72">
        <f t="shared" si="108"/>
        <v>3.1677777175068473</v>
      </c>
      <c r="AC227" s="72">
        <f t="shared" si="109"/>
        <v>0.18868182684282603</v>
      </c>
      <c r="AD227" s="73">
        <f t="shared" si="110"/>
        <v>1206.0988078320233</v>
      </c>
      <c r="AE227" s="71">
        <f t="shared" si="111"/>
        <v>193.25470065891747</v>
      </c>
      <c r="AF227" s="74">
        <f t="shared" si="112"/>
        <v>5.8639999173037172</v>
      </c>
      <c r="AG227" s="75">
        <f t="shared" si="113"/>
        <v>2.9821092888952623</v>
      </c>
      <c r="AH227" s="76">
        <f t="shared" si="114"/>
        <v>4.3012267184041919</v>
      </c>
      <c r="AI227" s="77">
        <f t="shared" si="115"/>
        <v>5.8672184638494684</v>
      </c>
    </row>
    <row r="228" spans="1:35" ht="15.75" customHeight="1" x14ac:dyDescent="0.45">
      <c r="A228" s="59">
        <f t="shared" si="91"/>
        <v>45972</v>
      </c>
      <c r="B228" s="60">
        <v>2025</v>
      </c>
      <c r="C228" s="60">
        <v>11</v>
      </c>
      <c r="D228" s="60">
        <v>11</v>
      </c>
      <c r="E228" s="61">
        <v>315</v>
      </c>
      <c r="F228" s="62">
        <v>35</v>
      </c>
      <c r="G228" s="62">
        <v>15</v>
      </c>
      <c r="H228" s="70">
        <f t="shared" si="92"/>
        <v>25</v>
      </c>
      <c r="I228" s="62">
        <v>98</v>
      </c>
      <c r="J228" s="62">
        <v>75</v>
      </c>
      <c r="K228" s="62">
        <v>1</v>
      </c>
      <c r="L228" s="62">
        <v>30</v>
      </c>
      <c r="M228" s="71">
        <f t="shared" si="93"/>
        <v>-18.234737970887924</v>
      </c>
      <c r="N228" s="72">
        <f t="shared" si="94"/>
        <v>-0.31825696005189719</v>
      </c>
      <c r="O228" s="72">
        <f t="shared" si="95"/>
        <v>1.3021165116424689</v>
      </c>
      <c r="P228" s="72">
        <f t="shared" si="96"/>
        <v>1.0215129841703854</v>
      </c>
      <c r="Q228" s="71">
        <f t="shared" si="97"/>
        <v>17.474835332033404</v>
      </c>
      <c r="R228" s="72">
        <f t="shared" si="98"/>
        <v>1</v>
      </c>
      <c r="S228" s="71">
        <f t="shared" si="99"/>
        <v>9.9474141454734077</v>
      </c>
      <c r="T228" s="72">
        <f t="shared" si="100"/>
        <v>5.6226812384961216</v>
      </c>
      <c r="U228" s="72">
        <f t="shared" si="101"/>
        <v>1.7053462321157722</v>
      </c>
      <c r="V228" s="72">
        <f t="shared" si="102"/>
        <v>4.2170109288720914</v>
      </c>
      <c r="W228" s="72">
        <f t="shared" si="103"/>
        <v>1.6712393074734566</v>
      </c>
      <c r="X228" s="72">
        <f t="shared" si="104"/>
        <v>2.9441251181727739</v>
      </c>
      <c r="Y228" s="72">
        <f t="shared" si="105"/>
        <v>0.71988861713317309</v>
      </c>
      <c r="Z228" s="72">
        <f t="shared" si="106"/>
        <v>3.8557764635098803</v>
      </c>
      <c r="AA228" s="72">
        <f t="shared" si="107"/>
        <v>19.244223536490122</v>
      </c>
      <c r="AB228" s="72">
        <f t="shared" si="108"/>
        <v>3.1677777175068473</v>
      </c>
      <c r="AC228" s="72">
        <f t="shared" si="109"/>
        <v>0.18868182684282603</v>
      </c>
      <c r="AD228" s="73">
        <f t="shared" si="110"/>
        <v>1206.0988078320233</v>
      </c>
      <c r="AE228" s="71">
        <f t="shared" si="111"/>
        <v>193.25470065891747</v>
      </c>
      <c r="AF228" s="74">
        <f t="shared" si="112"/>
        <v>5.8639999173037172</v>
      </c>
      <c r="AG228" s="75">
        <f t="shared" si="113"/>
        <v>2.9541389530177797</v>
      </c>
      <c r="AH228" s="76">
        <f t="shared" si="114"/>
        <v>4.3012267184041919</v>
      </c>
      <c r="AI228" s="77">
        <f t="shared" si="115"/>
        <v>5.8672184638494684</v>
      </c>
    </row>
    <row r="229" spans="1:35" ht="15.75" customHeight="1" x14ac:dyDescent="0.45">
      <c r="A229" s="59">
        <f t="shared" si="91"/>
        <v>45973</v>
      </c>
      <c r="B229" s="60">
        <v>2025</v>
      </c>
      <c r="C229" s="60">
        <v>11</v>
      </c>
      <c r="D229" s="60">
        <v>12</v>
      </c>
      <c r="E229" s="61">
        <v>316</v>
      </c>
      <c r="F229" s="62">
        <v>35</v>
      </c>
      <c r="G229" s="62">
        <v>15</v>
      </c>
      <c r="H229" s="70">
        <f t="shared" si="92"/>
        <v>25</v>
      </c>
      <c r="I229" s="62">
        <v>98</v>
      </c>
      <c r="J229" s="62">
        <v>75</v>
      </c>
      <c r="K229" s="62">
        <v>1</v>
      </c>
      <c r="L229" s="62">
        <v>30</v>
      </c>
      <c r="M229" s="71">
        <f t="shared" si="93"/>
        <v>-18.485837194999277</v>
      </c>
      <c r="N229" s="72">
        <f t="shared" si="94"/>
        <v>-0.32263947851005403</v>
      </c>
      <c r="O229" s="72">
        <f t="shared" si="95"/>
        <v>1.2980481640009411</v>
      </c>
      <c r="P229" s="72">
        <f t="shared" si="96"/>
        <v>1.0219405416889138</v>
      </c>
      <c r="Q229" s="71">
        <f t="shared" si="97"/>
        <v>17.312884961300643</v>
      </c>
      <c r="R229" s="72">
        <f t="shared" si="98"/>
        <v>1</v>
      </c>
      <c r="S229" s="71">
        <f t="shared" si="99"/>
        <v>9.9163343315579908</v>
      </c>
      <c r="T229" s="72">
        <f t="shared" si="100"/>
        <v>5.6226812384961216</v>
      </c>
      <c r="U229" s="72">
        <f t="shared" si="101"/>
        <v>1.7053462321157722</v>
      </c>
      <c r="V229" s="72">
        <f t="shared" si="102"/>
        <v>4.2170109288720914</v>
      </c>
      <c r="W229" s="72">
        <f t="shared" si="103"/>
        <v>1.6712393074734566</v>
      </c>
      <c r="X229" s="72">
        <f t="shared" si="104"/>
        <v>2.9441251181727739</v>
      </c>
      <c r="Y229" s="72">
        <f t="shared" si="105"/>
        <v>0.71988861713317309</v>
      </c>
      <c r="Z229" s="72">
        <f t="shared" si="106"/>
        <v>3.8557764635098803</v>
      </c>
      <c r="AA229" s="72">
        <f t="shared" si="107"/>
        <v>19.244223536490122</v>
      </c>
      <c r="AB229" s="72">
        <f t="shared" si="108"/>
        <v>3.1677777175068473</v>
      </c>
      <c r="AC229" s="72">
        <f t="shared" si="109"/>
        <v>0.18868182684282603</v>
      </c>
      <c r="AD229" s="73">
        <f t="shared" si="110"/>
        <v>1206.0988078320233</v>
      </c>
      <c r="AE229" s="71">
        <f t="shared" si="111"/>
        <v>193.25470065891747</v>
      </c>
      <c r="AF229" s="74">
        <f t="shared" si="112"/>
        <v>5.8639999173037172</v>
      </c>
      <c r="AG229" s="75">
        <f t="shared" si="113"/>
        <v>2.9267610756560227</v>
      </c>
      <c r="AH229" s="76">
        <f t="shared" si="114"/>
        <v>4.3012267184041919</v>
      </c>
      <c r="AI229" s="77">
        <f t="shared" si="115"/>
        <v>5.8672184638494684</v>
      </c>
    </row>
    <row r="230" spans="1:35" ht="15.75" customHeight="1" x14ac:dyDescent="0.45">
      <c r="A230" s="59">
        <f t="shared" si="91"/>
        <v>45974</v>
      </c>
      <c r="B230" s="60">
        <v>2025</v>
      </c>
      <c r="C230" s="60">
        <v>11</v>
      </c>
      <c r="D230" s="60">
        <v>13</v>
      </c>
      <c r="E230" s="61">
        <v>317</v>
      </c>
      <c r="F230" s="62">
        <v>35</v>
      </c>
      <c r="G230" s="62">
        <v>15</v>
      </c>
      <c r="H230" s="70">
        <f t="shared" si="92"/>
        <v>25</v>
      </c>
      <c r="I230" s="62">
        <v>98</v>
      </c>
      <c r="J230" s="62">
        <v>75</v>
      </c>
      <c r="K230" s="62">
        <v>1</v>
      </c>
      <c r="L230" s="62">
        <v>30</v>
      </c>
      <c r="M230" s="71">
        <f t="shared" si="93"/>
        <v>-18.73145864097458</v>
      </c>
      <c r="N230" s="72">
        <f t="shared" si="94"/>
        <v>-0.32692639148047631</v>
      </c>
      <c r="O230" s="72">
        <f t="shared" si="95"/>
        <v>1.2940525148076105</v>
      </c>
      <c r="P230" s="72">
        <f t="shared" si="96"/>
        <v>1.0223615977210185</v>
      </c>
      <c r="Q230" s="71">
        <f t="shared" si="97"/>
        <v>17.15449330574026</v>
      </c>
      <c r="R230" s="72">
        <f t="shared" si="98"/>
        <v>1</v>
      </c>
      <c r="S230" s="71">
        <f t="shared" si="99"/>
        <v>9.8858098915783845</v>
      </c>
      <c r="T230" s="72">
        <f t="shared" si="100"/>
        <v>5.6226812384961216</v>
      </c>
      <c r="U230" s="72">
        <f t="shared" si="101"/>
        <v>1.7053462321157722</v>
      </c>
      <c r="V230" s="72">
        <f t="shared" si="102"/>
        <v>4.2170109288720914</v>
      </c>
      <c r="W230" s="72">
        <f t="shared" si="103"/>
        <v>1.6712393074734566</v>
      </c>
      <c r="X230" s="72">
        <f t="shared" si="104"/>
        <v>2.9441251181727739</v>
      </c>
      <c r="Y230" s="72">
        <f t="shared" si="105"/>
        <v>0.71988861713317309</v>
      </c>
      <c r="Z230" s="72">
        <f t="shared" si="106"/>
        <v>3.8557764635098803</v>
      </c>
      <c r="AA230" s="72">
        <f t="shared" si="107"/>
        <v>19.244223536490122</v>
      </c>
      <c r="AB230" s="72">
        <f t="shared" si="108"/>
        <v>3.1677777175068473</v>
      </c>
      <c r="AC230" s="72">
        <f t="shared" si="109"/>
        <v>0.18868182684282603</v>
      </c>
      <c r="AD230" s="73">
        <f t="shared" si="110"/>
        <v>1206.0988078320233</v>
      </c>
      <c r="AE230" s="71">
        <f t="shared" si="111"/>
        <v>193.25470065891747</v>
      </c>
      <c r="AF230" s="74">
        <f t="shared" si="112"/>
        <v>5.8639999173037172</v>
      </c>
      <c r="AG230" s="75">
        <f t="shared" si="113"/>
        <v>2.8999848027679933</v>
      </c>
      <c r="AH230" s="76">
        <f t="shared" si="114"/>
        <v>4.3012267184041919</v>
      </c>
      <c r="AI230" s="77">
        <f t="shared" si="115"/>
        <v>5.8672184638494684</v>
      </c>
    </row>
    <row r="231" spans="1:35" ht="15.75" customHeight="1" x14ac:dyDescent="0.45">
      <c r="A231" s="59">
        <f t="shared" si="91"/>
        <v>45975</v>
      </c>
      <c r="B231" s="60">
        <v>2025</v>
      </c>
      <c r="C231" s="60">
        <v>11</v>
      </c>
      <c r="D231" s="60">
        <v>14</v>
      </c>
      <c r="E231" s="61">
        <v>318</v>
      </c>
      <c r="F231" s="62">
        <v>35</v>
      </c>
      <c r="G231" s="62">
        <v>15</v>
      </c>
      <c r="H231" s="70">
        <f t="shared" si="92"/>
        <v>25</v>
      </c>
      <c r="I231" s="62">
        <v>98</v>
      </c>
      <c r="J231" s="62">
        <v>75</v>
      </c>
      <c r="K231" s="62">
        <v>1</v>
      </c>
      <c r="L231" s="62">
        <v>30</v>
      </c>
      <c r="M231" s="71">
        <f t="shared" si="93"/>
        <v>-18.97152952553806</v>
      </c>
      <c r="N231" s="72">
        <f t="shared" si="94"/>
        <v>-0.33111642865239094</v>
      </c>
      <c r="O231" s="72">
        <f t="shared" si="95"/>
        <v>1.2901315131007931</v>
      </c>
      <c r="P231" s="72">
        <f t="shared" si="96"/>
        <v>1.0227760274981266</v>
      </c>
      <c r="Q231" s="71">
        <f t="shared" si="97"/>
        <v>16.999712766174067</v>
      </c>
      <c r="R231" s="72">
        <f t="shared" si="98"/>
        <v>1</v>
      </c>
      <c r="S231" s="71">
        <f t="shared" si="99"/>
        <v>9.855855715055716</v>
      </c>
      <c r="T231" s="72">
        <f t="shared" si="100"/>
        <v>5.6226812384961216</v>
      </c>
      <c r="U231" s="72">
        <f t="shared" si="101"/>
        <v>1.7053462321157722</v>
      </c>
      <c r="V231" s="72">
        <f t="shared" si="102"/>
        <v>4.2170109288720914</v>
      </c>
      <c r="W231" s="72">
        <f t="shared" si="103"/>
        <v>1.6712393074734566</v>
      </c>
      <c r="X231" s="72">
        <f t="shared" si="104"/>
        <v>2.9441251181727739</v>
      </c>
      <c r="Y231" s="72">
        <f t="shared" si="105"/>
        <v>0.71988861713317309</v>
      </c>
      <c r="Z231" s="72">
        <f t="shared" si="106"/>
        <v>3.8557764635098803</v>
      </c>
      <c r="AA231" s="72">
        <f t="shared" si="107"/>
        <v>19.244223536490122</v>
      </c>
      <c r="AB231" s="72">
        <f t="shared" si="108"/>
        <v>3.1677777175068473</v>
      </c>
      <c r="AC231" s="72">
        <f t="shared" si="109"/>
        <v>0.18868182684282603</v>
      </c>
      <c r="AD231" s="73">
        <f t="shared" si="110"/>
        <v>1206.0988078320233</v>
      </c>
      <c r="AE231" s="71">
        <f t="shared" si="111"/>
        <v>193.25470065891747</v>
      </c>
      <c r="AF231" s="74">
        <f t="shared" si="112"/>
        <v>5.8639999173037172</v>
      </c>
      <c r="AG231" s="75">
        <f t="shared" si="113"/>
        <v>2.873818992766715</v>
      </c>
      <c r="AH231" s="76">
        <f t="shared" si="114"/>
        <v>4.3012267184041919</v>
      </c>
      <c r="AI231" s="77">
        <f t="shared" si="115"/>
        <v>5.8672184638494684</v>
      </c>
    </row>
    <row r="232" spans="1:35" ht="15.75" customHeight="1" x14ac:dyDescent="0.45">
      <c r="A232" s="59">
        <f t="shared" si="91"/>
        <v>45976</v>
      </c>
      <c r="B232" s="60">
        <v>2025</v>
      </c>
      <c r="C232" s="60">
        <v>11</v>
      </c>
      <c r="D232" s="60">
        <v>15</v>
      </c>
      <c r="E232" s="61">
        <v>319</v>
      </c>
      <c r="F232" s="62">
        <v>35</v>
      </c>
      <c r="G232" s="62">
        <v>15</v>
      </c>
      <c r="H232" s="70">
        <f t="shared" si="92"/>
        <v>25</v>
      </c>
      <c r="I232" s="62">
        <v>98</v>
      </c>
      <c r="J232" s="62">
        <v>75</v>
      </c>
      <c r="K232" s="62">
        <v>1</v>
      </c>
      <c r="L232" s="62">
        <v>30</v>
      </c>
      <c r="M232" s="71">
        <f t="shared" si="93"/>
        <v>-19.205978710172758</v>
      </c>
      <c r="N232" s="72">
        <f t="shared" si="94"/>
        <v>-0.33520834842154851</v>
      </c>
      <c r="O232" s="72">
        <f t="shared" si="95"/>
        <v>1.2862871121788637</v>
      </c>
      <c r="P232" s="72">
        <f t="shared" si="96"/>
        <v>1.0231837082151762</v>
      </c>
      <c r="Q232" s="71">
        <f t="shared" si="97"/>
        <v>16.848594042517128</v>
      </c>
      <c r="R232" s="72">
        <f t="shared" si="98"/>
        <v>1</v>
      </c>
      <c r="S232" s="71">
        <f t="shared" si="99"/>
        <v>9.8264867240554903</v>
      </c>
      <c r="T232" s="72">
        <f t="shared" si="100"/>
        <v>5.6226812384961216</v>
      </c>
      <c r="U232" s="72">
        <f t="shared" si="101"/>
        <v>1.7053462321157722</v>
      </c>
      <c r="V232" s="72">
        <f t="shared" si="102"/>
        <v>4.2170109288720914</v>
      </c>
      <c r="W232" s="72">
        <f t="shared" si="103"/>
        <v>1.6712393074734566</v>
      </c>
      <c r="X232" s="72">
        <f t="shared" si="104"/>
        <v>2.9441251181727739</v>
      </c>
      <c r="Y232" s="72">
        <f t="shared" si="105"/>
        <v>0.71988861713317309</v>
      </c>
      <c r="Z232" s="72">
        <f t="shared" si="106"/>
        <v>3.8557764635098803</v>
      </c>
      <c r="AA232" s="72">
        <f t="shared" si="107"/>
        <v>19.244223536490122</v>
      </c>
      <c r="AB232" s="72">
        <f t="shared" si="108"/>
        <v>3.1677777175068473</v>
      </c>
      <c r="AC232" s="72">
        <f t="shared" si="109"/>
        <v>0.18868182684282603</v>
      </c>
      <c r="AD232" s="73">
        <f t="shared" si="110"/>
        <v>1206.0988078320233</v>
      </c>
      <c r="AE232" s="71">
        <f t="shared" si="111"/>
        <v>193.25470065891747</v>
      </c>
      <c r="AF232" s="74">
        <f t="shared" si="112"/>
        <v>5.8639999173037172</v>
      </c>
      <c r="AG232" s="75">
        <f t="shared" si="113"/>
        <v>2.8482722165251708</v>
      </c>
      <c r="AH232" s="76">
        <f t="shared" si="114"/>
        <v>4.3012267184041919</v>
      </c>
      <c r="AI232" s="77">
        <f t="shared" si="115"/>
        <v>5.8672184638494684</v>
      </c>
    </row>
    <row r="233" spans="1:35" ht="15.75" customHeight="1" x14ac:dyDescent="0.45">
      <c r="A233" s="59">
        <f t="shared" si="91"/>
        <v>45977</v>
      </c>
      <c r="B233" s="60">
        <v>2025</v>
      </c>
      <c r="C233" s="60">
        <v>11</v>
      </c>
      <c r="D233" s="60">
        <v>16</v>
      </c>
      <c r="E233" s="61">
        <v>320</v>
      </c>
      <c r="F233" s="62">
        <v>35</v>
      </c>
      <c r="G233" s="62">
        <v>15</v>
      </c>
      <c r="H233" s="70">
        <f t="shared" si="92"/>
        <v>25</v>
      </c>
      <c r="I233" s="62">
        <v>98</v>
      </c>
      <c r="J233" s="62">
        <v>75</v>
      </c>
      <c r="K233" s="62">
        <v>1</v>
      </c>
      <c r="L233" s="62">
        <v>30</v>
      </c>
      <c r="M233" s="71">
        <f t="shared" si="93"/>
        <v>-19.43473672220054</v>
      </c>
      <c r="N233" s="72">
        <f t="shared" si="94"/>
        <v>-0.33920093825814007</v>
      </c>
      <c r="O233" s="72">
        <f t="shared" si="95"/>
        <v>1.2825212670762012</v>
      </c>
      <c r="P233" s="72">
        <f t="shared" si="96"/>
        <v>1.0235845190670079</v>
      </c>
      <c r="Q233" s="71">
        <f t="shared" si="97"/>
        <v>16.701186136469087</v>
      </c>
      <c r="R233" s="72">
        <f t="shared" si="98"/>
        <v>1</v>
      </c>
      <c r="S233" s="71">
        <f t="shared" si="99"/>
        <v>9.7977178539052812</v>
      </c>
      <c r="T233" s="72">
        <f t="shared" si="100"/>
        <v>5.6226812384961216</v>
      </c>
      <c r="U233" s="72">
        <f t="shared" si="101"/>
        <v>1.7053462321157722</v>
      </c>
      <c r="V233" s="72">
        <f t="shared" si="102"/>
        <v>4.2170109288720914</v>
      </c>
      <c r="W233" s="72">
        <f t="shared" si="103"/>
        <v>1.6712393074734566</v>
      </c>
      <c r="X233" s="72">
        <f t="shared" si="104"/>
        <v>2.9441251181727739</v>
      </c>
      <c r="Y233" s="72">
        <f t="shared" si="105"/>
        <v>0.71988861713317309</v>
      </c>
      <c r="Z233" s="72">
        <f t="shared" si="106"/>
        <v>3.8557764635098803</v>
      </c>
      <c r="AA233" s="72">
        <f t="shared" si="107"/>
        <v>19.244223536490122</v>
      </c>
      <c r="AB233" s="72">
        <f t="shared" si="108"/>
        <v>3.1677777175068473</v>
      </c>
      <c r="AC233" s="72">
        <f t="shared" si="109"/>
        <v>0.18868182684282603</v>
      </c>
      <c r="AD233" s="73">
        <f t="shared" si="110"/>
        <v>1206.0988078320233</v>
      </c>
      <c r="AE233" s="71">
        <f t="shared" si="111"/>
        <v>193.25470065891747</v>
      </c>
      <c r="AF233" s="74">
        <f t="shared" si="112"/>
        <v>5.8639999173037172</v>
      </c>
      <c r="AG233" s="75">
        <f t="shared" si="113"/>
        <v>2.8233527578312714</v>
      </c>
      <c r="AH233" s="76">
        <f t="shared" si="114"/>
        <v>4.3012267184041919</v>
      </c>
      <c r="AI233" s="77">
        <f t="shared" si="115"/>
        <v>5.8672184638494684</v>
      </c>
    </row>
    <row r="234" spans="1:35" ht="15.75" customHeight="1" x14ac:dyDescent="0.45">
      <c r="A234" s="59">
        <f t="shared" si="91"/>
        <v>45978</v>
      </c>
      <c r="B234" s="60">
        <v>2025</v>
      </c>
      <c r="C234" s="60">
        <v>11</v>
      </c>
      <c r="D234" s="60">
        <v>17</v>
      </c>
      <c r="E234" s="61">
        <v>321</v>
      </c>
      <c r="F234" s="62">
        <v>35</v>
      </c>
      <c r="G234" s="62">
        <v>15</v>
      </c>
      <c r="H234" s="70">
        <f t="shared" si="92"/>
        <v>25</v>
      </c>
      <c r="I234" s="62">
        <v>98</v>
      </c>
      <c r="J234" s="62">
        <v>75</v>
      </c>
      <c r="K234" s="62">
        <v>1</v>
      </c>
      <c r="L234" s="62">
        <v>30</v>
      </c>
      <c r="M234" s="71">
        <f t="shared" si="93"/>
        <v>-19.657735775368419</v>
      </c>
      <c r="N234" s="72">
        <f t="shared" si="94"/>
        <v>-0.3430930150660968</v>
      </c>
      <c r="O234" s="72">
        <f t="shared" si="95"/>
        <v>1.2788359319217344</v>
      </c>
      <c r="P234" s="72">
        <f t="shared" si="96"/>
        <v>1.0239783412841603</v>
      </c>
      <c r="Q234" s="71">
        <f t="shared" si="97"/>
        <v>16.557536356783565</v>
      </c>
      <c r="R234" s="72">
        <f t="shared" si="98"/>
        <v>1</v>
      </c>
      <c r="S234" s="71">
        <f t="shared" si="99"/>
        <v>9.7695640330155413</v>
      </c>
      <c r="T234" s="72">
        <f t="shared" si="100"/>
        <v>5.6226812384961216</v>
      </c>
      <c r="U234" s="72">
        <f t="shared" si="101"/>
        <v>1.7053462321157722</v>
      </c>
      <c r="V234" s="72">
        <f t="shared" si="102"/>
        <v>4.2170109288720914</v>
      </c>
      <c r="W234" s="72">
        <f t="shared" si="103"/>
        <v>1.6712393074734566</v>
      </c>
      <c r="X234" s="72">
        <f t="shared" si="104"/>
        <v>2.9441251181727739</v>
      </c>
      <c r="Y234" s="72">
        <f t="shared" si="105"/>
        <v>0.71988861713317309</v>
      </c>
      <c r="Z234" s="72">
        <f t="shared" si="106"/>
        <v>3.8557764635098803</v>
      </c>
      <c r="AA234" s="72">
        <f t="shared" si="107"/>
        <v>19.244223536490122</v>
      </c>
      <c r="AB234" s="72">
        <f t="shared" si="108"/>
        <v>3.1677777175068473</v>
      </c>
      <c r="AC234" s="72">
        <f t="shared" si="109"/>
        <v>0.18868182684282603</v>
      </c>
      <c r="AD234" s="73">
        <f t="shared" si="110"/>
        <v>1206.0988078320233</v>
      </c>
      <c r="AE234" s="71">
        <f t="shared" si="111"/>
        <v>193.25470065891747</v>
      </c>
      <c r="AF234" s="74">
        <f t="shared" si="112"/>
        <v>5.8639999173037172</v>
      </c>
      <c r="AG234" s="75">
        <f t="shared" si="113"/>
        <v>2.7990686142786552</v>
      </c>
      <c r="AH234" s="76">
        <f t="shared" si="114"/>
        <v>4.3012267184041919</v>
      </c>
      <c r="AI234" s="77">
        <f t="shared" si="115"/>
        <v>5.8672184638494684</v>
      </c>
    </row>
    <row r="235" spans="1:35" ht="15.75" customHeight="1" x14ac:dyDescent="0.45">
      <c r="A235" s="59">
        <f t="shared" si="91"/>
        <v>45979</v>
      </c>
      <c r="B235" s="60">
        <v>2025</v>
      </c>
      <c r="C235" s="60">
        <v>11</v>
      </c>
      <c r="D235" s="60">
        <v>18</v>
      </c>
      <c r="E235" s="61">
        <v>322</v>
      </c>
      <c r="F235" s="62">
        <v>35</v>
      </c>
      <c r="G235" s="62">
        <v>15</v>
      </c>
      <c r="H235" s="70">
        <f t="shared" si="92"/>
        <v>25</v>
      </c>
      <c r="I235" s="62">
        <v>98</v>
      </c>
      <c r="J235" s="62">
        <v>75</v>
      </c>
      <c r="K235" s="62">
        <v>1</v>
      </c>
      <c r="L235" s="62">
        <v>30</v>
      </c>
      <c r="M235" s="71">
        <f t="shared" si="93"/>
        <v>-19.874909789935192</v>
      </c>
      <c r="N235" s="72">
        <f t="shared" si="94"/>
        <v>-0.34688342553366885</v>
      </c>
      <c r="O235" s="72">
        <f t="shared" si="95"/>
        <v>1.2752330571844506</v>
      </c>
      <c r="P235" s="72">
        <f t="shared" si="96"/>
        <v>1.0243650581680654</v>
      </c>
      <c r="Q235" s="71">
        <f t="shared" si="97"/>
        <v>16.417690327021859</v>
      </c>
      <c r="R235" s="72">
        <f t="shared" si="98"/>
        <v>1</v>
      </c>
      <c r="S235" s="71">
        <f t="shared" si="99"/>
        <v>9.7420401618369024</v>
      </c>
      <c r="T235" s="72">
        <f t="shared" si="100"/>
        <v>5.6226812384961216</v>
      </c>
      <c r="U235" s="72">
        <f t="shared" si="101"/>
        <v>1.7053462321157722</v>
      </c>
      <c r="V235" s="72">
        <f t="shared" si="102"/>
        <v>4.2170109288720914</v>
      </c>
      <c r="W235" s="72">
        <f t="shared" si="103"/>
        <v>1.6712393074734566</v>
      </c>
      <c r="X235" s="72">
        <f t="shared" si="104"/>
        <v>2.9441251181727739</v>
      </c>
      <c r="Y235" s="72">
        <f t="shared" si="105"/>
        <v>0.71988861713317309</v>
      </c>
      <c r="Z235" s="72">
        <f t="shared" si="106"/>
        <v>3.8557764635098803</v>
      </c>
      <c r="AA235" s="72">
        <f t="shared" si="107"/>
        <v>19.244223536490122</v>
      </c>
      <c r="AB235" s="72">
        <f t="shared" si="108"/>
        <v>3.1677777175068473</v>
      </c>
      <c r="AC235" s="72">
        <f t="shared" si="109"/>
        <v>0.18868182684282603</v>
      </c>
      <c r="AD235" s="73">
        <f t="shared" si="110"/>
        <v>1206.0988078320233</v>
      </c>
      <c r="AE235" s="71">
        <f t="shared" si="111"/>
        <v>193.25470065891747</v>
      </c>
      <c r="AF235" s="74">
        <f t="shared" si="112"/>
        <v>5.8639999173037172</v>
      </c>
      <c r="AG235" s="75">
        <f t="shared" si="113"/>
        <v>2.7754274985774603</v>
      </c>
      <c r="AH235" s="76">
        <f t="shared" si="114"/>
        <v>4.3012267184041919</v>
      </c>
      <c r="AI235" s="77">
        <f t="shared" si="115"/>
        <v>5.8672184638494684</v>
      </c>
    </row>
    <row r="236" spans="1:35" ht="15.75" customHeight="1" x14ac:dyDescent="0.45">
      <c r="A236" s="59">
        <f t="shared" si="91"/>
        <v>45980</v>
      </c>
      <c r="B236" s="60">
        <v>2025</v>
      </c>
      <c r="C236" s="60">
        <v>11</v>
      </c>
      <c r="D236" s="60">
        <v>19</v>
      </c>
      <c r="E236" s="61">
        <v>323</v>
      </c>
      <c r="F236" s="62">
        <v>35</v>
      </c>
      <c r="G236" s="62">
        <v>15</v>
      </c>
      <c r="H236" s="70">
        <f t="shared" si="92"/>
        <v>25</v>
      </c>
      <c r="I236" s="62">
        <v>98</v>
      </c>
      <c r="J236" s="62">
        <v>75</v>
      </c>
      <c r="K236" s="62">
        <v>1</v>
      </c>
      <c r="L236" s="62">
        <v>30</v>
      </c>
      <c r="M236" s="71">
        <f t="shared" si="93"/>
        <v>-20.086194412252379</v>
      </c>
      <c r="N236" s="72">
        <f t="shared" si="94"/>
        <v>-0.35057104647517817</v>
      </c>
      <c r="O236" s="72">
        <f t="shared" si="95"/>
        <v>1.2717145868109845</v>
      </c>
      <c r="P236" s="72">
        <f t="shared" si="96"/>
        <v>1.0247445551256287</v>
      </c>
      <c r="Q236" s="71">
        <f t="shared" si="97"/>
        <v>16.281691995687062</v>
      </c>
      <c r="R236" s="72">
        <f t="shared" si="98"/>
        <v>1</v>
      </c>
      <c r="S236" s="71">
        <f t="shared" si="99"/>
        <v>9.7151610909930053</v>
      </c>
      <c r="T236" s="72">
        <f t="shared" si="100"/>
        <v>5.6226812384961216</v>
      </c>
      <c r="U236" s="72">
        <f t="shared" si="101"/>
        <v>1.7053462321157722</v>
      </c>
      <c r="V236" s="72">
        <f t="shared" si="102"/>
        <v>4.2170109288720914</v>
      </c>
      <c r="W236" s="72">
        <f t="shared" si="103"/>
        <v>1.6712393074734566</v>
      </c>
      <c r="X236" s="72">
        <f t="shared" si="104"/>
        <v>2.9441251181727739</v>
      </c>
      <c r="Y236" s="72">
        <f t="shared" si="105"/>
        <v>0.71988861713317309</v>
      </c>
      <c r="Z236" s="72">
        <f t="shared" si="106"/>
        <v>3.8557764635098803</v>
      </c>
      <c r="AA236" s="72">
        <f t="shared" si="107"/>
        <v>19.244223536490122</v>
      </c>
      <c r="AB236" s="72">
        <f t="shared" si="108"/>
        <v>3.1677777175068473</v>
      </c>
      <c r="AC236" s="72">
        <f t="shared" si="109"/>
        <v>0.18868182684282603</v>
      </c>
      <c r="AD236" s="73">
        <f t="shared" si="110"/>
        <v>1206.0988078320233</v>
      </c>
      <c r="AE236" s="71">
        <f t="shared" si="111"/>
        <v>193.25470065891747</v>
      </c>
      <c r="AF236" s="74">
        <f t="shared" si="112"/>
        <v>5.8639999173037172</v>
      </c>
      <c r="AG236" s="75">
        <f t="shared" si="113"/>
        <v>2.752436840267503</v>
      </c>
      <c r="AH236" s="76">
        <f t="shared" si="114"/>
        <v>4.3012267184041919</v>
      </c>
      <c r="AI236" s="77">
        <f t="shared" si="115"/>
        <v>5.8672184638494684</v>
      </c>
    </row>
    <row r="237" spans="1:35" ht="15.75" customHeight="1" x14ac:dyDescent="0.45">
      <c r="A237" s="59">
        <f t="shared" si="91"/>
        <v>45981</v>
      </c>
      <c r="B237" s="60">
        <v>2025</v>
      </c>
      <c r="C237" s="60">
        <v>11</v>
      </c>
      <c r="D237" s="60">
        <v>20</v>
      </c>
      <c r="E237" s="61">
        <v>324</v>
      </c>
      <c r="F237" s="62">
        <v>35</v>
      </c>
      <c r="G237" s="62">
        <v>15</v>
      </c>
      <c r="H237" s="70">
        <f t="shared" si="92"/>
        <v>25</v>
      </c>
      <c r="I237" s="62">
        <v>98</v>
      </c>
      <c r="J237" s="62">
        <v>75</v>
      </c>
      <c r="K237" s="62">
        <v>1</v>
      </c>
      <c r="L237" s="62">
        <v>30</v>
      </c>
      <c r="M237" s="71">
        <f t="shared" si="93"/>
        <v>-20.291527033833688</v>
      </c>
      <c r="N237" s="72">
        <f t="shared" si="94"/>
        <v>-0.35415478516384397</v>
      </c>
      <c r="O237" s="72">
        <f t="shared" si="95"/>
        <v>1.268282455261142</v>
      </c>
      <c r="P237" s="72">
        <f t="shared" si="96"/>
        <v>1.0251167197031854</v>
      </c>
      <c r="Q237" s="71">
        <f t="shared" si="97"/>
        <v>16.14958364862602</v>
      </c>
      <c r="R237" s="72">
        <f t="shared" si="98"/>
        <v>1</v>
      </c>
      <c r="S237" s="71">
        <f t="shared" si="99"/>
        <v>9.6889415986336296</v>
      </c>
      <c r="T237" s="72">
        <f t="shared" si="100"/>
        <v>5.6226812384961216</v>
      </c>
      <c r="U237" s="72">
        <f t="shared" si="101"/>
        <v>1.7053462321157722</v>
      </c>
      <c r="V237" s="72">
        <f t="shared" si="102"/>
        <v>4.2170109288720914</v>
      </c>
      <c r="W237" s="72">
        <f t="shared" si="103"/>
        <v>1.6712393074734566</v>
      </c>
      <c r="X237" s="72">
        <f t="shared" si="104"/>
        <v>2.9441251181727739</v>
      </c>
      <c r="Y237" s="72">
        <f t="shared" si="105"/>
        <v>0.71988861713317309</v>
      </c>
      <c r="Z237" s="72">
        <f t="shared" si="106"/>
        <v>3.8557764635098803</v>
      </c>
      <c r="AA237" s="72">
        <f t="shared" si="107"/>
        <v>19.244223536490122</v>
      </c>
      <c r="AB237" s="72">
        <f t="shared" si="108"/>
        <v>3.1677777175068473</v>
      </c>
      <c r="AC237" s="72">
        <f t="shared" si="109"/>
        <v>0.18868182684282603</v>
      </c>
      <c r="AD237" s="73">
        <f t="shared" si="110"/>
        <v>1206.0988078320233</v>
      </c>
      <c r="AE237" s="71">
        <f t="shared" si="111"/>
        <v>193.25470065891747</v>
      </c>
      <c r="AF237" s="74">
        <f t="shared" si="112"/>
        <v>5.8639999173037172</v>
      </c>
      <c r="AG237" s="75">
        <f t="shared" si="113"/>
        <v>2.7301037878148482</v>
      </c>
      <c r="AH237" s="76">
        <f t="shared" si="114"/>
        <v>4.3012267184041919</v>
      </c>
      <c r="AI237" s="77">
        <f t="shared" si="115"/>
        <v>5.8672184638494684</v>
      </c>
    </row>
    <row r="238" spans="1:35" ht="15.75" customHeight="1" x14ac:dyDescent="0.45">
      <c r="A238" s="59">
        <f t="shared" si="91"/>
        <v>45982</v>
      </c>
      <c r="B238" s="60">
        <v>2025</v>
      </c>
      <c r="C238" s="60">
        <v>11</v>
      </c>
      <c r="D238" s="60">
        <v>21</v>
      </c>
      <c r="E238" s="61">
        <v>325</v>
      </c>
      <c r="F238" s="62">
        <v>35</v>
      </c>
      <c r="G238" s="62">
        <v>15</v>
      </c>
      <c r="H238" s="70">
        <f t="shared" si="92"/>
        <v>25</v>
      </c>
      <c r="I238" s="62">
        <v>98</v>
      </c>
      <c r="J238" s="62">
        <v>75</v>
      </c>
      <c r="K238" s="62">
        <v>1</v>
      </c>
      <c r="L238" s="62">
        <v>30</v>
      </c>
      <c r="M238" s="71">
        <f t="shared" si="93"/>
        <v>-20.49084680990735</v>
      </c>
      <c r="N238" s="72">
        <f t="shared" si="94"/>
        <v>-0.3576335796555829</v>
      </c>
      <c r="O238" s="72">
        <f t="shared" si="95"/>
        <v>1.2649385844479761</v>
      </c>
      <c r="P238" s="72">
        <f t="shared" si="96"/>
        <v>1.0254814416198232</v>
      </c>
      <c r="Q238" s="71">
        <f t="shared" si="97"/>
        <v>16.02140592357653</v>
      </c>
      <c r="R238" s="72">
        <f t="shared" si="98"/>
        <v>1</v>
      </c>
      <c r="S238" s="71">
        <f t="shared" si="99"/>
        <v>9.6633963670586418</v>
      </c>
      <c r="T238" s="72">
        <f t="shared" si="100"/>
        <v>5.6226812384961216</v>
      </c>
      <c r="U238" s="72">
        <f t="shared" si="101"/>
        <v>1.7053462321157722</v>
      </c>
      <c r="V238" s="72">
        <f t="shared" si="102"/>
        <v>4.2170109288720914</v>
      </c>
      <c r="W238" s="72">
        <f t="shared" si="103"/>
        <v>1.6712393074734566</v>
      </c>
      <c r="X238" s="72">
        <f t="shared" si="104"/>
        <v>2.9441251181727739</v>
      </c>
      <c r="Y238" s="72">
        <f t="shared" si="105"/>
        <v>0.71988861713317309</v>
      </c>
      <c r="Z238" s="72">
        <f t="shared" si="106"/>
        <v>3.8557764635098803</v>
      </c>
      <c r="AA238" s="72">
        <f t="shared" si="107"/>
        <v>19.244223536490122</v>
      </c>
      <c r="AB238" s="72">
        <f t="shared" si="108"/>
        <v>3.1677777175068473</v>
      </c>
      <c r="AC238" s="72">
        <f t="shared" si="109"/>
        <v>0.18868182684282603</v>
      </c>
      <c r="AD238" s="73">
        <f t="shared" si="110"/>
        <v>1206.0988078320233</v>
      </c>
      <c r="AE238" s="71">
        <f t="shared" si="111"/>
        <v>193.25470065891747</v>
      </c>
      <c r="AF238" s="74">
        <f t="shared" si="112"/>
        <v>5.8639999173037172</v>
      </c>
      <c r="AG238" s="75">
        <f t="shared" si="113"/>
        <v>2.7084352110710217</v>
      </c>
      <c r="AH238" s="76">
        <f t="shared" si="114"/>
        <v>4.3012267184041919</v>
      </c>
      <c r="AI238" s="77">
        <f t="shared" si="115"/>
        <v>5.8672184638494684</v>
      </c>
    </row>
    <row r="239" spans="1:35" ht="15.75" customHeight="1" x14ac:dyDescent="0.45">
      <c r="A239" s="59">
        <f t="shared" si="91"/>
        <v>45983</v>
      </c>
      <c r="B239" s="60">
        <v>2025</v>
      </c>
      <c r="C239" s="60">
        <v>11</v>
      </c>
      <c r="D239" s="60">
        <v>22</v>
      </c>
      <c r="E239" s="61">
        <v>326</v>
      </c>
      <c r="F239" s="62">
        <v>35</v>
      </c>
      <c r="G239" s="62">
        <v>15</v>
      </c>
      <c r="H239" s="70">
        <f t="shared" si="92"/>
        <v>25</v>
      </c>
      <c r="I239" s="62">
        <v>98</v>
      </c>
      <c r="J239" s="62">
        <v>75</v>
      </c>
      <c r="K239" s="62">
        <v>1</v>
      </c>
      <c r="L239" s="62">
        <v>30</v>
      </c>
      <c r="M239" s="71">
        <f t="shared" si="93"/>
        <v>-20.684094677445813</v>
      </c>
      <c r="N239" s="72">
        <f t="shared" si="94"/>
        <v>-0.36100639910368759</v>
      </c>
      <c r="O239" s="72">
        <f t="shared" si="95"/>
        <v>1.2616848805897984</v>
      </c>
      <c r="P239" s="72">
        <f t="shared" si="96"/>
        <v>1.0258386128000621</v>
      </c>
      <c r="Q239" s="71">
        <f t="shared" si="97"/>
        <v>15.897197826729005</v>
      </c>
      <c r="R239" s="72">
        <f t="shared" si="98"/>
        <v>1</v>
      </c>
      <c r="S239" s="71">
        <f t="shared" si="99"/>
        <v>9.6385399586692024</v>
      </c>
      <c r="T239" s="72">
        <f t="shared" si="100"/>
        <v>5.6226812384961216</v>
      </c>
      <c r="U239" s="72">
        <f t="shared" si="101"/>
        <v>1.7053462321157722</v>
      </c>
      <c r="V239" s="72">
        <f t="shared" si="102"/>
        <v>4.2170109288720914</v>
      </c>
      <c r="W239" s="72">
        <f t="shared" si="103"/>
        <v>1.6712393074734566</v>
      </c>
      <c r="X239" s="72">
        <f t="shared" si="104"/>
        <v>2.9441251181727739</v>
      </c>
      <c r="Y239" s="72">
        <f t="shared" si="105"/>
        <v>0.71988861713317309</v>
      </c>
      <c r="Z239" s="72">
        <f t="shared" si="106"/>
        <v>3.8557764635098803</v>
      </c>
      <c r="AA239" s="72">
        <f t="shared" si="107"/>
        <v>19.244223536490122</v>
      </c>
      <c r="AB239" s="72">
        <f t="shared" si="108"/>
        <v>3.1677777175068473</v>
      </c>
      <c r="AC239" s="72">
        <f t="shared" si="109"/>
        <v>0.18868182684282603</v>
      </c>
      <c r="AD239" s="73">
        <f t="shared" si="110"/>
        <v>1206.0988078320233</v>
      </c>
      <c r="AE239" s="71">
        <f t="shared" si="111"/>
        <v>193.25470065891747</v>
      </c>
      <c r="AF239" s="74">
        <f t="shared" si="112"/>
        <v>5.8639999173037172</v>
      </c>
      <c r="AG239" s="75">
        <f t="shared" si="113"/>
        <v>2.6874377040727802</v>
      </c>
      <c r="AH239" s="76">
        <f t="shared" si="114"/>
        <v>4.3012267184041919</v>
      </c>
      <c r="AI239" s="77">
        <f t="shared" si="115"/>
        <v>5.8672184638494684</v>
      </c>
    </row>
    <row r="240" spans="1:35" ht="15.75" customHeight="1" x14ac:dyDescent="0.45">
      <c r="A240" s="59">
        <f t="shared" si="91"/>
        <v>45984</v>
      </c>
      <c r="B240" s="60">
        <v>2025</v>
      </c>
      <c r="C240" s="60">
        <v>11</v>
      </c>
      <c r="D240" s="60">
        <v>23</v>
      </c>
      <c r="E240" s="61">
        <v>327</v>
      </c>
      <c r="F240" s="62">
        <v>35</v>
      </c>
      <c r="G240" s="62">
        <v>15</v>
      </c>
      <c r="H240" s="70">
        <f t="shared" si="92"/>
        <v>25</v>
      </c>
      <c r="I240" s="62">
        <v>98</v>
      </c>
      <c r="J240" s="62">
        <v>75</v>
      </c>
      <c r="K240" s="62">
        <v>1</v>
      </c>
      <c r="L240" s="62">
        <v>30</v>
      </c>
      <c r="M240" s="71">
        <f t="shared" si="93"/>
        <v>-20.871213372667498</v>
      </c>
      <c r="N240" s="72">
        <f t="shared" si="94"/>
        <v>-0.36427224406429004</v>
      </c>
      <c r="O240" s="72">
        <f t="shared" si="95"/>
        <v>1.2585232309822689</v>
      </c>
      <c r="P240" s="72">
        <f t="shared" si="96"/>
        <v>1.0261881274058773</v>
      </c>
      <c r="Q240" s="71">
        <f t="shared" si="97"/>
        <v>15.77699675116323</v>
      </c>
      <c r="R240" s="72">
        <f t="shared" si="98"/>
        <v>1</v>
      </c>
      <c r="S240" s="71">
        <f t="shared" si="99"/>
        <v>9.6143867913083945</v>
      </c>
      <c r="T240" s="72">
        <f t="shared" si="100"/>
        <v>5.6226812384961216</v>
      </c>
      <c r="U240" s="72">
        <f t="shared" si="101"/>
        <v>1.7053462321157722</v>
      </c>
      <c r="V240" s="72">
        <f t="shared" si="102"/>
        <v>4.2170109288720914</v>
      </c>
      <c r="W240" s="72">
        <f t="shared" si="103"/>
        <v>1.6712393074734566</v>
      </c>
      <c r="X240" s="72">
        <f t="shared" si="104"/>
        <v>2.9441251181727739</v>
      </c>
      <c r="Y240" s="72">
        <f t="shared" si="105"/>
        <v>0.71988861713317309</v>
      </c>
      <c r="Z240" s="72">
        <f t="shared" si="106"/>
        <v>3.8557764635098803</v>
      </c>
      <c r="AA240" s="72">
        <f t="shared" si="107"/>
        <v>19.244223536490122</v>
      </c>
      <c r="AB240" s="72">
        <f t="shared" si="108"/>
        <v>3.1677777175068473</v>
      </c>
      <c r="AC240" s="72">
        <f t="shared" si="109"/>
        <v>0.18868182684282603</v>
      </c>
      <c r="AD240" s="73">
        <f t="shared" si="110"/>
        <v>1206.0988078320233</v>
      </c>
      <c r="AE240" s="71">
        <f t="shared" si="111"/>
        <v>193.25470065891747</v>
      </c>
      <c r="AF240" s="74">
        <f t="shared" si="112"/>
        <v>5.8639999173037172</v>
      </c>
      <c r="AG240" s="75">
        <f t="shared" si="113"/>
        <v>2.6671175881588653</v>
      </c>
      <c r="AH240" s="76">
        <f t="shared" si="114"/>
        <v>4.3012267184041919</v>
      </c>
      <c r="AI240" s="77">
        <f t="shared" si="115"/>
        <v>5.8672184638494684</v>
      </c>
    </row>
    <row r="241" spans="1:35" ht="15.75" customHeight="1" x14ac:dyDescent="0.45">
      <c r="A241" s="59">
        <f t="shared" si="91"/>
        <v>45985</v>
      </c>
      <c r="B241" s="60">
        <v>2025</v>
      </c>
      <c r="C241" s="60">
        <v>11</v>
      </c>
      <c r="D241" s="60">
        <v>24</v>
      </c>
      <c r="E241" s="61">
        <v>328</v>
      </c>
      <c r="F241" s="62">
        <v>35</v>
      </c>
      <c r="G241" s="62">
        <v>15</v>
      </c>
      <c r="H241" s="70">
        <f t="shared" si="92"/>
        <v>25</v>
      </c>
      <c r="I241" s="62">
        <v>98</v>
      </c>
      <c r="J241" s="62">
        <v>75</v>
      </c>
      <c r="K241" s="62">
        <v>1</v>
      </c>
      <c r="L241" s="62">
        <v>30</v>
      </c>
      <c r="M241" s="71">
        <f t="shared" si="93"/>
        <v>-21.052147448005332</v>
      </c>
      <c r="N241" s="72">
        <f t="shared" si="94"/>
        <v>-0.36743014679251973</v>
      </c>
      <c r="O241" s="72">
        <f t="shared" si="95"/>
        <v>1.2554555006994672</v>
      </c>
      <c r="P241" s="72">
        <f t="shared" si="96"/>
        <v>1.0265298818680642</v>
      </c>
      <c r="Q241" s="71">
        <f t="shared" si="97"/>
        <v>15.660838497012723</v>
      </c>
      <c r="R241" s="72">
        <f t="shared" si="98"/>
        <v>1</v>
      </c>
      <c r="S241" s="71">
        <f t="shared" si="99"/>
        <v>9.5909511130593366</v>
      </c>
      <c r="T241" s="72">
        <f t="shared" si="100"/>
        <v>5.6226812384961216</v>
      </c>
      <c r="U241" s="72">
        <f t="shared" si="101"/>
        <v>1.7053462321157722</v>
      </c>
      <c r="V241" s="72">
        <f t="shared" si="102"/>
        <v>4.2170109288720914</v>
      </c>
      <c r="W241" s="72">
        <f t="shared" si="103"/>
        <v>1.6712393074734566</v>
      </c>
      <c r="X241" s="72">
        <f t="shared" si="104"/>
        <v>2.9441251181727739</v>
      </c>
      <c r="Y241" s="72">
        <f t="shared" si="105"/>
        <v>0.71988861713317309</v>
      </c>
      <c r="Z241" s="72">
        <f t="shared" si="106"/>
        <v>3.8557764635098803</v>
      </c>
      <c r="AA241" s="72">
        <f t="shared" si="107"/>
        <v>19.244223536490122</v>
      </c>
      <c r="AB241" s="72">
        <f t="shared" si="108"/>
        <v>3.1677777175068473</v>
      </c>
      <c r="AC241" s="72">
        <f t="shared" si="109"/>
        <v>0.18868182684282603</v>
      </c>
      <c r="AD241" s="73">
        <f t="shared" si="110"/>
        <v>1206.0988078320233</v>
      </c>
      <c r="AE241" s="71">
        <f t="shared" si="111"/>
        <v>193.25470065891747</v>
      </c>
      <c r="AF241" s="74">
        <f t="shared" si="112"/>
        <v>5.8639999173037172</v>
      </c>
      <c r="AG241" s="75">
        <f t="shared" si="113"/>
        <v>2.6474809153788068</v>
      </c>
      <c r="AH241" s="76">
        <f t="shared" si="114"/>
        <v>4.3012267184041919</v>
      </c>
      <c r="AI241" s="77">
        <f t="shared" si="115"/>
        <v>5.8672184638494684</v>
      </c>
    </row>
    <row r="242" spans="1:35" ht="15.75" customHeight="1" x14ac:dyDescent="0.45">
      <c r="A242" s="59">
        <f t="shared" si="91"/>
        <v>45986</v>
      </c>
      <c r="B242" s="60">
        <v>2025</v>
      </c>
      <c r="C242" s="60">
        <v>11</v>
      </c>
      <c r="D242" s="60">
        <v>25</v>
      </c>
      <c r="E242" s="61">
        <v>329</v>
      </c>
      <c r="F242" s="62">
        <v>35</v>
      </c>
      <c r="G242" s="62">
        <v>15</v>
      </c>
      <c r="H242" s="70">
        <f t="shared" si="92"/>
        <v>25</v>
      </c>
      <c r="I242" s="62">
        <v>98</v>
      </c>
      <c r="J242" s="62">
        <v>75</v>
      </c>
      <c r="K242" s="62">
        <v>1</v>
      </c>
      <c r="L242" s="62">
        <v>30</v>
      </c>
      <c r="M242" s="71">
        <f t="shared" si="93"/>
        <v>-21.226843288537182</v>
      </c>
      <c r="N242" s="72">
        <f t="shared" si="94"/>
        <v>-0.37047917152926896</v>
      </c>
      <c r="O242" s="72">
        <f t="shared" si="95"/>
        <v>1.252483529233579</v>
      </c>
      <c r="P242" s="72">
        <f t="shared" si="96"/>
        <v>1.0268637749169258</v>
      </c>
      <c r="Q242" s="71">
        <f t="shared" si="97"/>
        <v>15.548757293202126</v>
      </c>
      <c r="R242" s="72">
        <f t="shared" si="98"/>
        <v>1</v>
      </c>
      <c r="S242" s="71">
        <f t="shared" si="99"/>
        <v>9.5682469765743239</v>
      </c>
      <c r="T242" s="72">
        <f t="shared" si="100"/>
        <v>5.6226812384961216</v>
      </c>
      <c r="U242" s="72">
        <f t="shared" si="101"/>
        <v>1.7053462321157722</v>
      </c>
      <c r="V242" s="72">
        <f t="shared" si="102"/>
        <v>4.2170109288720914</v>
      </c>
      <c r="W242" s="72">
        <f t="shared" si="103"/>
        <v>1.6712393074734566</v>
      </c>
      <c r="X242" s="72">
        <f t="shared" si="104"/>
        <v>2.9441251181727739</v>
      </c>
      <c r="Y242" s="72">
        <f t="shared" si="105"/>
        <v>0.71988861713317309</v>
      </c>
      <c r="Z242" s="72">
        <f t="shared" si="106"/>
        <v>3.8557764635098803</v>
      </c>
      <c r="AA242" s="72">
        <f t="shared" si="107"/>
        <v>19.244223536490122</v>
      </c>
      <c r="AB242" s="72">
        <f t="shared" si="108"/>
        <v>3.1677777175068473</v>
      </c>
      <c r="AC242" s="72">
        <f t="shared" si="109"/>
        <v>0.18868182684282603</v>
      </c>
      <c r="AD242" s="73">
        <f t="shared" si="110"/>
        <v>1206.0988078320233</v>
      </c>
      <c r="AE242" s="71">
        <f t="shared" si="111"/>
        <v>193.25470065891747</v>
      </c>
      <c r="AF242" s="74">
        <f t="shared" si="112"/>
        <v>5.8639999173037172</v>
      </c>
      <c r="AG242" s="75">
        <f t="shared" si="113"/>
        <v>2.6285334721676503</v>
      </c>
      <c r="AH242" s="76">
        <f t="shared" si="114"/>
        <v>4.3012267184041919</v>
      </c>
      <c r="AI242" s="77">
        <f t="shared" si="115"/>
        <v>5.8672184638494684</v>
      </c>
    </row>
    <row r="243" spans="1:35" ht="15.75" customHeight="1" x14ac:dyDescent="0.45">
      <c r="A243" s="59">
        <f t="shared" si="91"/>
        <v>45987</v>
      </c>
      <c r="B243" s="60">
        <v>2025</v>
      </c>
      <c r="C243" s="60">
        <v>11</v>
      </c>
      <c r="D243" s="60">
        <v>26</v>
      </c>
      <c r="E243" s="61">
        <v>330</v>
      </c>
      <c r="F243" s="62">
        <v>35</v>
      </c>
      <c r="G243" s="62">
        <v>15</v>
      </c>
      <c r="H243" s="70">
        <f t="shared" si="92"/>
        <v>25</v>
      </c>
      <c r="I243" s="62">
        <v>98</v>
      </c>
      <c r="J243" s="62">
        <v>75</v>
      </c>
      <c r="K243" s="62">
        <v>1</v>
      </c>
      <c r="L243" s="62">
        <v>30</v>
      </c>
      <c r="M243" s="71">
        <f t="shared" si="93"/>
        <v>-21.395249127873157</v>
      </c>
      <c r="N243" s="72">
        <f t="shared" si="94"/>
        <v>-0.37341841477847948</v>
      </c>
      <c r="O243" s="72">
        <f t="shared" si="95"/>
        <v>1.2496091270835614</v>
      </c>
      <c r="P243" s="72">
        <f t="shared" si="96"/>
        <v>1.0271897076122833</v>
      </c>
      <c r="Q243" s="71">
        <f t="shared" si="97"/>
        <v>15.440785820596012</v>
      </c>
      <c r="R243" s="72">
        <f t="shared" si="98"/>
        <v>1</v>
      </c>
      <c r="S243" s="71">
        <f t="shared" si="99"/>
        <v>9.5462882130142201</v>
      </c>
      <c r="T243" s="72">
        <f t="shared" si="100"/>
        <v>5.6226812384961216</v>
      </c>
      <c r="U243" s="72">
        <f t="shared" si="101"/>
        <v>1.7053462321157722</v>
      </c>
      <c r="V243" s="72">
        <f t="shared" si="102"/>
        <v>4.2170109288720914</v>
      </c>
      <c r="W243" s="72">
        <f t="shared" si="103"/>
        <v>1.6712393074734566</v>
      </c>
      <c r="X243" s="72">
        <f t="shared" si="104"/>
        <v>2.9441251181727739</v>
      </c>
      <c r="Y243" s="72">
        <f t="shared" si="105"/>
        <v>0.71988861713317309</v>
      </c>
      <c r="Z243" s="72">
        <f t="shared" si="106"/>
        <v>3.8557764635098803</v>
      </c>
      <c r="AA243" s="72">
        <f t="shared" si="107"/>
        <v>19.244223536490122</v>
      </c>
      <c r="AB243" s="72">
        <f t="shared" si="108"/>
        <v>3.1677777175068473</v>
      </c>
      <c r="AC243" s="72">
        <f t="shared" si="109"/>
        <v>0.18868182684282603</v>
      </c>
      <c r="AD243" s="73">
        <f t="shared" si="110"/>
        <v>1206.0988078320233</v>
      </c>
      <c r="AE243" s="71">
        <f t="shared" si="111"/>
        <v>193.25470065891747</v>
      </c>
      <c r="AF243" s="74">
        <f t="shared" si="112"/>
        <v>5.8639999173037172</v>
      </c>
      <c r="AG243" s="75">
        <f t="shared" si="113"/>
        <v>2.6102807832592911</v>
      </c>
      <c r="AH243" s="76">
        <f t="shared" si="114"/>
        <v>4.3012267184041919</v>
      </c>
      <c r="AI243" s="77">
        <f t="shared" si="115"/>
        <v>5.8672184638494684</v>
      </c>
    </row>
    <row r="244" spans="1:35" ht="15.75" customHeight="1" x14ac:dyDescent="0.45">
      <c r="A244" s="59">
        <f t="shared" si="91"/>
        <v>45988</v>
      </c>
      <c r="B244" s="60">
        <v>2025</v>
      </c>
      <c r="C244" s="60">
        <v>11</v>
      </c>
      <c r="D244" s="60">
        <v>27</v>
      </c>
      <c r="E244" s="61">
        <v>331</v>
      </c>
      <c r="F244" s="62">
        <v>35</v>
      </c>
      <c r="G244" s="62">
        <v>15</v>
      </c>
      <c r="H244" s="70">
        <f t="shared" si="92"/>
        <v>25</v>
      </c>
      <c r="I244" s="62">
        <v>98</v>
      </c>
      <c r="J244" s="62">
        <v>75</v>
      </c>
      <c r="K244" s="62">
        <v>1</v>
      </c>
      <c r="L244" s="62">
        <v>30</v>
      </c>
      <c r="M244" s="71">
        <f t="shared" si="93"/>
        <v>-21.557315063495178</v>
      </c>
      <c r="N244" s="72">
        <f t="shared" si="94"/>
        <v>-0.37624700557486918</v>
      </c>
      <c r="O244" s="72">
        <f t="shared" si="95"/>
        <v>1.2468340723038325</v>
      </c>
      <c r="P244" s="72">
        <f t="shared" si="96"/>
        <v>1.0275075833727931</v>
      </c>
      <c r="Q244" s="71">
        <f t="shared" si="97"/>
        <v>15.336955236391303</v>
      </c>
      <c r="R244" s="72">
        <f t="shared" si="98"/>
        <v>1</v>
      </c>
      <c r="S244" s="71">
        <f t="shared" si="99"/>
        <v>9.5250884056824479</v>
      </c>
      <c r="T244" s="72">
        <f t="shared" si="100"/>
        <v>5.6226812384961216</v>
      </c>
      <c r="U244" s="72">
        <f t="shared" si="101"/>
        <v>1.7053462321157722</v>
      </c>
      <c r="V244" s="72">
        <f t="shared" si="102"/>
        <v>4.2170109288720914</v>
      </c>
      <c r="W244" s="72">
        <f t="shared" si="103"/>
        <v>1.6712393074734566</v>
      </c>
      <c r="X244" s="72">
        <f t="shared" si="104"/>
        <v>2.9441251181727739</v>
      </c>
      <c r="Y244" s="72">
        <f t="shared" si="105"/>
        <v>0.71988861713317309</v>
      </c>
      <c r="Z244" s="72">
        <f t="shared" si="106"/>
        <v>3.8557764635098803</v>
      </c>
      <c r="AA244" s="72">
        <f t="shared" si="107"/>
        <v>19.244223536490122</v>
      </c>
      <c r="AB244" s="72">
        <f t="shared" si="108"/>
        <v>3.1677777175068473</v>
      </c>
      <c r="AC244" s="72">
        <f t="shared" si="109"/>
        <v>0.18868182684282603</v>
      </c>
      <c r="AD244" s="73">
        <f t="shared" si="110"/>
        <v>1206.0988078320233</v>
      </c>
      <c r="AE244" s="71">
        <f t="shared" si="111"/>
        <v>193.25470065891747</v>
      </c>
      <c r="AF244" s="74">
        <f t="shared" si="112"/>
        <v>5.8639999173037172</v>
      </c>
      <c r="AG244" s="75">
        <f t="shared" si="113"/>
        <v>2.5927281158100333</v>
      </c>
      <c r="AH244" s="76">
        <f t="shared" si="114"/>
        <v>4.3012267184041919</v>
      </c>
      <c r="AI244" s="77">
        <f t="shared" si="115"/>
        <v>5.8672184638494684</v>
      </c>
    </row>
    <row r="245" spans="1:35" ht="15.75" customHeight="1" x14ac:dyDescent="0.45">
      <c r="A245" s="59">
        <f t="shared" si="91"/>
        <v>45989</v>
      </c>
      <c r="B245" s="60">
        <v>2025</v>
      </c>
      <c r="C245" s="60">
        <v>11</v>
      </c>
      <c r="D245" s="60">
        <v>28</v>
      </c>
      <c r="E245" s="61">
        <v>332</v>
      </c>
      <c r="F245" s="62">
        <v>35</v>
      </c>
      <c r="G245" s="62">
        <v>15</v>
      </c>
      <c r="H245" s="70">
        <f t="shared" si="92"/>
        <v>25</v>
      </c>
      <c r="I245" s="62">
        <v>98</v>
      </c>
      <c r="J245" s="62">
        <v>75</v>
      </c>
      <c r="K245" s="62">
        <v>1</v>
      </c>
      <c r="L245" s="62">
        <v>30</v>
      </c>
      <c r="M245" s="71">
        <f t="shared" si="93"/>
        <v>-21.712993071544254</v>
      </c>
      <c r="N245" s="72">
        <f t="shared" si="94"/>
        <v>-0.378964105742019</v>
      </c>
      <c r="O245" s="72">
        <f t="shared" si="95"/>
        <v>1.2441601070246837</v>
      </c>
      <c r="P245" s="72">
        <f t="shared" si="96"/>
        <v>1.0278173080045667</v>
      </c>
      <c r="Q245" s="71">
        <f t="shared" si="97"/>
        <v>15.23729519958008</v>
      </c>
      <c r="R245" s="72">
        <f t="shared" si="98"/>
        <v>1</v>
      </c>
      <c r="S245" s="71">
        <f t="shared" si="99"/>
        <v>9.5046608634429628</v>
      </c>
      <c r="T245" s="72">
        <f t="shared" si="100"/>
        <v>5.6226812384961216</v>
      </c>
      <c r="U245" s="72">
        <f t="shared" si="101"/>
        <v>1.7053462321157722</v>
      </c>
      <c r="V245" s="72">
        <f t="shared" si="102"/>
        <v>4.2170109288720914</v>
      </c>
      <c r="W245" s="72">
        <f t="shared" si="103"/>
        <v>1.6712393074734566</v>
      </c>
      <c r="X245" s="72">
        <f t="shared" si="104"/>
        <v>2.9441251181727739</v>
      </c>
      <c r="Y245" s="72">
        <f t="shared" si="105"/>
        <v>0.71988861713317309</v>
      </c>
      <c r="Z245" s="72">
        <f t="shared" si="106"/>
        <v>3.8557764635098803</v>
      </c>
      <c r="AA245" s="72">
        <f t="shared" si="107"/>
        <v>19.244223536490122</v>
      </c>
      <c r="AB245" s="72">
        <f t="shared" si="108"/>
        <v>3.1677777175068473</v>
      </c>
      <c r="AC245" s="72">
        <f t="shared" si="109"/>
        <v>0.18868182684282603</v>
      </c>
      <c r="AD245" s="73">
        <f t="shared" si="110"/>
        <v>1206.0988078320233</v>
      </c>
      <c r="AE245" s="71">
        <f t="shared" si="111"/>
        <v>193.25470065891747</v>
      </c>
      <c r="AF245" s="74">
        <f t="shared" si="112"/>
        <v>5.8639999173037172</v>
      </c>
      <c r="AG245" s="75">
        <f t="shared" si="113"/>
        <v>2.5758804837031066</v>
      </c>
      <c r="AH245" s="76">
        <f t="shared" si="114"/>
        <v>4.3012267184041919</v>
      </c>
      <c r="AI245" s="77">
        <f t="shared" si="115"/>
        <v>5.8672184638494684</v>
      </c>
    </row>
    <row r="246" spans="1:35" ht="15.75" customHeight="1" x14ac:dyDescent="0.45">
      <c r="A246" s="59">
        <f t="shared" si="91"/>
        <v>45990</v>
      </c>
      <c r="B246" s="60">
        <v>2025</v>
      </c>
      <c r="C246" s="60">
        <v>11</v>
      </c>
      <c r="D246" s="60">
        <v>29</v>
      </c>
      <c r="E246" s="61">
        <v>333</v>
      </c>
      <c r="F246" s="62">
        <v>35</v>
      </c>
      <c r="G246" s="62">
        <v>15</v>
      </c>
      <c r="H246" s="70">
        <f t="shared" si="92"/>
        <v>25</v>
      </c>
      <c r="I246" s="62">
        <v>98</v>
      </c>
      <c r="J246" s="62">
        <v>75</v>
      </c>
      <c r="K246" s="62">
        <v>1</v>
      </c>
      <c r="L246" s="62">
        <v>30</v>
      </c>
      <c r="M246" s="71">
        <f t="shared" si="93"/>
        <v>-21.862237021051055</v>
      </c>
      <c r="N246" s="72">
        <f t="shared" si="94"/>
        <v>-0.3815689101407444</v>
      </c>
      <c r="O246" s="72">
        <f t="shared" si="95"/>
        <v>1.2415889339567197</v>
      </c>
      <c r="P246" s="72">
        <f t="shared" si="96"/>
        <v>1.028118789729082</v>
      </c>
      <c r="Q246" s="71">
        <f t="shared" si="97"/>
        <v>15.141833897304792</v>
      </c>
      <c r="R246" s="72">
        <f t="shared" si="98"/>
        <v>1</v>
      </c>
      <c r="S246" s="71">
        <f t="shared" si="99"/>
        <v>9.4850185940161928</v>
      </c>
      <c r="T246" s="72">
        <f t="shared" si="100"/>
        <v>5.6226812384961216</v>
      </c>
      <c r="U246" s="72">
        <f t="shared" si="101"/>
        <v>1.7053462321157722</v>
      </c>
      <c r="V246" s="72">
        <f t="shared" si="102"/>
        <v>4.2170109288720914</v>
      </c>
      <c r="W246" s="72">
        <f t="shared" si="103"/>
        <v>1.6712393074734566</v>
      </c>
      <c r="X246" s="72">
        <f t="shared" si="104"/>
        <v>2.9441251181727739</v>
      </c>
      <c r="Y246" s="72">
        <f t="shared" si="105"/>
        <v>0.71988861713317309</v>
      </c>
      <c r="Z246" s="72">
        <f t="shared" si="106"/>
        <v>3.8557764635098803</v>
      </c>
      <c r="AA246" s="72">
        <f t="shared" si="107"/>
        <v>19.244223536490122</v>
      </c>
      <c r="AB246" s="72">
        <f t="shared" si="108"/>
        <v>3.1677777175068473</v>
      </c>
      <c r="AC246" s="72">
        <f t="shared" si="109"/>
        <v>0.18868182684282603</v>
      </c>
      <c r="AD246" s="73">
        <f t="shared" si="110"/>
        <v>1206.0988078320233</v>
      </c>
      <c r="AE246" s="71">
        <f t="shared" si="111"/>
        <v>193.25470065891747</v>
      </c>
      <c r="AF246" s="74">
        <f t="shared" si="112"/>
        <v>5.8639999173037172</v>
      </c>
      <c r="AG246" s="75">
        <f t="shared" si="113"/>
        <v>2.5597426520040414</v>
      </c>
      <c r="AH246" s="76">
        <f t="shared" si="114"/>
        <v>4.3012267184041919</v>
      </c>
      <c r="AI246" s="77">
        <f t="shared" si="115"/>
        <v>5.8672184638494684</v>
      </c>
    </row>
    <row r="247" spans="1:35" ht="15.75" customHeight="1" x14ac:dyDescent="0.45">
      <c r="A247" s="59">
        <f t="shared" si="91"/>
        <v>45991</v>
      </c>
      <c r="B247" s="60">
        <v>2025</v>
      </c>
      <c r="C247" s="60">
        <v>11</v>
      </c>
      <c r="D247" s="60">
        <v>30</v>
      </c>
      <c r="E247" s="61">
        <v>334</v>
      </c>
      <c r="F247" s="62">
        <v>35</v>
      </c>
      <c r="G247" s="62">
        <v>15</v>
      </c>
      <c r="H247" s="70">
        <f t="shared" si="92"/>
        <v>25</v>
      </c>
      <c r="I247" s="62">
        <v>98</v>
      </c>
      <c r="J247" s="62">
        <v>75</v>
      </c>
      <c r="K247" s="62">
        <v>1</v>
      </c>
      <c r="L247" s="62">
        <v>30</v>
      </c>
      <c r="M247" s="71">
        <f t="shared" si="93"/>
        <v>-22.005002687605572</v>
      </c>
      <c r="N247" s="72">
        <f t="shared" si="94"/>
        <v>-0.38406064690767594</v>
      </c>
      <c r="O247" s="72">
        <f t="shared" si="95"/>
        <v>1.2391222128921935</v>
      </c>
      <c r="P247" s="72">
        <f t="shared" si="96"/>
        <v>1.0284119392103797</v>
      </c>
      <c r="Q247" s="71">
        <f t="shared" si="97"/>
        <v>15.050598071923773</v>
      </c>
      <c r="R247" s="72">
        <f t="shared" si="98"/>
        <v>1</v>
      </c>
      <c r="S247" s="71">
        <f t="shared" si="99"/>
        <v>9.4661742772512874</v>
      </c>
      <c r="T247" s="72">
        <f t="shared" si="100"/>
        <v>5.6226812384961216</v>
      </c>
      <c r="U247" s="72">
        <f t="shared" si="101"/>
        <v>1.7053462321157722</v>
      </c>
      <c r="V247" s="72">
        <f t="shared" si="102"/>
        <v>4.2170109288720914</v>
      </c>
      <c r="W247" s="72">
        <f t="shared" si="103"/>
        <v>1.6712393074734566</v>
      </c>
      <c r="X247" s="72">
        <f t="shared" si="104"/>
        <v>2.9441251181727739</v>
      </c>
      <c r="Y247" s="72">
        <f t="shared" si="105"/>
        <v>0.71988861713317309</v>
      </c>
      <c r="Z247" s="72">
        <f t="shared" si="106"/>
        <v>3.8557764635098803</v>
      </c>
      <c r="AA247" s="72">
        <f t="shared" si="107"/>
        <v>19.244223536490122</v>
      </c>
      <c r="AB247" s="72">
        <f t="shared" si="108"/>
        <v>3.1677777175068473</v>
      </c>
      <c r="AC247" s="72">
        <f t="shared" si="109"/>
        <v>0.18868182684282603</v>
      </c>
      <c r="AD247" s="73">
        <f t="shared" si="110"/>
        <v>1206.0988078320233</v>
      </c>
      <c r="AE247" s="71">
        <f t="shared" si="111"/>
        <v>193.25470065891747</v>
      </c>
      <c r="AF247" s="74">
        <f t="shared" si="112"/>
        <v>5.8639999173037172</v>
      </c>
      <c r="AG247" s="75">
        <f t="shared" si="113"/>
        <v>2.5443191415361213</v>
      </c>
      <c r="AH247" s="76">
        <f t="shared" si="114"/>
        <v>4.3012267184041919</v>
      </c>
      <c r="AI247" s="77">
        <f t="shared" si="115"/>
        <v>5.8672184638494684</v>
      </c>
    </row>
    <row r="248" spans="1:35" ht="15.75" customHeight="1" x14ac:dyDescent="0.45">
      <c r="A248" s="59">
        <f t="shared" si="91"/>
        <v>45992</v>
      </c>
      <c r="B248" s="60">
        <v>2025</v>
      </c>
      <c r="C248" s="60">
        <v>12</v>
      </c>
      <c r="D248" s="60">
        <v>1</v>
      </c>
      <c r="E248" s="61">
        <v>335</v>
      </c>
      <c r="F248" s="62">
        <v>35</v>
      </c>
      <c r="G248" s="62">
        <v>15</v>
      </c>
      <c r="H248" s="70">
        <f t="shared" si="92"/>
        <v>25</v>
      </c>
      <c r="I248" s="62">
        <v>98</v>
      </c>
      <c r="J248" s="62">
        <v>75</v>
      </c>
      <c r="K248" s="62">
        <v>1</v>
      </c>
      <c r="L248" s="62">
        <v>30</v>
      </c>
      <c r="M248" s="71">
        <f t="shared" si="93"/>
        <v>-22.141247766461813</v>
      </c>
      <c r="N248" s="72">
        <f t="shared" si="94"/>
        <v>-0.38643857768398021</v>
      </c>
      <c r="O248" s="72">
        <f t="shared" si="95"/>
        <v>1.2367615572165829</v>
      </c>
      <c r="P248" s="72">
        <f t="shared" si="96"/>
        <v>1.0286966695815354</v>
      </c>
      <c r="Q248" s="71">
        <f t="shared" si="97"/>
        <v>14.963613048602136</v>
      </c>
      <c r="R248" s="72">
        <f t="shared" si="98"/>
        <v>1</v>
      </c>
      <c r="S248" s="71">
        <f t="shared" si="99"/>
        <v>9.4481402384765705</v>
      </c>
      <c r="T248" s="72">
        <f t="shared" si="100"/>
        <v>5.6226812384961216</v>
      </c>
      <c r="U248" s="72">
        <f t="shared" si="101"/>
        <v>1.7053462321157722</v>
      </c>
      <c r="V248" s="72">
        <f t="shared" si="102"/>
        <v>4.2170109288720914</v>
      </c>
      <c r="W248" s="72">
        <f t="shared" si="103"/>
        <v>1.6712393074734566</v>
      </c>
      <c r="X248" s="72">
        <f t="shared" si="104"/>
        <v>2.9441251181727739</v>
      </c>
      <c r="Y248" s="72">
        <f t="shared" si="105"/>
        <v>0.71988861713317309</v>
      </c>
      <c r="Z248" s="72">
        <f t="shared" si="106"/>
        <v>3.8557764635098803</v>
      </c>
      <c r="AA248" s="72">
        <f t="shared" si="107"/>
        <v>19.244223536490122</v>
      </c>
      <c r="AB248" s="72">
        <f t="shared" si="108"/>
        <v>3.1677777175068473</v>
      </c>
      <c r="AC248" s="72">
        <f t="shared" si="109"/>
        <v>0.18868182684282603</v>
      </c>
      <c r="AD248" s="73">
        <f t="shared" si="110"/>
        <v>1206.0988078320233</v>
      </c>
      <c r="AE248" s="71">
        <f t="shared" si="111"/>
        <v>193.25470065891747</v>
      </c>
      <c r="AF248" s="74">
        <f t="shared" si="112"/>
        <v>5.8639999173037172</v>
      </c>
      <c r="AG248" s="75">
        <f t="shared" si="113"/>
        <v>2.5296142335446534</v>
      </c>
      <c r="AH248" s="76">
        <f t="shared" si="114"/>
        <v>4.3012267184041919</v>
      </c>
      <c r="AI248" s="77">
        <f t="shared" si="115"/>
        <v>5.8672184638494684</v>
      </c>
    </row>
    <row r="249" spans="1:35" ht="15.75" customHeight="1" x14ac:dyDescent="0.45">
      <c r="A249" s="59">
        <f t="shared" si="91"/>
        <v>45993</v>
      </c>
      <c r="B249" s="60">
        <v>2025</v>
      </c>
      <c r="C249" s="60">
        <v>12</v>
      </c>
      <c r="D249" s="60">
        <v>2</v>
      </c>
      <c r="E249" s="61">
        <v>336</v>
      </c>
      <c r="F249" s="62">
        <v>35</v>
      </c>
      <c r="G249" s="62">
        <v>15</v>
      </c>
      <c r="H249" s="70">
        <f t="shared" si="92"/>
        <v>25</v>
      </c>
      <c r="I249" s="62">
        <v>98</v>
      </c>
      <c r="J249" s="62">
        <v>75</v>
      </c>
      <c r="K249" s="62">
        <v>1</v>
      </c>
      <c r="L249" s="62">
        <v>30</v>
      </c>
      <c r="M249" s="71">
        <f t="shared" si="93"/>
        <v>-22.270931885073697</v>
      </c>
      <c r="N249" s="72">
        <f t="shared" si="94"/>
        <v>-0.38870199783415288</v>
      </c>
      <c r="O249" s="72">
        <f t="shared" si="95"/>
        <v>1.2345085304441969</v>
      </c>
      <c r="P249" s="72">
        <f t="shared" si="96"/>
        <v>1.0289728964704008</v>
      </c>
      <c r="Q249" s="71">
        <f t="shared" si="97"/>
        <v>14.880902763240611</v>
      </c>
      <c r="R249" s="72">
        <f t="shared" si="98"/>
        <v>1</v>
      </c>
      <c r="S249" s="71">
        <f t="shared" si="99"/>
        <v>9.4309284220335901</v>
      </c>
      <c r="T249" s="72">
        <f t="shared" si="100"/>
        <v>5.6226812384961216</v>
      </c>
      <c r="U249" s="72">
        <f t="shared" si="101"/>
        <v>1.7053462321157722</v>
      </c>
      <c r="V249" s="72">
        <f t="shared" si="102"/>
        <v>4.2170109288720914</v>
      </c>
      <c r="W249" s="72">
        <f t="shared" si="103"/>
        <v>1.6712393074734566</v>
      </c>
      <c r="X249" s="72">
        <f t="shared" si="104"/>
        <v>2.9441251181727739</v>
      </c>
      <c r="Y249" s="72">
        <f t="shared" si="105"/>
        <v>0.71988861713317309</v>
      </c>
      <c r="Z249" s="72">
        <f t="shared" si="106"/>
        <v>3.8557764635098803</v>
      </c>
      <c r="AA249" s="72">
        <f t="shared" si="107"/>
        <v>19.244223536490122</v>
      </c>
      <c r="AB249" s="72">
        <f t="shared" si="108"/>
        <v>3.1677777175068473</v>
      </c>
      <c r="AC249" s="72">
        <f t="shared" si="109"/>
        <v>0.18868182684282603</v>
      </c>
      <c r="AD249" s="73">
        <f t="shared" si="110"/>
        <v>1206.0988078320233</v>
      </c>
      <c r="AE249" s="71">
        <f t="shared" si="111"/>
        <v>193.25470065891747</v>
      </c>
      <c r="AF249" s="74">
        <f t="shared" si="112"/>
        <v>5.8639999173037172</v>
      </c>
      <c r="AG249" s="75">
        <f t="shared" si="113"/>
        <v>2.5156319744183655</v>
      </c>
      <c r="AH249" s="76">
        <f t="shared" si="114"/>
        <v>4.3012267184041919</v>
      </c>
      <c r="AI249" s="77">
        <f t="shared" si="115"/>
        <v>5.8672184638494684</v>
      </c>
    </row>
    <row r="250" spans="1:35" ht="15.75" customHeight="1" x14ac:dyDescent="0.45">
      <c r="A250" s="59">
        <f t="shared" si="91"/>
        <v>45994</v>
      </c>
      <c r="B250" s="60">
        <v>2025</v>
      </c>
      <c r="C250" s="60">
        <v>12</v>
      </c>
      <c r="D250" s="60">
        <v>3</v>
      </c>
      <c r="E250" s="61">
        <v>337</v>
      </c>
      <c r="F250" s="62">
        <v>35</v>
      </c>
      <c r="G250" s="62">
        <v>15</v>
      </c>
      <c r="H250" s="70">
        <f t="shared" si="92"/>
        <v>25</v>
      </c>
      <c r="I250" s="62">
        <v>98</v>
      </c>
      <c r="J250" s="62">
        <v>75</v>
      </c>
      <c r="K250" s="62">
        <v>1</v>
      </c>
      <c r="L250" s="62">
        <v>30</v>
      </c>
      <c r="M250" s="71">
        <f t="shared" si="93"/>
        <v>-22.394016615058344</v>
      </c>
      <c r="N250" s="72">
        <f t="shared" si="94"/>
        <v>-0.39085023665481827</v>
      </c>
      <c r="O250" s="72">
        <f t="shared" si="95"/>
        <v>1.2323646427919406</v>
      </c>
      <c r="P250" s="72">
        <f t="shared" si="96"/>
        <v>1.0292405380246041</v>
      </c>
      <c r="Q250" s="71">
        <f t="shared" si="97"/>
        <v>14.8024897905538</v>
      </c>
      <c r="R250" s="72">
        <f t="shared" si="98"/>
        <v>1</v>
      </c>
      <c r="S250" s="71">
        <f t="shared" si="99"/>
        <v>9.414550365102679</v>
      </c>
      <c r="T250" s="72">
        <f t="shared" si="100"/>
        <v>5.6226812384961216</v>
      </c>
      <c r="U250" s="72">
        <f t="shared" si="101"/>
        <v>1.7053462321157722</v>
      </c>
      <c r="V250" s="72">
        <f t="shared" si="102"/>
        <v>4.2170109288720914</v>
      </c>
      <c r="W250" s="72">
        <f t="shared" si="103"/>
        <v>1.6712393074734566</v>
      </c>
      <c r="X250" s="72">
        <f t="shared" si="104"/>
        <v>2.9441251181727739</v>
      </c>
      <c r="Y250" s="72">
        <f t="shared" si="105"/>
        <v>0.71988861713317309</v>
      </c>
      <c r="Z250" s="72">
        <f t="shared" si="106"/>
        <v>3.8557764635098803</v>
      </c>
      <c r="AA250" s="72">
        <f t="shared" si="107"/>
        <v>19.244223536490122</v>
      </c>
      <c r="AB250" s="72">
        <f t="shared" si="108"/>
        <v>3.1677777175068473</v>
      </c>
      <c r="AC250" s="72">
        <f t="shared" si="109"/>
        <v>0.18868182684282603</v>
      </c>
      <c r="AD250" s="73">
        <f t="shared" si="110"/>
        <v>1206.0988078320233</v>
      </c>
      <c r="AE250" s="71">
        <f t="shared" si="111"/>
        <v>193.25470065891747</v>
      </c>
      <c r="AF250" s="74">
        <f t="shared" si="112"/>
        <v>5.8639999173037172</v>
      </c>
      <c r="AG250" s="75">
        <f t="shared" si="113"/>
        <v>2.5023761804360674</v>
      </c>
      <c r="AH250" s="76">
        <f t="shared" si="114"/>
        <v>4.3012267184041919</v>
      </c>
      <c r="AI250" s="77">
        <f t="shared" si="115"/>
        <v>5.8672184638494684</v>
      </c>
    </row>
    <row r="251" spans="1:35" ht="15.75" customHeight="1" x14ac:dyDescent="0.45">
      <c r="A251" s="59">
        <f t="shared" si="91"/>
        <v>45995</v>
      </c>
      <c r="B251" s="60">
        <v>2025</v>
      </c>
      <c r="C251" s="60">
        <v>12</v>
      </c>
      <c r="D251" s="60">
        <v>4</v>
      </c>
      <c r="E251" s="61">
        <v>338</v>
      </c>
      <c r="F251" s="62">
        <v>35</v>
      </c>
      <c r="G251" s="62">
        <v>15</v>
      </c>
      <c r="H251" s="70">
        <f t="shared" si="92"/>
        <v>25</v>
      </c>
      <c r="I251" s="62">
        <v>98</v>
      </c>
      <c r="J251" s="62">
        <v>75</v>
      </c>
      <c r="K251" s="62">
        <v>1</v>
      </c>
      <c r="L251" s="62">
        <v>30</v>
      </c>
      <c r="M251" s="71">
        <f t="shared" si="93"/>
        <v>-22.510465483583303</v>
      </c>
      <c r="N251" s="72">
        <f t="shared" si="94"/>
        <v>-0.3928826575734739</v>
      </c>
      <c r="O251" s="72">
        <f t="shared" si="95"/>
        <v>1.2303313478056432</v>
      </c>
      <c r="P251" s="72">
        <f t="shared" si="96"/>
        <v>1.0294995149358062</v>
      </c>
      <c r="Q251" s="71">
        <f t="shared" si="97"/>
        <v>14.728395372108983</v>
      </c>
      <c r="R251" s="72">
        <f t="shared" si="98"/>
        <v>1</v>
      </c>
      <c r="S251" s="71">
        <f t="shared" si="99"/>
        <v>9.3990171719300477</v>
      </c>
      <c r="T251" s="72">
        <f t="shared" si="100"/>
        <v>5.6226812384961216</v>
      </c>
      <c r="U251" s="72">
        <f t="shared" si="101"/>
        <v>1.7053462321157722</v>
      </c>
      <c r="V251" s="72">
        <f t="shared" si="102"/>
        <v>4.2170109288720914</v>
      </c>
      <c r="W251" s="72">
        <f t="shared" si="103"/>
        <v>1.6712393074734566</v>
      </c>
      <c r="X251" s="72">
        <f t="shared" si="104"/>
        <v>2.9441251181727739</v>
      </c>
      <c r="Y251" s="72">
        <f t="shared" si="105"/>
        <v>0.71988861713317309</v>
      </c>
      <c r="Z251" s="72">
        <f t="shared" si="106"/>
        <v>3.8557764635098803</v>
      </c>
      <c r="AA251" s="72">
        <f t="shared" si="107"/>
        <v>19.244223536490122</v>
      </c>
      <c r="AB251" s="72">
        <f t="shared" si="108"/>
        <v>3.1677777175068473</v>
      </c>
      <c r="AC251" s="72">
        <f t="shared" si="109"/>
        <v>0.18868182684282603</v>
      </c>
      <c r="AD251" s="73">
        <f t="shared" si="110"/>
        <v>1206.0988078320233</v>
      </c>
      <c r="AE251" s="71">
        <f t="shared" si="111"/>
        <v>193.25470065891747</v>
      </c>
      <c r="AF251" s="74">
        <f t="shared" si="112"/>
        <v>5.8639999173037172</v>
      </c>
      <c r="AG251" s="75">
        <f t="shared" si="113"/>
        <v>2.489850442506635</v>
      </c>
      <c r="AH251" s="76">
        <f t="shared" si="114"/>
        <v>4.3012267184041919</v>
      </c>
      <c r="AI251" s="77">
        <f t="shared" si="115"/>
        <v>5.8672184638494684</v>
      </c>
    </row>
    <row r="252" spans="1:35" ht="15.75" customHeight="1" x14ac:dyDescent="0.45">
      <c r="A252" s="59">
        <f t="shared" si="91"/>
        <v>45996</v>
      </c>
      <c r="B252" s="60">
        <v>2025</v>
      </c>
      <c r="C252" s="60">
        <v>12</v>
      </c>
      <c r="D252" s="60">
        <v>5</v>
      </c>
      <c r="E252" s="61">
        <v>339</v>
      </c>
      <c r="F252" s="62">
        <v>35</v>
      </c>
      <c r="G252" s="62">
        <v>15</v>
      </c>
      <c r="H252" s="70">
        <f t="shared" si="92"/>
        <v>25</v>
      </c>
      <c r="I252" s="62">
        <v>98</v>
      </c>
      <c r="J252" s="62">
        <v>75</v>
      </c>
      <c r="K252" s="62">
        <v>1</v>
      </c>
      <c r="L252" s="62">
        <v>30</v>
      </c>
      <c r="M252" s="71">
        <f t="shared" si="93"/>
        <v>-22.620243984174284</v>
      </c>
      <c r="N252" s="72">
        <f t="shared" si="94"/>
        <v>-0.3947986583371218</v>
      </c>
      <c r="O252" s="72">
        <f t="shared" si="95"/>
        <v>1.22841003905353</v>
      </c>
      <c r="P252" s="72">
        <f t="shared" si="96"/>
        <v>1.0297497504631998</v>
      </c>
      <c r="Q252" s="71">
        <f t="shared" si="97"/>
        <v>14.658639444137165</v>
      </c>
      <c r="R252" s="72">
        <f t="shared" si="98"/>
        <v>1</v>
      </c>
      <c r="S252" s="71">
        <f t="shared" si="99"/>
        <v>9.3843394885678375</v>
      </c>
      <c r="T252" s="72">
        <f t="shared" si="100"/>
        <v>5.6226812384961216</v>
      </c>
      <c r="U252" s="72">
        <f t="shared" si="101"/>
        <v>1.7053462321157722</v>
      </c>
      <c r="V252" s="72">
        <f t="shared" si="102"/>
        <v>4.2170109288720914</v>
      </c>
      <c r="W252" s="72">
        <f t="shared" si="103"/>
        <v>1.6712393074734566</v>
      </c>
      <c r="X252" s="72">
        <f t="shared" si="104"/>
        <v>2.9441251181727739</v>
      </c>
      <c r="Y252" s="72">
        <f t="shared" si="105"/>
        <v>0.71988861713317309</v>
      </c>
      <c r="Z252" s="72">
        <f t="shared" si="106"/>
        <v>3.8557764635098803</v>
      </c>
      <c r="AA252" s="72">
        <f t="shared" si="107"/>
        <v>19.244223536490122</v>
      </c>
      <c r="AB252" s="72">
        <f t="shared" si="108"/>
        <v>3.1677777175068473</v>
      </c>
      <c r="AC252" s="72">
        <f t="shared" si="109"/>
        <v>0.18868182684282603</v>
      </c>
      <c r="AD252" s="73">
        <f t="shared" si="110"/>
        <v>1206.0988078320233</v>
      </c>
      <c r="AE252" s="71">
        <f t="shared" si="111"/>
        <v>193.25470065891747</v>
      </c>
      <c r="AF252" s="74">
        <f t="shared" si="112"/>
        <v>5.8639999173037172</v>
      </c>
      <c r="AG252" s="75">
        <f t="shared" si="113"/>
        <v>2.4780581308705019</v>
      </c>
      <c r="AH252" s="76">
        <f t="shared" si="114"/>
        <v>4.3012267184041919</v>
      </c>
      <c r="AI252" s="77">
        <f t="shared" si="115"/>
        <v>5.8672184638494684</v>
      </c>
    </row>
    <row r="253" spans="1:35" ht="15.75" customHeight="1" x14ac:dyDescent="0.45">
      <c r="A253" s="59">
        <f t="shared" si="91"/>
        <v>45997</v>
      </c>
      <c r="B253" s="60">
        <v>2025</v>
      </c>
      <c r="C253" s="60">
        <v>12</v>
      </c>
      <c r="D253" s="60">
        <v>6</v>
      </c>
      <c r="E253" s="61">
        <v>340</v>
      </c>
      <c r="F253" s="62">
        <v>35</v>
      </c>
      <c r="G253" s="62">
        <v>15</v>
      </c>
      <c r="H253" s="70">
        <f t="shared" si="92"/>
        <v>25</v>
      </c>
      <c r="I253" s="62">
        <v>98</v>
      </c>
      <c r="J253" s="62">
        <v>75</v>
      </c>
      <c r="K253" s="62">
        <v>1</v>
      </c>
      <c r="L253" s="62">
        <v>30</v>
      </c>
      <c r="M253" s="71">
        <f t="shared" si="93"/>
        <v>-22.723319586940203</v>
      </c>
      <c r="N253" s="72">
        <f t="shared" si="94"/>
        <v>-0.39659767119072969</v>
      </c>
      <c r="O253" s="72">
        <f t="shared" si="95"/>
        <v>1.2266020469015086</v>
      </c>
      <c r="P253" s="72">
        <f t="shared" si="96"/>
        <v>1.0299911704562512</v>
      </c>
      <c r="Q253" s="71">
        <f t="shared" si="97"/>
        <v>14.593240664930034</v>
      </c>
      <c r="R253" s="72">
        <f t="shared" si="98"/>
        <v>1</v>
      </c>
      <c r="S253" s="71">
        <f t="shared" si="99"/>
        <v>9.3705274782391808</v>
      </c>
      <c r="T253" s="72">
        <f t="shared" si="100"/>
        <v>5.6226812384961216</v>
      </c>
      <c r="U253" s="72">
        <f t="shared" si="101"/>
        <v>1.7053462321157722</v>
      </c>
      <c r="V253" s="72">
        <f t="shared" si="102"/>
        <v>4.2170109288720914</v>
      </c>
      <c r="W253" s="72">
        <f t="shared" si="103"/>
        <v>1.6712393074734566</v>
      </c>
      <c r="X253" s="72">
        <f t="shared" si="104"/>
        <v>2.9441251181727739</v>
      </c>
      <c r="Y253" s="72">
        <f t="shared" si="105"/>
        <v>0.71988861713317309</v>
      </c>
      <c r="Z253" s="72">
        <f t="shared" si="106"/>
        <v>3.8557764635098803</v>
      </c>
      <c r="AA253" s="72">
        <f t="shared" si="107"/>
        <v>19.244223536490122</v>
      </c>
      <c r="AB253" s="72">
        <f t="shared" si="108"/>
        <v>3.1677777175068473</v>
      </c>
      <c r="AC253" s="72">
        <f t="shared" si="109"/>
        <v>0.18868182684282603</v>
      </c>
      <c r="AD253" s="73">
        <f t="shared" si="110"/>
        <v>1206.0988078320233</v>
      </c>
      <c r="AE253" s="71">
        <f t="shared" si="111"/>
        <v>193.25470065891747</v>
      </c>
      <c r="AF253" s="74">
        <f t="shared" si="112"/>
        <v>5.8639999173037172</v>
      </c>
      <c r="AG253" s="75">
        <f t="shared" si="113"/>
        <v>2.4670023997311392</v>
      </c>
      <c r="AH253" s="76">
        <f t="shared" si="114"/>
        <v>4.3012267184041919</v>
      </c>
      <c r="AI253" s="77">
        <f t="shared" si="115"/>
        <v>5.8672184638494684</v>
      </c>
    </row>
    <row r="254" spans="1:35" ht="15.75" customHeight="1" x14ac:dyDescent="0.45">
      <c r="A254" s="59">
        <f t="shared" si="91"/>
        <v>45998</v>
      </c>
      <c r="B254" s="60">
        <v>2025</v>
      </c>
      <c r="C254" s="60">
        <v>12</v>
      </c>
      <c r="D254" s="60">
        <v>7</v>
      </c>
      <c r="E254" s="61">
        <v>341</v>
      </c>
      <c r="F254" s="62">
        <v>35</v>
      </c>
      <c r="G254" s="62">
        <v>15</v>
      </c>
      <c r="H254" s="70">
        <f t="shared" si="92"/>
        <v>25</v>
      </c>
      <c r="I254" s="62">
        <v>98</v>
      </c>
      <c r="J254" s="62">
        <v>75</v>
      </c>
      <c r="K254" s="62">
        <v>1</v>
      </c>
      <c r="L254" s="62">
        <v>30</v>
      </c>
      <c r="M254" s="71">
        <f t="shared" si="93"/>
        <v>-22.819661748212571</v>
      </c>
      <c r="N254" s="72">
        <f t="shared" si="94"/>
        <v>-0.39827916304547006</v>
      </c>
      <c r="O254" s="72">
        <f t="shared" si="95"/>
        <v>1.2249086353849306</v>
      </c>
      <c r="P254" s="72">
        <f t="shared" si="96"/>
        <v>1.0302237033766712</v>
      </c>
      <c r="Q254" s="71">
        <f t="shared" si="97"/>
        <v>14.532216441638958</v>
      </c>
      <c r="R254" s="72">
        <f t="shared" si="98"/>
        <v>1</v>
      </c>
      <c r="S254" s="71">
        <f t="shared" si="99"/>
        <v>9.357590797440265</v>
      </c>
      <c r="T254" s="72">
        <f t="shared" si="100"/>
        <v>5.6226812384961216</v>
      </c>
      <c r="U254" s="72">
        <f t="shared" si="101"/>
        <v>1.7053462321157722</v>
      </c>
      <c r="V254" s="72">
        <f t="shared" si="102"/>
        <v>4.2170109288720914</v>
      </c>
      <c r="W254" s="72">
        <f t="shared" si="103"/>
        <v>1.6712393074734566</v>
      </c>
      <c r="X254" s="72">
        <f t="shared" si="104"/>
        <v>2.9441251181727739</v>
      </c>
      <c r="Y254" s="72">
        <f t="shared" si="105"/>
        <v>0.71988861713317309</v>
      </c>
      <c r="Z254" s="72">
        <f t="shared" si="106"/>
        <v>3.8557764635098803</v>
      </c>
      <c r="AA254" s="72">
        <f t="shared" si="107"/>
        <v>19.244223536490122</v>
      </c>
      <c r="AB254" s="72">
        <f t="shared" si="108"/>
        <v>3.1677777175068473</v>
      </c>
      <c r="AC254" s="72">
        <f t="shared" si="109"/>
        <v>0.18868182684282603</v>
      </c>
      <c r="AD254" s="73">
        <f t="shared" si="110"/>
        <v>1206.0988078320233</v>
      </c>
      <c r="AE254" s="71">
        <f t="shared" si="111"/>
        <v>193.25470065891747</v>
      </c>
      <c r="AF254" s="74">
        <f t="shared" si="112"/>
        <v>5.8639999173037172</v>
      </c>
      <c r="AG254" s="75">
        <f t="shared" si="113"/>
        <v>2.4566861917854563</v>
      </c>
      <c r="AH254" s="76">
        <f t="shared" si="114"/>
        <v>4.3012267184041919</v>
      </c>
      <c r="AI254" s="77">
        <f t="shared" si="115"/>
        <v>5.8672184638494684</v>
      </c>
    </row>
    <row r="255" spans="1:35" ht="15.75" customHeight="1" x14ac:dyDescent="0.45">
      <c r="A255" s="59">
        <f t="shared" si="91"/>
        <v>45999</v>
      </c>
      <c r="B255" s="60">
        <v>2025</v>
      </c>
      <c r="C255" s="60">
        <v>12</v>
      </c>
      <c r="D255" s="60">
        <v>8</v>
      </c>
      <c r="E255" s="61">
        <v>342</v>
      </c>
      <c r="F255" s="62">
        <v>35</v>
      </c>
      <c r="G255" s="62">
        <v>15</v>
      </c>
      <c r="H255" s="70">
        <f t="shared" si="92"/>
        <v>25</v>
      </c>
      <c r="I255" s="62">
        <v>98</v>
      </c>
      <c r="J255" s="62">
        <v>75</v>
      </c>
      <c r="K255" s="62">
        <v>1</v>
      </c>
      <c r="L255" s="62">
        <v>30</v>
      </c>
      <c r="M255" s="71">
        <f t="shared" si="93"/>
        <v>-22.909241919596248</v>
      </c>
      <c r="N255" s="72">
        <f t="shared" si="94"/>
        <v>-0.39984263563668648</v>
      </c>
      <c r="O255" s="72">
        <f t="shared" si="95"/>
        <v>1.223330999191369</v>
      </c>
      <c r="P255" s="72">
        <f t="shared" si="96"/>
        <v>1.0304472803196152</v>
      </c>
      <c r="Q255" s="71">
        <f t="shared" si="97"/>
        <v>14.475582956296197</v>
      </c>
      <c r="R255" s="72">
        <f t="shared" si="98"/>
        <v>1</v>
      </c>
      <c r="S255" s="71">
        <f t="shared" si="99"/>
        <v>9.3455385728905203</v>
      </c>
      <c r="T255" s="72">
        <f t="shared" si="100"/>
        <v>5.6226812384961216</v>
      </c>
      <c r="U255" s="72">
        <f t="shared" si="101"/>
        <v>1.7053462321157722</v>
      </c>
      <c r="V255" s="72">
        <f t="shared" si="102"/>
        <v>4.2170109288720914</v>
      </c>
      <c r="W255" s="72">
        <f t="shared" si="103"/>
        <v>1.6712393074734566</v>
      </c>
      <c r="X255" s="72">
        <f t="shared" si="104"/>
        <v>2.9441251181727739</v>
      </c>
      <c r="Y255" s="72">
        <f t="shared" si="105"/>
        <v>0.71988861713317309</v>
      </c>
      <c r="Z255" s="72">
        <f t="shared" si="106"/>
        <v>3.8557764635098803</v>
      </c>
      <c r="AA255" s="72">
        <f t="shared" si="107"/>
        <v>19.244223536490122</v>
      </c>
      <c r="AB255" s="72">
        <f t="shared" si="108"/>
        <v>3.1677777175068473</v>
      </c>
      <c r="AC255" s="72">
        <f t="shared" si="109"/>
        <v>0.18868182684282603</v>
      </c>
      <c r="AD255" s="73">
        <f t="shared" si="110"/>
        <v>1206.0988078320233</v>
      </c>
      <c r="AE255" s="71">
        <f t="shared" si="111"/>
        <v>193.25470065891747</v>
      </c>
      <c r="AF255" s="74">
        <f t="shared" si="112"/>
        <v>5.8639999173037172</v>
      </c>
      <c r="AG255" s="75">
        <f t="shared" si="113"/>
        <v>2.4471122426227119</v>
      </c>
      <c r="AH255" s="76">
        <f t="shared" si="114"/>
        <v>4.3012267184041919</v>
      </c>
      <c r="AI255" s="77">
        <f t="shared" si="115"/>
        <v>5.8672184638494684</v>
      </c>
    </row>
    <row r="256" spans="1:35" ht="15.75" customHeight="1" x14ac:dyDescent="0.45">
      <c r="A256" s="59">
        <f t="shared" si="91"/>
        <v>46000</v>
      </c>
      <c r="B256" s="60">
        <v>2025</v>
      </c>
      <c r="C256" s="60">
        <v>12</v>
      </c>
      <c r="D256" s="60">
        <v>9</v>
      </c>
      <c r="E256" s="61">
        <v>343</v>
      </c>
      <c r="F256" s="62">
        <v>35</v>
      </c>
      <c r="G256" s="62">
        <v>15</v>
      </c>
      <c r="H256" s="70">
        <f t="shared" si="92"/>
        <v>25</v>
      </c>
      <c r="I256" s="62">
        <v>98</v>
      </c>
      <c r="J256" s="62">
        <v>75</v>
      </c>
      <c r="K256" s="62">
        <v>1</v>
      </c>
      <c r="L256" s="62">
        <v>30</v>
      </c>
      <c r="M256" s="71">
        <f t="shared" si="93"/>
        <v>-22.992033556429018</v>
      </c>
      <c r="N256" s="72">
        <f t="shared" si="94"/>
        <v>-0.40128762567154114</v>
      </c>
      <c r="O256" s="72">
        <f t="shared" si="95"/>
        <v>1.2218702607687439</v>
      </c>
      <c r="P256" s="72">
        <f t="shared" si="96"/>
        <v>1.0306618350340997</v>
      </c>
      <c r="Q256" s="71">
        <f t="shared" si="97"/>
        <v>14.423355190883186</v>
      </c>
      <c r="R256" s="72">
        <f t="shared" si="98"/>
        <v>1</v>
      </c>
      <c r="S256" s="71">
        <f t="shared" si="99"/>
        <v>9.3343793794403656</v>
      </c>
      <c r="T256" s="72">
        <f t="shared" si="100"/>
        <v>5.6226812384961216</v>
      </c>
      <c r="U256" s="72">
        <f t="shared" si="101"/>
        <v>1.7053462321157722</v>
      </c>
      <c r="V256" s="72">
        <f t="shared" si="102"/>
        <v>4.2170109288720914</v>
      </c>
      <c r="W256" s="72">
        <f t="shared" si="103"/>
        <v>1.6712393074734566</v>
      </c>
      <c r="X256" s="72">
        <f t="shared" si="104"/>
        <v>2.9441251181727739</v>
      </c>
      <c r="Y256" s="72">
        <f t="shared" si="105"/>
        <v>0.71988861713317309</v>
      </c>
      <c r="Z256" s="72">
        <f t="shared" si="106"/>
        <v>3.8557764635098803</v>
      </c>
      <c r="AA256" s="72">
        <f t="shared" si="107"/>
        <v>19.244223536490122</v>
      </c>
      <c r="AB256" s="72">
        <f t="shared" si="108"/>
        <v>3.1677777175068473</v>
      </c>
      <c r="AC256" s="72">
        <f t="shared" si="109"/>
        <v>0.18868182684282603</v>
      </c>
      <c r="AD256" s="73">
        <f t="shared" si="110"/>
        <v>1206.0988078320233</v>
      </c>
      <c r="AE256" s="71">
        <f t="shared" si="111"/>
        <v>193.25470065891747</v>
      </c>
      <c r="AF256" s="74">
        <f t="shared" si="112"/>
        <v>5.8639999173037172</v>
      </c>
      <c r="AG256" s="75">
        <f t="shared" si="113"/>
        <v>2.4382830849623351</v>
      </c>
      <c r="AH256" s="76">
        <f t="shared" si="114"/>
        <v>4.3012267184041919</v>
      </c>
      <c r="AI256" s="77">
        <f t="shared" si="115"/>
        <v>5.8672184638494684</v>
      </c>
    </row>
    <row r="257" spans="1:35" ht="15.75" customHeight="1" x14ac:dyDescent="0.45">
      <c r="A257" s="59">
        <f t="shared" si="91"/>
        <v>46001</v>
      </c>
      <c r="B257" s="60">
        <v>2025</v>
      </c>
      <c r="C257" s="60">
        <v>12</v>
      </c>
      <c r="D257" s="60">
        <v>10</v>
      </c>
      <c r="E257" s="61">
        <v>344</v>
      </c>
      <c r="F257" s="62">
        <v>35</v>
      </c>
      <c r="G257" s="62">
        <v>15</v>
      </c>
      <c r="H257" s="70">
        <f t="shared" si="92"/>
        <v>25</v>
      </c>
      <c r="I257" s="62">
        <v>98</v>
      </c>
      <c r="J257" s="62">
        <v>75</v>
      </c>
      <c r="K257" s="62">
        <v>1</v>
      </c>
      <c r="L257" s="62">
        <v>30</v>
      </c>
      <c r="M257" s="71">
        <f t="shared" si="93"/>
        <v>-23.06801212564736</v>
      </c>
      <c r="N257" s="72">
        <f t="shared" si="94"/>
        <v>-0.40261370496629861</v>
      </c>
      <c r="O257" s="72">
        <f t="shared" si="95"/>
        <v>1.2205274675727884</v>
      </c>
      <c r="P257" s="72">
        <f t="shared" si="96"/>
        <v>1.030867303942635</v>
      </c>
      <c r="Q257" s="71">
        <f t="shared" si="97"/>
        <v>14.375546951276965</v>
      </c>
      <c r="R257" s="72">
        <f t="shared" si="98"/>
        <v>1</v>
      </c>
      <c r="S257" s="71">
        <f t="shared" si="99"/>
        <v>9.324121219043457</v>
      </c>
      <c r="T257" s="72">
        <f t="shared" si="100"/>
        <v>5.6226812384961216</v>
      </c>
      <c r="U257" s="72">
        <f t="shared" si="101"/>
        <v>1.7053462321157722</v>
      </c>
      <c r="V257" s="72">
        <f t="shared" si="102"/>
        <v>4.2170109288720914</v>
      </c>
      <c r="W257" s="72">
        <f t="shared" si="103"/>
        <v>1.6712393074734566</v>
      </c>
      <c r="X257" s="72">
        <f t="shared" si="104"/>
        <v>2.9441251181727739</v>
      </c>
      <c r="Y257" s="72">
        <f t="shared" si="105"/>
        <v>0.71988861713317309</v>
      </c>
      <c r="Z257" s="72">
        <f t="shared" si="106"/>
        <v>3.8557764635098803</v>
      </c>
      <c r="AA257" s="72">
        <f t="shared" si="107"/>
        <v>19.244223536490122</v>
      </c>
      <c r="AB257" s="72">
        <f t="shared" si="108"/>
        <v>3.1677777175068473</v>
      </c>
      <c r="AC257" s="72">
        <f t="shared" si="109"/>
        <v>0.18868182684282603</v>
      </c>
      <c r="AD257" s="73">
        <f t="shared" si="110"/>
        <v>1206.0988078320233</v>
      </c>
      <c r="AE257" s="71">
        <f t="shared" si="111"/>
        <v>193.25470065891747</v>
      </c>
      <c r="AF257" s="74">
        <f t="shared" si="112"/>
        <v>5.8639999173037172</v>
      </c>
      <c r="AG257" s="75">
        <f t="shared" si="113"/>
        <v>2.430201052702091</v>
      </c>
      <c r="AH257" s="76">
        <f t="shared" si="114"/>
        <v>4.3012267184041919</v>
      </c>
      <c r="AI257" s="77">
        <f t="shared" si="115"/>
        <v>5.8672184638494684</v>
      </c>
    </row>
    <row r="258" spans="1:35" ht="15.75" customHeight="1" x14ac:dyDescent="0.45">
      <c r="A258" s="59">
        <f t="shared" si="91"/>
        <v>46002</v>
      </c>
      <c r="B258" s="60">
        <v>2025</v>
      </c>
      <c r="C258" s="60">
        <v>12</v>
      </c>
      <c r="D258" s="60">
        <v>11</v>
      </c>
      <c r="E258" s="61">
        <v>345</v>
      </c>
      <c r="F258" s="62">
        <v>35</v>
      </c>
      <c r="G258" s="62">
        <v>15</v>
      </c>
      <c r="H258" s="70">
        <f t="shared" si="92"/>
        <v>25</v>
      </c>
      <c r="I258" s="62">
        <v>98</v>
      </c>
      <c r="J258" s="62">
        <v>75</v>
      </c>
      <c r="K258" s="62">
        <v>1</v>
      </c>
      <c r="L258" s="62">
        <v>30</v>
      </c>
      <c r="M258" s="71">
        <f t="shared" si="93"/>
        <v>-23.137155113056174</v>
      </c>
      <c r="N258" s="72">
        <f t="shared" si="94"/>
        <v>-0.40382048057320707</v>
      </c>
      <c r="O258" s="72">
        <f t="shared" si="95"/>
        <v>1.219303589467424</v>
      </c>
      <c r="P258" s="72">
        <f t="shared" si="96"/>
        <v>1.0310636261600645</v>
      </c>
      <c r="Q258" s="71">
        <f t="shared" si="97"/>
        <v>14.332170889912222</v>
      </c>
      <c r="R258" s="72">
        <f t="shared" si="98"/>
        <v>1</v>
      </c>
      <c r="S258" s="71">
        <f t="shared" si="99"/>
        <v>9.3147715008970504</v>
      </c>
      <c r="T258" s="72">
        <f t="shared" si="100"/>
        <v>5.6226812384961216</v>
      </c>
      <c r="U258" s="72">
        <f t="shared" si="101"/>
        <v>1.7053462321157722</v>
      </c>
      <c r="V258" s="72">
        <f t="shared" si="102"/>
        <v>4.2170109288720914</v>
      </c>
      <c r="W258" s="72">
        <f t="shared" si="103"/>
        <v>1.6712393074734566</v>
      </c>
      <c r="X258" s="72">
        <f t="shared" si="104"/>
        <v>2.9441251181727739</v>
      </c>
      <c r="Y258" s="72">
        <f t="shared" si="105"/>
        <v>0.71988861713317309</v>
      </c>
      <c r="Z258" s="72">
        <f t="shared" si="106"/>
        <v>3.8557764635098803</v>
      </c>
      <c r="AA258" s="72">
        <f t="shared" si="107"/>
        <v>19.244223536490122</v>
      </c>
      <c r="AB258" s="72">
        <f t="shared" si="108"/>
        <v>3.1677777175068473</v>
      </c>
      <c r="AC258" s="72">
        <f t="shared" si="109"/>
        <v>0.18868182684282603</v>
      </c>
      <c r="AD258" s="73">
        <f t="shared" si="110"/>
        <v>1206.0988078320233</v>
      </c>
      <c r="AE258" s="71">
        <f t="shared" si="111"/>
        <v>193.25470065891747</v>
      </c>
      <c r="AF258" s="74">
        <f t="shared" si="112"/>
        <v>5.8639999173037172</v>
      </c>
      <c r="AG258" s="75">
        <f t="shared" si="113"/>
        <v>2.4228682847491263</v>
      </c>
      <c r="AH258" s="76">
        <f t="shared" si="114"/>
        <v>4.3012267184041919</v>
      </c>
      <c r="AI258" s="77">
        <f t="shared" si="115"/>
        <v>5.8672184638494684</v>
      </c>
    </row>
    <row r="259" spans="1:35" ht="15.75" customHeight="1" x14ac:dyDescent="0.45">
      <c r="A259" s="59">
        <f t="shared" si="91"/>
        <v>46003</v>
      </c>
      <c r="B259" s="60">
        <v>2025</v>
      </c>
      <c r="C259" s="60">
        <v>12</v>
      </c>
      <c r="D259" s="60">
        <v>12</v>
      </c>
      <c r="E259" s="61">
        <v>346</v>
      </c>
      <c r="F259" s="62">
        <v>35</v>
      </c>
      <c r="G259" s="62">
        <v>15</v>
      </c>
      <c r="H259" s="70">
        <f t="shared" si="92"/>
        <v>25</v>
      </c>
      <c r="I259" s="62">
        <v>98</v>
      </c>
      <c r="J259" s="62">
        <v>75</v>
      </c>
      <c r="K259" s="62">
        <v>1</v>
      </c>
      <c r="L259" s="62">
        <v>30</v>
      </c>
      <c r="M259" s="71">
        <f t="shared" si="93"/>
        <v>-23.199442030000238</v>
      </c>
      <c r="N259" s="72">
        <f t="shared" si="94"/>
        <v>-0.40490759489693751</v>
      </c>
      <c r="O259" s="72">
        <f t="shared" si="95"/>
        <v>1.2181995162910684</v>
      </c>
      <c r="P259" s="72">
        <f t="shared" si="96"/>
        <v>1.0312507435116063</v>
      </c>
      <c r="Q259" s="71">
        <f t="shared" si="97"/>
        <v>14.293238527005085</v>
      </c>
      <c r="R259" s="72">
        <f t="shared" si="98"/>
        <v>1</v>
      </c>
      <c r="S259" s="71">
        <f t="shared" si="99"/>
        <v>9.3063370228500251</v>
      </c>
      <c r="T259" s="72">
        <f t="shared" si="100"/>
        <v>5.6226812384961216</v>
      </c>
      <c r="U259" s="72">
        <f t="shared" si="101"/>
        <v>1.7053462321157722</v>
      </c>
      <c r="V259" s="72">
        <f t="shared" si="102"/>
        <v>4.2170109288720914</v>
      </c>
      <c r="W259" s="72">
        <f t="shared" si="103"/>
        <v>1.6712393074734566</v>
      </c>
      <c r="X259" s="72">
        <f t="shared" si="104"/>
        <v>2.9441251181727739</v>
      </c>
      <c r="Y259" s="72">
        <f t="shared" si="105"/>
        <v>0.71988861713317309</v>
      </c>
      <c r="Z259" s="72">
        <f t="shared" si="106"/>
        <v>3.8557764635098803</v>
      </c>
      <c r="AA259" s="72">
        <f t="shared" si="107"/>
        <v>19.244223536490122</v>
      </c>
      <c r="AB259" s="72">
        <f t="shared" si="108"/>
        <v>3.1677777175068473</v>
      </c>
      <c r="AC259" s="72">
        <f t="shared" si="109"/>
        <v>0.18868182684282603</v>
      </c>
      <c r="AD259" s="73">
        <f t="shared" si="110"/>
        <v>1206.0988078320233</v>
      </c>
      <c r="AE259" s="71">
        <f t="shared" si="111"/>
        <v>193.25470065891747</v>
      </c>
      <c r="AF259" s="74">
        <f t="shared" si="112"/>
        <v>5.8639999173037172</v>
      </c>
      <c r="AG259" s="75">
        <f t="shared" si="113"/>
        <v>2.4162867286078695</v>
      </c>
      <c r="AH259" s="76">
        <f t="shared" si="114"/>
        <v>4.3012267184041919</v>
      </c>
      <c r="AI259" s="77">
        <f t="shared" si="115"/>
        <v>5.8672184638494684</v>
      </c>
    </row>
    <row r="260" spans="1:35" ht="15.75" customHeight="1" x14ac:dyDescent="0.45">
      <c r="A260" s="59">
        <f t="shared" ref="A260:A278" si="116">DATE(B260,C260,D260)</f>
        <v>46004</v>
      </c>
      <c r="B260" s="60">
        <v>2025</v>
      </c>
      <c r="C260" s="60">
        <v>12</v>
      </c>
      <c r="D260" s="60">
        <v>13</v>
      </c>
      <c r="E260" s="61">
        <v>347</v>
      </c>
      <c r="F260" s="62">
        <v>35</v>
      </c>
      <c r="G260" s="62">
        <v>15</v>
      </c>
      <c r="H260" s="70">
        <f t="shared" ref="H260:H278" si="117">(F260+G260)/2</f>
        <v>25</v>
      </c>
      <c r="I260" s="62">
        <v>98</v>
      </c>
      <c r="J260" s="62">
        <v>75</v>
      </c>
      <c r="K260" s="62">
        <v>1</v>
      </c>
      <c r="L260" s="62">
        <v>30</v>
      </c>
      <c r="M260" s="71">
        <f t="shared" ref="M260:M278" si="118">23.45*COS(2*3.1416/365*(E260-172))</f>
        <v>-23.254854419435482</v>
      </c>
      <c r="N260" s="72">
        <f t="shared" ref="N260:N278" si="119">M260*3.1416/180</f>
        <v>-0.40587472580054729</v>
      </c>
      <c r="O260" s="72">
        <f t="shared" si="95"/>
        <v>1.217216055601247</v>
      </c>
      <c r="P260" s="72">
        <f t="shared" si="96"/>
        <v>1.031428600550091</v>
      </c>
      <c r="Q260" s="71">
        <f t="shared" si="97"/>
        <v>14.258760270193051</v>
      </c>
      <c r="R260" s="72">
        <f t="shared" si="98"/>
        <v>1</v>
      </c>
      <c r="S260" s="71">
        <f t="shared" si="99"/>
        <v>9.2988239541730113</v>
      </c>
      <c r="T260" s="72">
        <f t="shared" si="100"/>
        <v>5.6226812384961216</v>
      </c>
      <c r="U260" s="72">
        <f t="shared" si="101"/>
        <v>1.7053462321157722</v>
      </c>
      <c r="V260" s="72">
        <f t="shared" si="102"/>
        <v>4.2170109288720914</v>
      </c>
      <c r="W260" s="72">
        <f t="shared" si="103"/>
        <v>1.6712393074734566</v>
      </c>
      <c r="X260" s="72">
        <f t="shared" si="104"/>
        <v>2.9441251181727739</v>
      </c>
      <c r="Y260" s="72">
        <f t="shared" si="105"/>
        <v>0.71988861713317309</v>
      </c>
      <c r="Z260" s="72">
        <f t="shared" si="106"/>
        <v>3.8557764635098803</v>
      </c>
      <c r="AA260" s="72">
        <f t="shared" si="107"/>
        <v>19.244223536490122</v>
      </c>
      <c r="AB260" s="72">
        <f t="shared" si="108"/>
        <v>3.1677777175068473</v>
      </c>
      <c r="AC260" s="72">
        <f t="shared" si="109"/>
        <v>0.18868182684282603</v>
      </c>
      <c r="AD260" s="73">
        <f t="shared" si="110"/>
        <v>1206.0988078320233</v>
      </c>
      <c r="AE260" s="71">
        <f t="shared" si="111"/>
        <v>193.25470065891747</v>
      </c>
      <c r="AF260" s="74">
        <f t="shared" si="112"/>
        <v>5.8639999173037172</v>
      </c>
      <c r="AG260" s="75">
        <f t="shared" si="113"/>
        <v>2.410458143700184</v>
      </c>
      <c r="AH260" s="76">
        <f t="shared" si="114"/>
        <v>4.3012267184041919</v>
      </c>
      <c r="AI260" s="77">
        <f t="shared" si="115"/>
        <v>5.8672184638494684</v>
      </c>
    </row>
    <row r="261" spans="1:35" ht="15.75" customHeight="1" x14ac:dyDescent="0.45">
      <c r="A261" s="59">
        <f t="shared" si="116"/>
        <v>46005</v>
      </c>
      <c r="B261" s="60">
        <v>2025</v>
      </c>
      <c r="C261" s="60">
        <v>12</v>
      </c>
      <c r="D261" s="60">
        <v>14</v>
      </c>
      <c r="E261" s="61">
        <v>348</v>
      </c>
      <c r="F261" s="62">
        <v>35</v>
      </c>
      <c r="G261" s="62">
        <v>15</v>
      </c>
      <c r="H261" s="70">
        <f t="shared" si="117"/>
        <v>25</v>
      </c>
      <c r="I261" s="62">
        <v>98</v>
      </c>
      <c r="J261" s="62">
        <v>75</v>
      </c>
      <c r="K261" s="62">
        <v>1</v>
      </c>
      <c r="L261" s="62">
        <v>30</v>
      </c>
      <c r="M261" s="71">
        <f t="shared" si="118"/>
        <v>-23.303375861398226</v>
      </c>
      <c r="N261" s="72">
        <f t="shared" si="119"/>
        <v>-0.40672158670093705</v>
      </c>
      <c r="O261" s="72">
        <f t="shared" si="95"/>
        <v>1.2163539306091389</v>
      </c>
      <c r="P261" s="72">
        <f t="shared" si="96"/>
        <v>1.0315971445723933</v>
      </c>
      <c r="Q261" s="71">
        <f t="shared" si="97"/>
        <v>14.228745432455854</v>
      </c>
      <c r="R261" s="72">
        <f t="shared" si="98"/>
        <v>1</v>
      </c>
      <c r="S261" s="71">
        <f t="shared" si="99"/>
        <v>9.2922378197795172</v>
      </c>
      <c r="T261" s="72">
        <f t="shared" si="100"/>
        <v>5.6226812384961216</v>
      </c>
      <c r="U261" s="72">
        <f t="shared" si="101"/>
        <v>1.7053462321157722</v>
      </c>
      <c r="V261" s="72">
        <f t="shared" si="102"/>
        <v>4.2170109288720914</v>
      </c>
      <c r="W261" s="72">
        <f t="shared" si="103"/>
        <v>1.6712393074734566</v>
      </c>
      <c r="X261" s="72">
        <f t="shared" si="104"/>
        <v>2.9441251181727739</v>
      </c>
      <c r="Y261" s="72">
        <f t="shared" si="105"/>
        <v>0.71988861713317309</v>
      </c>
      <c r="Z261" s="72">
        <f t="shared" si="106"/>
        <v>3.8557764635098803</v>
      </c>
      <c r="AA261" s="72">
        <f t="shared" si="107"/>
        <v>19.244223536490122</v>
      </c>
      <c r="AB261" s="72">
        <f t="shared" si="108"/>
        <v>3.1677777175068473</v>
      </c>
      <c r="AC261" s="72">
        <f t="shared" si="109"/>
        <v>0.18868182684282603</v>
      </c>
      <c r="AD261" s="73">
        <f t="shared" si="110"/>
        <v>1206.0988078320233</v>
      </c>
      <c r="AE261" s="71">
        <f t="shared" si="111"/>
        <v>193.25470065891747</v>
      </c>
      <c r="AF261" s="74">
        <f t="shared" si="112"/>
        <v>5.8639999173037172</v>
      </c>
      <c r="AG261" s="75">
        <f t="shared" si="113"/>
        <v>2.4053841043949076</v>
      </c>
      <c r="AH261" s="76">
        <f t="shared" si="114"/>
        <v>4.3012267184041919</v>
      </c>
      <c r="AI261" s="77">
        <f t="shared" si="115"/>
        <v>5.8672184638494684</v>
      </c>
    </row>
    <row r="262" spans="1:35" ht="15.75" customHeight="1" x14ac:dyDescent="0.45">
      <c r="A262" s="59">
        <f t="shared" si="116"/>
        <v>46006</v>
      </c>
      <c r="B262" s="60">
        <v>2025</v>
      </c>
      <c r="C262" s="60">
        <v>12</v>
      </c>
      <c r="D262" s="60">
        <v>15</v>
      </c>
      <c r="E262" s="61">
        <v>349</v>
      </c>
      <c r="F262" s="62">
        <v>35</v>
      </c>
      <c r="G262" s="62">
        <v>15</v>
      </c>
      <c r="H262" s="70">
        <f t="shared" si="117"/>
        <v>25</v>
      </c>
      <c r="I262" s="62">
        <v>98</v>
      </c>
      <c r="J262" s="62">
        <v>75</v>
      </c>
      <c r="K262" s="62">
        <v>1</v>
      </c>
      <c r="L262" s="62">
        <v>30</v>
      </c>
      <c r="M262" s="71">
        <f t="shared" si="118"/>
        <v>-23.344991977870798</v>
      </c>
      <c r="N262" s="72">
        <f t="shared" si="119"/>
        <v>-0.40744792665377161</v>
      </c>
      <c r="O262" s="72">
        <f t="shared" si="95"/>
        <v>1.2156137783148271</v>
      </c>
      <c r="P262" s="72">
        <f t="shared" si="96"/>
        <v>1.0317563256350486</v>
      </c>
      <c r="Q262" s="71">
        <f t="shared" si="97"/>
        <v>14.20320224819244</v>
      </c>
      <c r="R262" s="72">
        <f t="shared" si="98"/>
        <v>1</v>
      </c>
      <c r="S262" s="71">
        <f t="shared" si="99"/>
        <v>9.2865834859803442</v>
      </c>
      <c r="T262" s="72">
        <f t="shared" si="100"/>
        <v>5.6226812384961216</v>
      </c>
      <c r="U262" s="72">
        <f t="shared" si="101"/>
        <v>1.7053462321157722</v>
      </c>
      <c r="V262" s="72">
        <f t="shared" si="102"/>
        <v>4.2170109288720914</v>
      </c>
      <c r="W262" s="72">
        <f t="shared" si="103"/>
        <v>1.6712393074734566</v>
      </c>
      <c r="X262" s="72">
        <f t="shared" si="104"/>
        <v>2.9441251181727739</v>
      </c>
      <c r="Y262" s="72">
        <f t="shared" si="105"/>
        <v>0.71988861713317309</v>
      </c>
      <c r="Z262" s="72">
        <f t="shared" si="106"/>
        <v>3.8557764635098803</v>
      </c>
      <c r="AA262" s="72">
        <f t="shared" si="107"/>
        <v>19.244223536490122</v>
      </c>
      <c r="AB262" s="72">
        <f t="shared" si="108"/>
        <v>3.1677777175068473</v>
      </c>
      <c r="AC262" s="72">
        <f t="shared" si="109"/>
        <v>0.18868182684282603</v>
      </c>
      <c r="AD262" s="73">
        <f t="shared" si="110"/>
        <v>1206.0988078320233</v>
      </c>
      <c r="AE262" s="71">
        <f t="shared" si="111"/>
        <v>193.25470065891747</v>
      </c>
      <c r="AF262" s="74">
        <f t="shared" si="112"/>
        <v>5.8639999173037172</v>
      </c>
      <c r="AG262" s="75">
        <f t="shared" si="113"/>
        <v>2.4010660027256838</v>
      </c>
      <c r="AH262" s="76">
        <f t="shared" si="114"/>
        <v>4.3012267184041919</v>
      </c>
      <c r="AI262" s="77">
        <f t="shared" si="115"/>
        <v>5.8672184638494684</v>
      </c>
    </row>
    <row r="263" spans="1:35" ht="15.75" customHeight="1" x14ac:dyDescent="0.45">
      <c r="A263" s="59">
        <f t="shared" si="116"/>
        <v>46007</v>
      </c>
      <c r="B263" s="60">
        <v>2025</v>
      </c>
      <c r="C263" s="60">
        <v>12</v>
      </c>
      <c r="D263" s="60">
        <v>16</v>
      </c>
      <c r="E263" s="61">
        <v>350</v>
      </c>
      <c r="F263" s="62">
        <v>35</v>
      </c>
      <c r="G263" s="62">
        <v>15</v>
      </c>
      <c r="H263" s="70">
        <f t="shared" si="117"/>
        <v>25</v>
      </c>
      <c r="I263" s="62">
        <v>98</v>
      </c>
      <c r="J263" s="62">
        <v>75</v>
      </c>
      <c r="K263" s="62">
        <v>1</v>
      </c>
      <c r="L263" s="62">
        <v>30</v>
      </c>
      <c r="M263" s="71">
        <f t="shared" si="118"/>
        <v>-23.379690437042068</v>
      </c>
      <c r="N263" s="72">
        <f t="shared" si="119"/>
        <v>-0.40805353042784087</v>
      </c>
      <c r="O263" s="72">
        <f t="shared" si="95"/>
        <v>1.2149961478530966</v>
      </c>
      <c r="P263" s="72">
        <f t="shared" si="96"/>
        <v>1.0319060965690521</v>
      </c>
      <c r="Q263" s="71">
        <f t="shared" si="97"/>
        <v>14.182137887340971</v>
      </c>
      <c r="R263" s="72">
        <f t="shared" si="98"/>
        <v>1</v>
      </c>
      <c r="S263" s="71">
        <f t="shared" si="99"/>
        <v>9.2818651478464211</v>
      </c>
      <c r="T263" s="72">
        <f t="shared" si="100"/>
        <v>5.6226812384961216</v>
      </c>
      <c r="U263" s="72">
        <f t="shared" si="101"/>
        <v>1.7053462321157722</v>
      </c>
      <c r="V263" s="72">
        <f t="shared" si="102"/>
        <v>4.2170109288720914</v>
      </c>
      <c r="W263" s="72">
        <f t="shared" si="103"/>
        <v>1.6712393074734566</v>
      </c>
      <c r="X263" s="72">
        <f t="shared" si="104"/>
        <v>2.9441251181727739</v>
      </c>
      <c r="Y263" s="72">
        <f t="shared" si="105"/>
        <v>0.71988861713317309</v>
      </c>
      <c r="Z263" s="72">
        <f t="shared" si="106"/>
        <v>3.8557764635098803</v>
      </c>
      <c r="AA263" s="72">
        <f t="shared" si="107"/>
        <v>19.244223536490122</v>
      </c>
      <c r="AB263" s="72">
        <f t="shared" si="108"/>
        <v>3.1677777175068473</v>
      </c>
      <c r="AC263" s="72">
        <f t="shared" si="109"/>
        <v>0.18868182684282603</v>
      </c>
      <c r="AD263" s="73">
        <f t="shared" si="110"/>
        <v>1206.0988078320233</v>
      </c>
      <c r="AE263" s="71">
        <f t="shared" si="111"/>
        <v>193.25470065891747</v>
      </c>
      <c r="AF263" s="74">
        <f t="shared" si="112"/>
        <v>5.8639999173037172</v>
      </c>
      <c r="AG263" s="75">
        <f t="shared" si="113"/>
        <v>2.3975050507779607</v>
      </c>
      <c r="AH263" s="76">
        <f t="shared" si="114"/>
        <v>4.3012267184041919</v>
      </c>
      <c r="AI263" s="77">
        <f t="shared" si="115"/>
        <v>5.8672184638494684</v>
      </c>
    </row>
    <row r="264" spans="1:35" ht="15.75" customHeight="1" x14ac:dyDescent="0.45">
      <c r="A264" s="59">
        <f t="shared" si="116"/>
        <v>46008</v>
      </c>
      <c r="B264" s="60">
        <v>2025</v>
      </c>
      <c r="C264" s="60">
        <v>12</v>
      </c>
      <c r="D264" s="60">
        <v>17</v>
      </c>
      <c r="E264" s="61">
        <v>351</v>
      </c>
      <c r="F264" s="62">
        <v>35</v>
      </c>
      <c r="G264" s="62">
        <v>15</v>
      </c>
      <c r="H264" s="70">
        <f t="shared" si="117"/>
        <v>25</v>
      </c>
      <c r="I264" s="62">
        <v>98</v>
      </c>
      <c r="J264" s="62">
        <v>75</v>
      </c>
      <c r="K264" s="62">
        <v>1</v>
      </c>
      <c r="L264" s="62">
        <v>30</v>
      </c>
      <c r="M264" s="71">
        <f t="shared" si="118"/>
        <v>-23.407460956961639</v>
      </c>
      <c r="N264" s="72">
        <f t="shared" si="119"/>
        <v>-0.40853821856883715</v>
      </c>
      <c r="O264" s="72">
        <f t="shared" ref="O264:O278" si="120">ACOS(-TAN($AL$7*3.1416/180)*TAN(N264))</f>
        <v>1.2145014990585787</v>
      </c>
      <c r="P264" s="72">
        <f t="shared" ref="P264:P278" si="121">1+0.033*COS(2*3.1416/365*E264)</f>
        <v>1.0320464129938356</v>
      </c>
      <c r="Q264" s="71">
        <f t="shared" ref="Q264:Q278" si="122">37.4*P264*(SIN($AL$7*3.1416/180)*SIN(N264)*O264+COS($AL$7*3.1416/180)*COS(N264)*SIN(O264))</f>
        <v>14.165558467441119</v>
      </c>
      <c r="R264" s="72">
        <f t="shared" ref="R264:R278" si="123">MIN(1,MAX(0,2*(L264/Q264-0.25)))</f>
        <v>1</v>
      </c>
      <c r="S264" s="71">
        <f t="shared" ref="S264:S278" si="124">O264*2*12/3.1416</f>
        <v>9.2780863182473556</v>
      </c>
      <c r="T264" s="72">
        <f t="shared" ref="T264:T278" si="125">0.6108*EXP(17.27*F264/(237.3+F264))</f>
        <v>5.6226812384961216</v>
      </c>
      <c r="U264" s="72">
        <f t="shared" ref="U264:U278" si="126">0.6108*EXP(17.27*G264/(237.3+G264))</f>
        <v>1.7053462321157722</v>
      </c>
      <c r="V264" s="72">
        <f t="shared" ref="V264:V278" si="127">T264*J264/100</f>
        <v>4.2170109288720914</v>
      </c>
      <c r="W264" s="72">
        <f t="shared" ref="W264:W278" si="128">U264*I264/100</f>
        <v>1.6712393074734566</v>
      </c>
      <c r="X264" s="72">
        <f t="shared" ref="X264:X278" si="129">0.5*(V264+W264)</f>
        <v>2.9441251181727739</v>
      </c>
      <c r="Y264" s="72">
        <f t="shared" ref="Y264:Y278" si="130">0.5*(T264+U264)-X264</f>
        <v>0.71988861713317309</v>
      </c>
      <c r="Z264" s="72">
        <f t="shared" ref="Z264:Z278" si="131">(0.1+0.9*R264)*(0.34-0.14*SQRT(X264))*0.0000000049*(273+H264)^4</f>
        <v>3.8557764635098803</v>
      </c>
      <c r="AA264" s="72">
        <f t="shared" ref="AA264:AA278" si="132">(1-$AL$3)*L264-Z264</f>
        <v>19.244223536490122</v>
      </c>
      <c r="AB264" s="72">
        <f t="shared" ref="AB264:AB278" si="133">0.6108*EXP(17.27*H264/(237.3+H264))</f>
        <v>3.1677777175068473</v>
      </c>
      <c r="AC264" s="72">
        <f t="shared" ref="AC264:AC278" si="134">4098*AB264/(237.3+H264)^2</f>
        <v>0.18868182684282603</v>
      </c>
      <c r="AD264" s="73">
        <f t="shared" ref="AD264:AD278" si="135">29000*$AL$9/8.31/(H264+273)*(1.01+0.622*X264/($AL$9-X264))</f>
        <v>1206.0988078320233</v>
      </c>
      <c r="AE264" s="71">
        <f t="shared" si="111"/>
        <v>193.25470065891747</v>
      </c>
      <c r="AF264" s="74">
        <f t="shared" si="112"/>
        <v>5.8639999173037172</v>
      </c>
      <c r="AG264" s="75">
        <f t="shared" si="113"/>
        <v>2.3947022827281348</v>
      </c>
      <c r="AH264" s="76">
        <f t="shared" si="114"/>
        <v>4.3012267184041919</v>
      </c>
      <c r="AI264" s="77">
        <f t="shared" si="115"/>
        <v>5.8672184638494684</v>
      </c>
    </row>
    <row r="265" spans="1:35" ht="15.75" customHeight="1" x14ac:dyDescent="0.45">
      <c r="A265" s="59">
        <f t="shared" si="116"/>
        <v>46009</v>
      </c>
      <c r="B265" s="60">
        <v>2025</v>
      </c>
      <c r="C265" s="60">
        <v>12</v>
      </c>
      <c r="D265" s="60">
        <v>18</v>
      </c>
      <c r="E265" s="61">
        <v>352</v>
      </c>
      <c r="F265" s="62">
        <v>35</v>
      </c>
      <c r="G265" s="62">
        <v>15</v>
      </c>
      <c r="H265" s="70">
        <f t="shared" si="117"/>
        <v>25</v>
      </c>
      <c r="I265" s="62">
        <v>98</v>
      </c>
      <c r="J265" s="62">
        <v>75</v>
      </c>
      <c r="K265" s="62">
        <v>1</v>
      </c>
      <c r="L265" s="62">
        <v>30</v>
      </c>
      <c r="M265" s="71">
        <f t="shared" si="118"/>
        <v>-23.428295308586637</v>
      </c>
      <c r="N265" s="72">
        <f t="shared" si="119"/>
        <v>-0.40890184745253211</v>
      </c>
      <c r="O265" s="72">
        <f t="shared" si="120"/>
        <v>1.2141302012579551</v>
      </c>
      <c r="P265" s="72">
        <f t="shared" si="121"/>
        <v>1.0321772333304202</v>
      </c>
      <c r="Q265" s="71">
        <f t="shared" si="122"/>
        <v>14.153469063550899</v>
      </c>
      <c r="R265" s="72">
        <f t="shared" si="123"/>
        <v>1</v>
      </c>
      <c r="S265" s="71">
        <f t="shared" si="124"/>
        <v>9.2752498186245624</v>
      </c>
      <c r="T265" s="72">
        <f t="shared" si="125"/>
        <v>5.6226812384961216</v>
      </c>
      <c r="U265" s="72">
        <f t="shared" si="126"/>
        <v>1.7053462321157722</v>
      </c>
      <c r="V265" s="72">
        <f t="shared" si="127"/>
        <v>4.2170109288720914</v>
      </c>
      <c r="W265" s="72">
        <f t="shared" si="128"/>
        <v>1.6712393074734566</v>
      </c>
      <c r="X265" s="72">
        <f t="shared" si="129"/>
        <v>2.9441251181727739</v>
      </c>
      <c r="Y265" s="72">
        <f t="shared" si="130"/>
        <v>0.71988861713317309</v>
      </c>
      <c r="Z265" s="72">
        <f t="shared" si="131"/>
        <v>3.8557764635098803</v>
      </c>
      <c r="AA265" s="72">
        <f t="shared" si="132"/>
        <v>19.244223536490122</v>
      </c>
      <c r="AB265" s="72">
        <f t="shared" si="133"/>
        <v>3.1677777175068473</v>
      </c>
      <c r="AC265" s="72">
        <f t="shared" si="134"/>
        <v>0.18868182684282603</v>
      </c>
      <c r="AD265" s="73">
        <f t="shared" si="135"/>
        <v>1206.0988078320233</v>
      </c>
      <c r="AE265" s="71">
        <f t="shared" ref="AE265:AE278" si="136">LN(($AL$6-0.65*$AL$4)/0.13/$AL$4)*LN(($AL$6-0.65*$AL$4)/0.13/$AL$4/0.2)/0.4^2/K265</f>
        <v>193.25470065891747</v>
      </c>
      <c r="AF265" s="74">
        <f t="shared" ref="AF265:AF278" si="137">(AC265*AA265+0.5*Y265*K265)/2.45/(AC265+0.067*(1+0.33*K265))</f>
        <v>5.8639999173037172</v>
      </c>
      <c r="AG265" s="75">
        <f t="shared" ref="AG265:AG278" si="138">0.00552*Q265*(H265+17.8)*SQRT(F265-G265)*$AL$11</f>
        <v>2.3926585565200034</v>
      </c>
      <c r="AH265" s="76">
        <f t="shared" ref="AH265:AH278" si="139">0.68/2.45*AC265/(0.067+AC265)*0.7*L265</f>
        <v>4.3012267184041919</v>
      </c>
      <c r="AI265" s="77">
        <f t="shared" si="115"/>
        <v>5.8672184638494684</v>
      </c>
    </row>
    <row r="266" spans="1:35" ht="15.75" customHeight="1" x14ac:dyDescent="0.45">
      <c r="A266" s="59">
        <f t="shared" si="116"/>
        <v>46010</v>
      </c>
      <c r="B266" s="60">
        <v>2025</v>
      </c>
      <c r="C266" s="60">
        <v>12</v>
      </c>
      <c r="D266" s="60">
        <v>19</v>
      </c>
      <c r="E266" s="61">
        <v>353</v>
      </c>
      <c r="F266" s="62">
        <v>35</v>
      </c>
      <c r="G266" s="62">
        <v>15</v>
      </c>
      <c r="H266" s="70">
        <f t="shared" si="117"/>
        <v>25</v>
      </c>
      <c r="I266" s="62">
        <v>98</v>
      </c>
      <c r="J266" s="62">
        <v>75</v>
      </c>
      <c r="K266" s="62">
        <v>1</v>
      </c>
      <c r="L266" s="62">
        <v>30</v>
      </c>
      <c r="M266" s="71">
        <f t="shared" si="118"/>
        <v>-23.442187318220164</v>
      </c>
      <c r="N266" s="72">
        <f t="shared" si="119"/>
        <v>-0.40914430932733592</v>
      </c>
      <c r="O266" s="72">
        <f t="shared" si="120"/>
        <v>1.2138825322957434</v>
      </c>
      <c r="P266" s="72">
        <f t="shared" si="121"/>
        <v>1.0322985188137355</v>
      </c>
      <c r="Q266" s="71">
        <f t="shared" si="122"/>
        <v>14.145873715943772</v>
      </c>
      <c r="R266" s="72">
        <f t="shared" si="123"/>
        <v>1</v>
      </c>
      <c r="S266" s="71">
        <f t="shared" si="124"/>
        <v>9.2733577715488416</v>
      </c>
      <c r="T266" s="72">
        <f t="shared" si="125"/>
        <v>5.6226812384961216</v>
      </c>
      <c r="U266" s="72">
        <f t="shared" si="126"/>
        <v>1.7053462321157722</v>
      </c>
      <c r="V266" s="72">
        <f t="shared" si="127"/>
        <v>4.2170109288720914</v>
      </c>
      <c r="W266" s="72">
        <f t="shared" si="128"/>
        <v>1.6712393074734566</v>
      </c>
      <c r="X266" s="72">
        <f t="shared" si="129"/>
        <v>2.9441251181727739</v>
      </c>
      <c r="Y266" s="72">
        <f t="shared" si="130"/>
        <v>0.71988861713317309</v>
      </c>
      <c r="Z266" s="72">
        <f t="shared" si="131"/>
        <v>3.8557764635098803</v>
      </c>
      <c r="AA266" s="72">
        <f t="shared" si="132"/>
        <v>19.244223536490122</v>
      </c>
      <c r="AB266" s="72">
        <f t="shared" si="133"/>
        <v>3.1677777175068473</v>
      </c>
      <c r="AC266" s="72">
        <f t="shared" si="134"/>
        <v>0.18868182684282603</v>
      </c>
      <c r="AD266" s="73">
        <f t="shared" si="135"/>
        <v>1206.0988078320233</v>
      </c>
      <c r="AE266" s="71">
        <f t="shared" si="136"/>
        <v>193.25470065891747</v>
      </c>
      <c r="AF266" s="74">
        <f t="shared" si="137"/>
        <v>5.8639999173037172</v>
      </c>
      <c r="AG266" s="75">
        <f t="shared" si="138"/>
        <v>2.3913745551659651</v>
      </c>
      <c r="AH266" s="76">
        <f t="shared" si="139"/>
        <v>4.3012267184041919</v>
      </c>
      <c r="AI266" s="77">
        <f t="shared" ref="AI266:AI278" si="140">(AC266*AA266+0.0864*AD266*Y266/AE266)/(AC266+0.067*(1+$AL$5/AE266))/2.45</f>
        <v>5.8672184638494684</v>
      </c>
    </row>
    <row r="267" spans="1:35" ht="15.75" customHeight="1" x14ac:dyDescent="0.45">
      <c r="A267" s="59">
        <f t="shared" si="116"/>
        <v>46011</v>
      </c>
      <c r="B267" s="60">
        <v>2025</v>
      </c>
      <c r="C267" s="60">
        <v>12</v>
      </c>
      <c r="D267" s="60">
        <v>20</v>
      </c>
      <c r="E267" s="61">
        <v>354</v>
      </c>
      <c r="F267" s="62">
        <v>35</v>
      </c>
      <c r="G267" s="62">
        <v>15</v>
      </c>
      <c r="H267" s="70">
        <f t="shared" si="117"/>
        <v>25</v>
      </c>
      <c r="I267" s="62">
        <v>98</v>
      </c>
      <c r="J267" s="62">
        <v>75</v>
      </c>
      <c r="K267" s="62">
        <v>1</v>
      </c>
      <c r="L267" s="62">
        <v>30</v>
      </c>
      <c r="M267" s="71">
        <f t="shared" si="118"/>
        <v>-23.449132869340694</v>
      </c>
      <c r="N267" s="72">
        <f t="shared" si="119"/>
        <v>-0.40926553234622626</v>
      </c>
      <c r="O267" s="72">
        <f t="shared" si="120"/>
        <v>1.2137586777989642</v>
      </c>
      <c r="P267" s="72">
        <f t="shared" si="121"/>
        <v>1.032410233504107</v>
      </c>
      <c r="Q267" s="71">
        <f t="shared" si="122"/>
        <v>14.142775435526275</v>
      </c>
      <c r="R267" s="72">
        <f t="shared" si="123"/>
        <v>1</v>
      </c>
      <c r="S267" s="71">
        <f t="shared" si="124"/>
        <v>9.2724115951028594</v>
      </c>
      <c r="T267" s="72">
        <f t="shared" si="125"/>
        <v>5.6226812384961216</v>
      </c>
      <c r="U267" s="72">
        <f t="shared" si="126"/>
        <v>1.7053462321157722</v>
      </c>
      <c r="V267" s="72">
        <f t="shared" si="127"/>
        <v>4.2170109288720914</v>
      </c>
      <c r="W267" s="72">
        <f t="shared" si="128"/>
        <v>1.6712393074734566</v>
      </c>
      <c r="X267" s="72">
        <f t="shared" si="129"/>
        <v>2.9441251181727739</v>
      </c>
      <c r="Y267" s="72">
        <f t="shared" si="130"/>
        <v>0.71988861713317309</v>
      </c>
      <c r="Z267" s="72">
        <f t="shared" si="131"/>
        <v>3.8557764635098803</v>
      </c>
      <c r="AA267" s="72">
        <f t="shared" si="132"/>
        <v>19.244223536490122</v>
      </c>
      <c r="AB267" s="72">
        <f t="shared" si="133"/>
        <v>3.1677777175068473</v>
      </c>
      <c r="AC267" s="72">
        <f t="shared" si="134"/>
        <v>0.18868182684282603</v>
      </c>
      <c r="AD267" s="73">
        <f t="shared" si="135"/>
        <v>1206.0988078320233</v>
      </c>
      <c r="AE267" s="71">
        <f t="shared" si="136"/>
        <v>193.25470065891747</v>
      </c>
      <c r="AF267" s="74">
        <f t="shared" si="137"/>
        <v>5.8639999173037172</v>
      </c>
      <c r="AG267" s="75">
        <f t="shared" si="138"/>
        <v>2.3908507876628788</v>
      </c>
      <c r="AH267" s="76">
        <f t="shared" si="139"/>
        <v>4.3012267184041919</v>
      </c>
      <c r="AI267" s="77">
        <f t="shared" si="140"/>
        <v>5.8672184638494684</v>
      </c>
    </row>
    <row r="268" spans="1:35" ht="15.75" customHeight="1" x14ac:dyDescent="0.45">
      <c r="A268" s="59">
        <f t="shared" si="116"/>
        <v>46012</v>
      </c>
      <c r="B268" s="60">
        <v>2025</v>
      </c>
      <c r="C268" s="60">
        <v>12</v>
      </c>
      <c r="D268" s="60">
        <v>21</v>
      </c>
      <c r="E268" s="61">
        <v>355</v>
      </c>
      <c r="F268" s="62">
        <v>35</v>
      </c>
      <c r="G268" s="62">
        <v>15</v>
      </c>
      <c r="H268" s="70">
        <f t="shared" si="117"/>
        <v>25</v>
      </c>
      <c r="I268" s="62">
        <v>98</v>
      </c>
      <c r="J268" s="62">
        <v>75</v>
      </c>
      <c r="K268" s="62">
        <v>1</v>
      </c>
      <c r="L268" s="62">
        <v>30</v>
      </c>
      <c r="M268" s="71">
        <f t="shared" si="118"/>
        <v>-23.449129903821913</v>
      </c>
      <c r="N268" s="72">
        <f t="shared" si="119"/>
        <v>-0.40926548058803847</v>
      </c>
      <c r="O268" s="72">
        <f t="shared" si="120"/>
        <v>1.2137587306847055</v>
      </c>
      <c r="P268" s="72">
        <f t="shared" si="121"/>
        <v>1.0325123442979063</v>
      </c>
      <c r="Q268" s="71">
        <f t="shared" si="122"/>
        <v>14.144176206930462</v>
      </c>
      <c r="R268" s="72">
        <f t="shared" si="123"/>
        <v>1</v>
      </c>
      <c r="S268" s="71">
        <f t="shared" si="124"/>
        <v>9.2724119991192175</v>
      </c>
      <c r="T268" s="72">
        <f t="shared" si="125"/>
        <v>5.6226812384961216</v>
      </c>
      <c r="U268" s="72">
        <f t="shared" si="126"/>
        <v>1.7053462321157722</v>
      </c>
      <c r="V268" s="72">
        <f t="shared" si="127"/>
        <v>4.2170109288720914</v>
      </c>
      <c r="W268" s="72">
        <f t="shared" si="128"/>
        <v>1.6712393074734566</v>
      </c>
      <c r="X268" s="72">
        <f t="shared" si="129"/>
        <v>2.9441251181727739</v>
      </c>
      <c r="Y268" s="72">
        <f t="shared" si="130"/>
        <v>0.71988861713317309</v>
      </c>
      <c r="Z268" s="72">
        <f t="shared" si="131"/>
        <v>3.8557764635098803</v>
      </c>
      <c r="AA268" s="72">
        <f t="shared" si="132"/>
        <v>19.244223536490122</v>
      </c>
      <c r="AB268" s="72">
        <f t="shared" si="133"/>
        <v>3.1677777175068473</v>
      </c>
      <c r="AC268" s="72">
        <f t="shared" si="134"/>
        <v>0.18868182684282603</v>
      </c>
      <c r="AD268" s="73">
        <f t="shared" si="135"/>
        <v>1206.0988078320233</v>
      </c>
      <c r="AE268" s="71">
        <f t="shared" si="136"/>
        <v>193.25470065891747</v>
      </c>
      <c r="AF268" s="74">
        <f t="shared" si="137"/>
        <v>5.8639999173037172</v>
      </c>
      <c r="AG268" s="75">
        <f t="shared" si="138"/>
        <v>2.3910875895148425</v>
      </c>
      <c r="AH268" s="76">
        <f t="shared" si="139"/>
        <v>4.3012267184041919</v>
      </c>
      <c r="AI268" s="77">
        <f t="shared" si="140"/>
        <v>5.8672184638494684</v>
      </c>
    </row>
    <row r="269" spans="1:35" ht="15.75" customHeight="1" x14ac:dyDescent="0.45">
      <c r="A269" s="59">
        <f t="shared" si="116"/>
        <v>46013</v>
      </c>
      <c r="B269" s="60">
        <v>2025</v>
      </c>
      <c r="C269" s="60">
        <v>12</v>
      </c>
      <c r="D269" s="60">
        <v>22</v>
      </c>
      <c r="E269" s="61">
        <v>356</v>
      </c>
      <c r="F269" s="62">
        <v>35</v>
      </c>
      <c r="G269" s="62">
        <v>15</v>
      </c>
      <c r="H269" s="70">
        <f t="shared" si="117"/>
        <v>25</v>
      </c>
      <c r="I269" s="62">
        <v>98</v>
      </c>
      <c r="J269" s="62">
        <v>75</v>
      </c>
      <c r="K269" s="62">
        <v>1</v>
      </c>
      <c r="L269" s="62">
        <v>30</v>
      </c>
      <c r="M269" s="71">
        <f t="shared" si="118"/>
        <v>-23.442178422542572</v>
      </c>
      <c r="N269" s="72">
        <f t="shared" si="119"/>
        <v>-0.40914415406810967</v>
      </c>
      <c r="O269" s="72">
        <f t="shared" si="120"/>
        <v>1.2138826909132789</v>
      </c>
      <c r="P269" s="72">
        <f t="shared" si="121"/>
        <v>1.0326048209373597</v>
      </c>
      <c r="Q269" s="71">
        <f t="shared" si="122"/>
        <v>14.15007698925084</v>
      </c>
      <c r="R269" s="72">
        <f t="shared" si="123"/>
        <v>1</v>
      </c>
      <c r="S269" s="71">
        <f t="shared" si="124"/>
        <v>9.2733589832947203</v>
      </c>
      <c r="T269" s="72">
        <f t="shared" si="125"/>
        <v>5.6226812384961216</v>
      </c>
      <c r="U269" s="72">
        <f t="shared" si="126"/>
        <v>1.7053462321157722</v>
      </c>
      <c r="V269" s="72">
        <f t="shared" si="127"/>
        <v>4.2170109288720914</v>
      </c>
      <c r="W269" s="72">
        <f t="shared" si="128"/>
        <v>1.6712393074734566</v>
      </c>
      <c r="X269" s="72">
        <f t="shared" si="129"/>
        <v>2.9441251181727739</v>
      </c>
      <c r="Y269" s="72">
        <f t="shared" si="130"/>
        <v>0.71988861713317309</v>
      </c>
      <c r="Z269" s="72">
        <f t="shared" si="131"/>
        <v>3.8557764635098803</v>
      </c>
      <c r="AA269" s="72">
        <f t="shared" si="132"/>
        <v>19.244223536490122</v>
      </c>
      <c r="AB269" s="72">
        <f t="shared" si="133"/>
        <v>3.1677777175068473</v>
      </c>
      <c r="AC269" s="72">
        <f t="shared" si="134"/>
        <v>0.18868182684282603</v>
      </c>
      <c r="AD269" s="73">
        <f t="shared" si="135"/>
        <v>1206.0988078320233</v>
      </c>
      <c r="AE269" s="71">
        <f t="shared" si="136"/>
        <v>193.25470065891747</v>
      </c>
      <c r="AF269" s="74">
        <f t="shared" si="137"/>
        <v>5.8639999173037172</v>
      </c>
      <c r="AG269" s="75">
        <f t="shared" si="138"/>
        <v>2.3920851228577718</v>
      </c>
      <c r="AH269" s="76">
        <f t="shared" si="139"/>
        <v>4.3012267184041919</v>
      </c>
      <c r="AI269" s="77">
        <f t="shared" si="140"/>
        <v>5.8672184638494684</v>
      </c>
    </row>
    <row r="270" spans="1:35" ht="15.75" customHeight="1" x14ac:dyDescent="0.45">
      <c r="A270" s="59">
        <f t="shared" si="116"/>
        <v>46014</v>
      </c>
      <c r="B270" s="60">
        <v>2025</v>
      </c>
      <c r="C270" s="60">
        <v>12</v>
      </c>
      <c r="D270" s="60">
        <v>23</v>
      </c>
      <c r="E270" s="61">
        <v>357</v>
      </c>
      <c r="F270" s="62">
        <v>35</v>
      </c>
      <c r="G270" s="62">
        <v>15</v>
      </c>
      <c r="H270" s="70">
        <f t="shared" si="117"/>
        <v>25</v>
      </c>
      <c r="I270" s="62">
        <v>98</v>
      </c>
      <c r="J270" s="62">
        <v>75</v>
      </c>
      <c r="K270" s="62">
        <v>1</v>
      </c>
      <c r="L270" s="62">
        <v>30</v>
      </c>
      <c r="M270" s="71">
        <f t="shared" si="118"/>
        <v>-23.428280485386225</v>
      </c>
      <c r="N270" s="72">
        <f t="shared" si="119"/>
        <v>-0.40890158873827426</v>
      </c>
      <c r="O270" s="72">
        <f t="shared" si="120"/>
        <v>1.2141304654883265</v>
      </c>
      <c r="P270" s="72">
        <f t="shared" si="121"/>
        <v>1.0326876360195152</v>
      </c>
      <c r="Q270" s="71">
        <f t="shared" si="122"/>
        <v>14.160477714410172</v>
      </c>
      <c r="R270" s="72">
        <f t="shared" si="123"/>
        <v>1</v>
      </c>
      <c r="S270" s="71">
        <f t="shared" si="124"/>
        <v>9.2752518371911883</v>
      </c>
      <c r="T270" s="72">
        <f t="shared" si="125"/>
        <v>5.6226812384961216</v>
      </c>
      <c r="U270" s="72">
        <f t="shared" si="126"/>
        <v>1.7053462321157722</v>
      </c>
      <c r="V270" s="72">
        <f t="shared" si="127"/>
        <v>4.2170109288720914</v>
      </c>
      <c r="W270" s="72">
        <f t="shared" si="128"/>
        <v>1.6712393074734566</v>
      </c>
      <c r="X270" s="72">
        <f t="shared" si="129"/>
        <v>2.9441251181727739</v>
      </c>
      <c r="Y270" s="72">
        <f t="shared" si="130"/>
        <v>0.71988861713317309</v>
      </c>
      <c r="Z270" s="72">
        <f t="shared" si="131"/>
        <v>3.8557764635098803</v>
      </c>
      <c r="AA270" s="72">
        <f t="shared" si="132"/>
        <v>19.244223536490122</v>
      </c>
      <c r="AB270" s="72">
        <f t="shared" si="133"/>
        <v>3.1677777175068473</v>
      </c>
      <c r="AC270" s="72">
        <f t="shared" si="134"/>
        <v>0.18868182684282603</v>
      </c>
      <c r="AD270" s="73">
        <f t="shared" si="135"/>
        <v>1206.0988078320233</v>
      </c>
      <c r="AE270" s="71">
        <f t="shared" si="136"/>
        <v>193.25470065891747</v>
      </c>
      <c r="AF270" s="74">
        <f t="shared" si="137"/>
        <v>5.8639999173037172</v>
      </c>
      <c r="AG270" s="75">
        <f t="shared" si="138"/>
        <v>2.3938433761831406</v>
      </c>
      <c r="AH270" s="76">
        <f t="shared" si="139"/>
        <v>4.3012267184041919</v>
      </c>
      <c r="AI270" s="77">
        <f t="shared" si="140"/>
        <v>5.8672184638494684</v>
      </c>
    </row>
    <row r="271" spans="1:35" ht="15.75" customHeight="1" x14ac:dyDescent="0.45">
      <c r="A271" s="59">
        <f t="shared" si="116"/>
        <v>46015</v>
      </c>
      <c r="B271" s="60">
        <v>2025</v>
      </c>
      <c r="C271" s="60">
        <v>12</v>
      </c>
      <c r="D271" s="60">
        <v>24</v>
      </c>
      <c r="E271" s="61">
        <v>358</v>
      </c>
      <c r="F271" s="62">
        <v>35</v>
      </c>
      <c r="G271" s="62">
        <v>15</v>
      </c>
      <c r="H271" s="70">
        <f t="shared" si="117"/>
        <v>25</v>
      </c>
      <c r="I271" s="62">
        <v>98</v>
      </c>
      <c r="J271" s="62">
        <v>75</v>
      </c>
      <c r="K271" s="62">
        <v>1</v>
      </c>
      <c r="L271" s="62">
        <v>30</v>
      </c>
      <c r="M271" s="71">
        <f t="shared" si="118"/>
        <v>-23.407440210630863</v>
      </c>
      <c r="N271" s="72">
        <f t="shared" si="119"/>
        <v>-0.40853785647621066</v>
      </c>
      <c r="O271" s="72">
        <f t="shared" si="120"/>
        <v>1.214501868703872</v>
      </c>
      <c r="P271" s="72">
        <f t="shared" si="121"/>
        <v>1.032760765004362</v>
      </c>
      <c r="Q271" s="71">
        <f t="shared" si="122"/>
        <v>14.175377283154155</v>
      </c>
      <c r="R271" s="72">
        <f t="shared" si="123"/>
        <v>1</v>
      </c>
      <c r="S271" s="71">
        <f t="shared" si="124"/>
        <v>9.2780891421227807</v>
      </c>
      <c r="T271" s="72">
        <f t="shared" si="125"/>
        <v>5.6226812384961216</v>
      </c>
      <c r="U271" s="72">
        <f t="shared" si="126"/>
        <v>1.7053462321157722</v>
      </c>
      <c r="V271" s="72">
        <f t="shared" si="127"/>
        <v>4.2170109288720914</v>
      </c>
      <c r="W271" s="72">
        <f t="shared" si="128"/>
        <v>1.6712393074734566</v>
      </c>
      <c r="X271" s="72">
        <f t="shared" si="129"/>
        <v>2.9441251181727739</v>
      </c>
      <c r="Y271" s="72">
        <f t="shared" si="130"/>
        <v>0.71988861713317309</v>
      </c>
      <c r="Z271" s="72">
        <f t="shared" si="131"/>
        <v>3.8557764635098803</v>
      </c>
      <c r="AA271" s="72">
        <f t="shared" si="132"/>
        <v>19.244223536490122</v>
      </c>
      <c r="AB271" s="72">
        <f t="shared" si="133"/>
        <v>3.1677777175068473</v>
      </c>
      <c r="AC271" s="72">
        <f t="shared" si="134"/>
        <v>0.18868182684282603</v>
      </c>
      <c r="AD271" s="73">
        <f t="shared" si="135"/>
        <v>1206.0988078320233</v>
      </c>
      <c r="AE271" s="71">
        <f t="shared" si="136"/>
        <v>193.25470065891747</v>
      </c>
      <c r="AF271" s="74">
        <f t="shared" si="137"/>
        <v>5.8639999173037172</v>
      </c>
      <c r="AG271" s="75">
        <f t="shared" si="138"/>
        <v>2.3963621636608732</v>
      </c>
      <c r="AH271" s="76">
        <f t="shared" si="139"/>
        <v>4.3012267184041919</v>
      </c>
      <c r="AI271" s="77">
        <f t="shared" si="140"/>
        <v>5.8672184638494684</v>
      </c>
    </row>
    <row r="272" spans="1:35" ht="15.75" customHeight="1" x14ac:dyDescent="0.45">
      <c r="A272" s="59">
        <f t="shared" si="116"/>
        <v>46016</v>
      </c>
      <c r="B272" s="60">
        <v>2025</v>
      </c>
      <c r="C272" s="60">
        <v>12</v>
      </c>
      <c r="D272" s="60">
        <v>25</v>
      </c>
      <c r="E272" s="61">
        <v>359</v>
      </c>
      <c r="F272" s="62">
        <v>35</v>
      </c>
      <c r="G272" s="62">
        <v>15</v>
      </c>
      <c r="H272" s="70">
        <f t="shared" si="117"/>
        <v>25</v>
      </c>
      <c r="I272" s="62">
        <v>98</v>
      </c>
      <c r="J272" s="62">
        <v>75</v>
      </c>
      <c r="K272" s="62">
        <v>1</v>
      </c>
      <c r="L272" s="62">
        <v>30</v>
      </c>
      <c r="M272" s="71">
        <f t="shared" si="118"/>
        <v>-23.379663773728542</v>
      </c>
      <c r="N272" s="72">
        <f t="shared" si="119"/>
        <v>-0.40805306506414213</v>
      </c>
      <c r="O272" s="72">
        <f t="shared" si="120"/>
        <v>1.2149966226369677</v>
      </c>
      <c r="P272" s="72">
        <f t="shared" si="121"/>
        <v>1.0328241862221019</v>
      </c>
      <c r="Q272" s="71">
        <f t="shared" si="122"/>
        <v>14.194773558689748</v>
      </c>
      <c r="R272" s="72">
        <f t="shared" si="123"/>
        <v>1</v>
      </c>
      <c r="S272" s="71">
        <f t="shared" si="124"/>
        <v>9.2818687749195394</v>
      </c>
      <c r="T272" s="72">
        <f t="shared" si="125"/>
        <v>5.6226812384961216</v>
      </c>
      <c r="U272" s="72">
        <f t="shared" si="126"/>
        <v>1.7053462321157722</v>
      </c>
      <c r="V272" s="72">
        <f t="shared" si="127"/>
        <v>4.2170109288720914</v>
      </c>
      <c r="W272" s="72">
        <f t="shared" si="128"/>
        <v>1.6712393074734566</v>
      </c>
      <c r="X272" s="72">
        <f t="shared" si="129"/>
        <v>2.9441251181727739</v>
      </c>
      <c r="Y272" s="72">
        <f t="shared" si="130"/>
        <v>0.71988861713317309</v>
      </c>
      <c r="Z272" s="72">
        <f t="shared" si="131"/>
        <v>3.8557764635098803</v>
      </c>
      <c r="AA272" s="72">
        <f t="shared" si="132"/>
        <v>19.244223536490122</v>
      </c>
      <c r="AB272" s="72">
        <f t="shared" si="133"/>
        <v>3.1677777175068473</v>
      </c>
      <c r="AC272" s="72">
        <f t="shared" si="134"/>
        <v>0.18868182684282603</v>
      </c>
      <c r="AD272" s="73">
        <f t="shared" si="135"/>
        <v>1206.0988078320233</v>
      </c>
      <c r="AE272" s="71">
        <f t="shared" si="136"/>
        <v>193.25470065891747</v>
      </c>
      <c r="AF272" s="74">
        <f t="shared" si="137"/>
        <v>5.8639999173037172</v>
      </c>
      <c r="AG272" s="75">
        <f t="shared" si="138"/>
        <v>2.3996411240639008</v>
      </c>
      <c r="AH272" s="76">
        <f t="shared" si="139"/>
        <v>4.3012267184041919</v>
      </c>
      <c r="AI272" s="77">
        <f t="shared" si="140"/>
        <v>5.8672184638494684</v>
      </c>
    </row>
    <row r="273" spans="1:35" ht="15.75" customHeight="1" x14ac:dyDescent="0.45">
      <c r="A273" s="59">
        <f t="shared" si="116"/>
        <v>46017</v>
      </c>
      <c r="B273" s="60">
        <v>2025</v>
      </c>
      <c r="C273" s="60">
        <v>12</v>
      </c>
      <c r="D273" s="60">
        <v>26</v>
      </c>
      <c r="E273" s="61">
        <v>360</v>
      </c>
      <c r="F273" s="62">
        <v>35</v>
      </c>
      <c r="G273" s="62">
        <v>15</v>
      </c>
      <c r="H273" s="70">
        <f t="shared" si="117"/>
        <v>25</v>
      </c>
      <c r="I273" s="62">
        <v>98</v>
      </c>
      <c r="J273" s="62">
        <v>75</v>
      </c>
      <c r="K273" s="62">
        <v>1</v>
      </c>
      <c r="L273" s="62">
        <v>30</v>
      </c>
      <c r="M273" s="71">
        <f t="shared" si="118"/>
        <v>-23.344959405475478</v>
      </c>
      <c r="N273" s="72">
        <f t="shared" si="119"/>
        <v>-0.4074473581568987</v>
      </c>
      <c r="O273" s="72">
        <f t="shared" si="120"/>
        <v>1.2156143578832321</v>
      </c>
      <c r="P273" s="72">
        <f t="shared" si="121"/>
        <v>1.0328778808795716</v>
      </c>
      <c r="Q273" s="71">
        <f t="shared" si="122"/>
        <v>14.218663357997698</v>
      </c>
      <c r="R273" s="72">
        <f t="shared" si="123"/>
        <v>1</v>
      </c>
      <c r="S273" s="71">
        <f t="shared" si="124"/>
        <v>9.2865879135464642</v>
      </c>
      <c r="T273" s="72">
        <f t="shared" si="125"/>
        <v>5.6226812384961216</v>
      </c>
      <c r="U273" s="72">
        <f t="shared" si="126"/>
        <v>1.7053462321157722</v>
      </c>
      <c r="V273" s="72">
        <f t="shared" si="127"/>
        <v>4.2170109288720914</v>
      </c>
      <c r="W273" s="72">
        <f t="shared" si="128"/>
        <v>1.6712393074734566</v>
      </c>
      <c r="X273" s="72">
        <f t="shared" si="129"/>
        <v>2.9441251181727739</v>
      </c>
      <c r="Y273" s="72">
        <f t="shared" si="130"/>
        <v>0.71988861713317309</v>
      </c>
      <c r="Z273" s="72">
        <f t="shared" si="131"/>
        <v>3.8557764635098803</v>
      </c>
      <c r="AA273" s="72">
        <f t="shared" si="132"/>
        <v>19.244223536490122</v>
      </c>
      <c r="AB273" s="72">
        <f t="shared" si="133"/>
        <v>3.1677777175068473</v>
      </c>
      <c r="AC273" s="72">
        <f t="shared" si="134"/>
        <v>0.18868182684282603</v>
      </c>
      <c r="AD273" s="73">
        <f t="shared" si="135"/>
        <v>1206.0988078320233</v>
      </c>
      <c r="AE273" s="71">
        <f t="shared" si="136"/>
        <v>193.25470065891747</v>
      </c>
      <c r="AF273" s="74">
        <f t="shared" si="137"/>
        <v>5.8639999173037172</v>
      </c>
      <c r="AG273" s="75">
        <f t="shared" si="138"/>
        <v>2.4036797192995318</v>
      </c>
      <c r="AH273" s="76">
        <f t="shared" si="139"/>
        <v>4.3012267184041919</v>
      </c>
      <c r="AI273" s="77">
        <f t="shared" si="140"/>
        <v>5.8672184638494684</v>
      </c>
    </row>
    <row r="274" spans="1:35" ht="15.75" customHeight="1" x14ac:dyDescent="0.45">
      <c r="A274" s="59">
        <f t="shared" si="116"/>
        <v>46018</v>
      </c>
      <c r="B274" s="60">
        <v>2025</v>
      </c>
      <c r="C274" s="60">
        <v>12</v>
      </c>
      <c r="D274" s="60">
        <v>27</v>
      </c>
      <c r="E274" s="61">
        <v>361</v>
      </c>
      <c r="F274" s="62">
        <v>35</v>
      </c>
      <c r="G274" s="62">
        <v>15</v>
      </c>
      <c r="H274" s="70">
        <f t="shared" si="117"/>
        <v>25</v>
      </c>
      <c r="I274" s="62">
        <v>98</v>
      </c>
      <c r="J274" s="62">
        <v>75</v>
      </c>
      <c r="K274" s="62">
        <v>1</v>
      </c>
      <c r="L274" s="62">
        <v>30</v>
      </c>
      <c r="M274" s="71">
        <f t="shared" si="118"/>
        <v>-23.303337389573052</v>
      </c>
      <c r="N274" s="72">
        <f t="shared" si="119"/>
        <v>-0.40672091523934834</v>
      </c>
      <c r="O274" s="72">
        <f t="shared" si="120"/>
        <v>1.2163546145312658</v>
      </c>
      <c r="P274" s="72">
        <f t="shared" si="121"/>
        <v>1.032921833065811</v>
      </c>
      <c r="Q274" s="71">
        <f t="shared" si="122"/>
        <v>14.247042440864167</v>
      </c>
      <c r="R274" s="72">
        <f t="shared" si="123"/>
        <v>1</v>
      </c>
      <c r="S274" s="71">
        <f t="shared" si="124"/>
        <v>9.2922430445474848</v>
      </c>
      <c r="T274" s="72">
        <f t="shared" si="125"/>
        <v>5.6226812384961216</v>
      </c>
      <c r="U274" s="72">
        <f t="shared" si="126"/>
        <v>1.7053462321157722</v>
      </c>
      <c r="V274" s="72">
        <f t="shared" si="127"/>
        <v>4.2170109288720914</v>
      </c>
      <c r="W274" s="72">
        <f t="shared" si="128"/>
        <v>1.6712393074734566</v>
      </c>
      <c r="X274" s="72">
        <f t="shared" si="129"/>
        <v>2.9441251181727739</v>
      </c>
      <c r="Y274" s="72">
        <f t="shared" si="130"/>
        <v>0.71988861713317309</v>
      </c>
      <c r="Z274" s="72">
        <f t="shared" si="131"/>
        <v>3.8557764635098803</v>
      </c>
      <c r="AA274" s="72">
        <f t="shared" si="132"/>
        <v>19.244223536490122</v>
      </c>
      <c r="AB274" s="72">
        <f t="shared" si="133"/>
        <v>3.1677777175068473</v>
      </c>
      <c r="AC274" s="72">
        <f t="shared" si="134"/>
        <v>0.18868182684282603</v>
      </c>
      <c r="AD274" s="73">
        <f t="shared" si="135"/>
        <v>1206.0988078320233</v>
      </c>
      <c r="AE274" s="71">
        <f t="shared" si="136"/>
        <v>193.25470065891747</v>
      </c>
      <c r="AF274" s="74">
        <f t="shared" si="137"/>
        <v>5.8639999173037172</v>
      </c>
      <c r="AG274" s="75">
        <f t="shared" si="138"/>
        <v>2.4084772325552404</v>
      </c>
      <c r="AH274" s="76">
        <f t="shared" si="139"/>
        <v>4.3012267184041919</v>
      </c>
      <c r="AI274" s="77">
        <f t="shared" si="140"/>
        <v>5.8672184638494684</v>
      </c>
    </row>
    <row r="275" spans="1:35" ht="15.75" customHeight="1" x14ac:dyDescent="0.45">
      <c r="A275" s="59">
        <f t="shared" si="116"/>
        <v>46019</v>
      </c>
      <c r="B275" s="60">
        <v>2025</v>
      </c>
      <c r="C275" s="60">
        <v>12</v>
      </c>
      <c r="D275" s="60">
        <v>28</v>
      </c>
      <c r="E275" s="61">
        <v>362</v>
      </c>
      <c r="F275" s="62">
        <v>35</v>
      </c>
      <c r="G275" s="62">
        <v>15</v>
      </c>
      <c r="H275" s="70">
        <f t="shared" si="117"/>
        <v>25</v>
      </c>
      <c r="I275" s="62">
        <v>98</v>
      </c>
      <c r="J275" s="62">
        <v>75</v>
      </c>
      <c r="K275" s="62">
        <v>1</v>
      </c>
      <c r="L275" s="62">
        <v>30</v>
      </c>
      <c r="M275" s="71">
        <f t="shared" si="118"/>
        <v>-23.254810059580546</v>
      </c>
      <c r="N275" s="72">
        <f t="shared" si="119"/>
        <v>-0.40587395157321243</v>
      </c>
      <c r="O275" s="72">
        <f t="shared" si="120"/>
        <v>1.217216843370645</v>
      </c>
      <c r="P275" s="72">
        <f t="shared" si="121"/>
        <v>1.0329560297567777</v>
      </c>
      <c r="Q275" s="71">
        <f t="shared" si="122"/>
        <v>14.279905496691519</v>
      </c>
      <c r="R275" s="72">
        <f t="shared" si="123"/>
        <v>1</v>
      </c>
      <c r="S275" s="71">
        <f t="shared" si="124"/>
        <v>9.2988299722738343</v>
      </c>
      <c r="T275" s="72">
        <f t="shared" si="125"/>
        <v>5.6226812384961216</v>
      </c>
      <c r="U275" s="72">
        <f t="shared" si="126"/>
        <v>1.7053462321157722</v>
      </c>
      <c r="V275" s="72">
        <f t="shared" si="127"/>
        <v>4.2170109288720914</v>
      </c>
      <c r="W275" s="72">
        <f t="shared" si="128"/>
        <v>1.6712393074734566</v>
      </c>
      <c r="X275" s="72">
        <f t="shared" si="129"/>
        <v>2.9441251181727739</v>
      </c>
      <c r="Y275" s="72">
        <f t="shared" si="130"/>
        <v>0.71988861713317309</v>
      </c>
      <c r="Z275" s="72">
        <f t="shared" si="131"/>
        <v>3.8557764635098803</v>
      </c>
      <c r="AA275" s="72">
        <f t="shared" si="132"/>
        <v>19.244223536490122</v>
      </c>
      <c r="AB275" s="72">
        <f t="shared" si="133"/>
        <v>3.1677777175068473</v>
      </c>
      <c r="AC275" s="72">
        <f t="shared" si="134"/>
        <v>0.18868182684282603</v>
      </c>
      <c r="AD275" s="73">
        <f t="shared" si="135"/>
        <v>1206.0988078320233</v>
      </c>
      <c r="AE275" s="71">
        <f t="shared" si="136"/>
        <v>193.25470065891747</v>
      </c>
      <c r="AF275" s="74">
        <f t="shared" si="137"/>
        <v>5.8639999173037172</v>
      </c>
      <c r="AG275" s="75">
        <f t="shared" si="138"/>
        <v>2.4140327660690137</v>
      </c>
      <c r="AH275" s="76">
        <f t="shared" si="139"/>
        <v>4.3012267184041919</v>
      </c>
      <c r="AI275" s="77">
        <f t="shared" si="140"/>
        <v>5.8672184638494684</v>
      </c>
    </row>
    <row r="276" spans="1:35" ht="15.75" customHeight="1" x14ac:dyDescent="0.45">
      <c r="A276" s="59">
        <f t="shared" si="116"/>
        <v>46020</v>
      </c>
      <c r="B276" s="60">
        <v>2025</v>
      </c>
      <c r="C276" s="60">
        <v>12</v>
      </c>
      <c r="D276" s="60">
        <v>29</v>
      </c>
      <c r="E276" s="61">
        <v>363</v>
      </c>
      <c r="F276" s="62">
        <v>35</v>
      </c>
      <c r="G276" s="62">
        <v>15</v>
      </c>
      <c r="H276" s="70">
        <f t="shared" si="117"/>
        <v>25</v>
      </c>
      <c r="I276" s="62">
        <v>98</v>
      </c>
      <c r="J276" s="62">
        <v>75</v>
      </c>
      <c r="K276" s="62">
        <v>1</v>
      </c>
      <c r="L276" s="62">
        <v>30</v>
      </c>
      <c r="M276" s="71">
        <f t="shared" si="118"/>
        <v>-23.199391795260379</v>
      </c>
      <c r="N276" s="72">
        <f t="shared" si="119"/>
        <v>-0.40490671813327783</v>
      </c>
      <c r="O276" s="72">
        <f t="shared" si="120"/>
        <v>1.218200407326967</v>
      </c>
      <c r="P276" s="72">
        <f t="shared" si="121"/>
        <v>1.0329804608192068</v>
      </c>
      <c r="Q276" s="71">
        <f t="shared" si="122"/>
        <v>14.317246129162394</v>
      </c>
      <c r="R276" s="72">
        <f t="shared" si="123"/>
        <v>1</v>
      </c>
      <c r="S276" s="71">
        <f t="shared" si="124"/>
        <v>9.3063438298469592</v>
      </c>
      <c r="T276" s="72">
        <f t="shared" si="125"/>
        <v>5.6226812384961216</v>
      </c>
      <c r="U276" s="72">
        <f t="shared" si="126"/>
        <v>1.7053462321157722</v>
      </c>
      <c r="V276" s="72">
        <f t="shared" si="127"/>
        <v>4.2170109288720914</v>
      </c>
      <c r="W276" s="72">
        <f t="shared" si="128"/>
        <v>1.6712393074734566</v>
      </c>
      <c r="X276" s="72">
        <f t="shared" si="129"/>
        <v>2.9441251181727739</v>
      </c>
      <c r="Y276" s="72">
        <f t="shared" si="130"/>
        <v>0.71988861713317309</v>
      </c>
      <c r="Z276" s="72">
        <f t="shared" si="131"/>
        <v>3.8557764635098803</v>
      </c>
      <c r="AA276" s="72">
        <f t="shared" si="132"/>
        <v>19.244223536490122</v>
      </c>
      <c r="AB276" s="72">
        <f t="shared" si="133"/>
        <v>3.1677777175068473</v>
      </c>
      <c r="AC276" s="72">
        <f t="shared" si="134"/>
        <v>0.18868182684282603</v>
      </c>
      <c r="AD276" s="73">
        <f t="shared" si="135"/>
        <v>1206.0988078320233</v>
      </c>
      <c r="AE276" s="71">
        <f t="shared" si="136"/>
        <v>193.25470065891747</v>
      </c>
      <c r="AF276" s="74">
        <f t="shared" si="137"/>
        <v>5.8639999173037172</v>
      </c>
      <c r="AG276" s="75">
        <f t="shared" si="138"/>
        <v>2.4203452385367981</v>
      </c>
      <c r="AH276" s="76">
        <f t="shared" si="139"/>
        <v>4.3012267184041919</v>
      </c>
      <c r="AI276" s="77">
        <f t="shared" si="140"/>
        <v>5.8672184638494684</v>
      </c>
    </row>
    <row r="277" spans="1:35" ht="15.75" customHeight="1" x14ac:dyDescent="0.45">
      <c r="A277" s="59">
        <f t="shared" si="116"/>
        <v>46021</v>
      </c>
      <c r="B277" s="60">
        <v>2025</v>
      </c>
      <c r="C277" s="60">
        <v>12</v>
      </c>
      <c r="D277" s="60">
        <v>30</v>
      </c>
      <c r="E277" s="61">
        <v>364</v>
      </c>
      <c r="F277" s="62">
        <v>35</v>
      </c>
      <c r="G277" s="62">
        <v>15</v>
      </c>
      <c r="H277" s="70">
        <f t="shared" si="117"/>
        <v>25</v>
      </c>
      <c r="I277" s="62">
        <v>98</v>
      </c>
      <c r="J277" s="62">
        <v>75</v>
      </c>
      <c r="K277" s="62">
        <v>1</v>
      </c>
      <c r="L277" s="62">
        <v>30</v>
      </c>
      <c r="M277" s="71">
        <f t="shared" si="118"/>
        <v>-23.137099018317105</v>
      </c>
      <c r="N277" s="72">
        <f t="shared" si="119"/>
        <v>-0.40381950153302787</v>
      </c>
      <c r="O277" s="72">
        <f t="shared" si="120"/>
        <v>1.2193045831162368</v>
      </c>
      <c r="P277" s="72">
        <f t="shared" si="121"/>
        <v>1.0329951190136135</v>
      </c>
      <c r="Q277" s="71">
        <f t="shared" si="122"/>
        <v>14.359056838845047</v>
      </c>
      <c r="R277" s="72">
        <f t="shared" si="123"/>
        <v>1</v>
      </c>
      <c r="S277" s="71">
        <f t="shared" si="124"/>
        <v>9.3147790917970728</v>
      </c>
      <c r="T277" s="72">
        <f t="shared" si="125"/>
        <v>5.6226812384961216</v>
      </c>
      <c r="U277" s="72">
        <f t="shared" si="126"/>
        <v>1.7053462321157722</v>
      </c>
      <c r="V277" s="72">
        <f t="shared" si="127"/>
        <v>4.2170109288720914</v>
      </c>
      <c r="W277" s="72">
        <f t="shared" si="128"/>
        <v>1.6712393074734566</v>
      </c>
      <c r="X277" s="72">
        <f t="shared" si="129"/>
        <v>2.9441251181727739</v>
      </c>
      <c r="Y277" s="72">
        <f t="shared" si="130"/>
        <v>0.71988861713317309</v>
      </c>
      <c r="Z277" s="72">
        <f t="shared" si="131"/>
        <v>3.8557764635098803</v>
      </c>
      <c r="AA277" s="72">
        <f t="shared" si="132"/>
        <v>19.244223536490122</v>
      </c>
      <c r="AB277" s="72">
        <f t="shared" si="133"/>
        <v>3.1677777175068473</v>
      </c>
      <c r="AC277" s="72">
        <f t="shared" si="134"/>
        <v>0.18868182684282603</v>
      </c>
      <c r="AD277" s="73">
        <f t="shared" si="135"/>
        <v>1206.0988078320233</v>
      </c>
      <c r="AE277" s="71">
        <f t="shared" si="136"/>
        <v>193.25470065891747</v>
      </c>
      <c r="AF277" s="74">
        <f t="shared" si="137"/>
        <v>5.8639999173037172</v>
      </c>
      <c r="AG277" s="75">
        <f t="shared" si="138"/>
        <v>2.4274133821719164</v>
      </c>
      <c r="AH277" s="76">
        <f t="shared" si="139"/>
        <v>4.3012267184041919</v>
      </c>
      <c r="AI277" s="77">
        <f t="shared" si="140"/>
        <v>5.8672184638494684</v>
      </c>
    </row>
    <row r="278" spans="1:35" ht="15.75" customHeight="1" x14ac:dyDescent="0.45">
      <c r="A278" s="59">
        <f t="shared" si="116"/>
        <v>46022</v>
      </c>
      <c r="B278" s="60">
        <v>2025</v>
      </c>
      <c r="C278" s="60">
        <v>12</v>
      </c>
      <c r="D278" s="60">
        <v>31</v>
      </c>
      <c r="E278" s="61">
        <v>365</v>
      </c>
      <c r="F278" s="62">
        <v>35</v>
      </c>
      <c r="G278" s="62">
        <v>15</v>
      </c>
      <c r="H278" s="70">
        <f t="shared" si="117"/>
        <v>25</v>
      </c>
      <c r="I278" s="62">
        <v>98</v>
      </c>
      <c r="J278" s="62">
        <v>75</v>
      </c>
      <c r="K278" s="62">
        <v>1</v>
      </c>
      <c r="L278" s="62">
        <v>30</v>
      </c>
      <c r="M278" s="71">
        <f t="shared" si="118"/>
        <v>-23.067950187531238</v>
      </c>
      <c r="N278" s="72">
        <f t="shared" si="119"/>
        <v>-0.40261262393971192</v>
      </c>
      <c r="O278" s="72">
        <f t="shared" si="120"/>
        <v>1.2205285631097911</v>
      </c>
      <c r="P278" s="72">
        <f t="shared" si="121"/>
        <v>1.0329999999964381</v>
      </c>
      <c r="Q278" s="71">
        <f t="shared" si="122"/>
        <v>14.405329003841249</v>
      </c>
      <c r="R278" s="72">
        <f t="shared" si="123"/>
        <v>1</v>
      </c>
      <c r="S278" s="71">
        <f t="shared" si="124"/>
        <v>9.3241295883100932</v>
      </c>
      <c r="T278" s="72">
        <f t="shared" si="125"/>
        <v>5.6226812384961216</v>
      </c>
      <c r="U278" s="72">
        <f t="shared" si="126"/>
        <v>1.7053462321157722</v>
      </c>
      <c r="V278" s="72">
        <f t="shared" si="127"/>
        <v>4.2170109288720914</v>
      </c>
      <c r="W278" s="72">
        <f t="shared" si="128"/>
        <v>1.6712393074734566</v>
      </c>
      <c r="X278" s="72">
        <f t="shared" si="129"/>
        <v>2.9441251181727739</v>
      </c>
      <c r="Y278" s="72">
        <f t="shared" si="130"/>
        <v>0.71988861713317309</v>
      </c>
      <c r="Z278" s="72">
        <f t="shared" si="131"/>
        <v>3.8557764635098803</v>
      </c>
      <c r="AA278" s="72">
        <f t="shared" si="132"/>
        <v>19.244223536490122</v>
      </c>
      <c r="AB278" s="72">
        <f t="shared" si="133"/>
        <v>3.1677777175068473</v>
      </c>
      <c r="AC278" s="72">
        <f t="shared" si="134"/>
        <v>0.18868182684282603</v>
      </c>
      <c r="AD278" s="73">
        <f t="shared" si="135"/>
        <v>1206.0988078320233</v>
      </c>
      <c r="AE278" s="71">
        <f t="shared" si="136"/>
        <v>193.25470065891747</v>
      </c>
      <c r="AF278" s="74">
        <f t="shared" si="137"/>
        <v>5.8639999173037172</v>
      </c>
      <c r="AG278" s="75">
        <f t="shared" si="138"/>
        <v>2.4352357394335704</v>
      </c>
      <c r="AH278" s="76">
        <f t="shared" si="139"/>
        <v>4.3012267184041919</v>
      </c>
      <c r="AI278" s="77">
        <f t="shared" si="140"/>
        <v>5.8672184638494684</v>
      </c>
    </row>
    <row r="279" spans="1:35" ht="15.75" customHeight="1" x14ac:dyDescent="0.45"/>
    <row r="280" spans="1:35" ht="15.75" customHeight="1" x14ac:dyDescent="0.45"/>
    <row r="281" spans="1:35" ht="15.75" customHeight="1" x14ac:dyDescent="0.45"/>
    <row r="282" spans="1:35" ht="15.75" customHeight="1" x14ac:dyDescent="0.45"/>
    <row r="283" spans="1:35" ht="15.75" customHeight="1" x14ac:dyDescent="0.45"/>
    <row r="284" spans="1:35" ht="15.75" customHeight="1" x14ac:dyDescent="0.45"/>
    <row r="285" spans="1:35" ht="15.75" customHeight="1" x14ac:dyDescent="0.45"/>
    <row r="286" spans="1:35" ht="15.75" customHeight="1" x14ac:dyDescent="0.45"/>
    <row r="287" spans="1:35" ht="15.75" customHeight="1" x14ac:dyDescent="0.45"/>
    <row r="288" spans="1:35"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AK2:AL2"/>
    <mergeCell ref="A1:A3"/>
    <mergeCell ref="B1:B3"/>
    <mergeCell ref="C1:C3"/>
    <mergeCell ref="D1:D3"/>
  </mergeCell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3"/>
  <sheetViews>
    <sheetView zoomScale="64" zoomScaleNormal="85" workbookViewId="0">
      <selection activeCell="N6" sqref="N6"/>
    </sheetView>
  </sheetViews>
  <sheetFormatPr defaultColWidth="8.86328125" defaultRowHeight="14.25" x14ac:dyDescent="0.45"/>
  <cols>
    <col min="1" max="1" width="17.3984375" customWidth="1"/>
    <col min="2" max="2" width="7.73046875" bestFit="1" customWidth="1"/>
    <col min="3" max="3" width="14.73046875" customWidth="1"/>
    <col min="4" max="4" width="14.265625" customWidth="1"/>
    <col min="5" max="5" width="12.1328125" customWidth="1"/>
    <col min="6" max="6" width="10" customWidth="1"/>
    <col min="7" max="7" width="13.3984375" customWidth="1"/>
    <col min="8" max="9" width="10.3984375" customWidth="1"/>
    <col min="10" max="10" width="11.265625" customWidth="1"/>
    <col min="12" max="13" width="10.86328125" customWidth="1"/>
    <col min="14" max="14" width="31.265625" customWidth="1"/>
    <col min="15" max="16" width="11.73046875" customWidth="1"/>
    <col min="17" max="17" width="12" customWidth="1"/>
    <col min="18" max="18" width="12.59765625" bestFit="1" customWidth="1"/>
    <col min="19" max="19" width="16.3984375" customWidth="1"/>
    <col min="20" max="20" width="17.3984375" customWidth="1"/>
    <col min="21" max="21" width="11.1328125" customWidth="1"/>
    <col min="22" max="22" width="11" customWidth="1"/>
    <col min="23" max="23" width="14.86328125" bestFit="1" customWidth="1"/>
    <col min="24" max="24" width="15.59765625" customWidth="1"/>
    <col min="25" max="25" width="21.73046875" bestFit="1" customWidth="1"/>
    <col min="26" max="26" width="11.73046875" customWidth="1"/>
  </cols>
  <sheetData>
    <row r="1" spans="1:37" x14ac:dyDescent="0.45">
      <c r="L1" s="83" t="s">
        <v>78</v>
      </c>
      <c r="M1" s="83"/>
      <c r="N1" s="83"/>
      <c r="W1" s="84" t="s">
        <v>79</v>
      </c>
      <c r="X1" s="84"/>
      <c r="Y1" s="84"/>
      <c r="Z1" s="84"/>
    </row>
    <row r="2" spans="1:37" s="1" customFormat="1" ht="57" x14ac:dyDescent="0.45">
      <c r="A2" s="32" t="s">
        <v>14</v>
      </c>
      <c r="B2" s="32"/>
      <c r="C2" s="32" t="s">
        <v>84</v>
      </c>
      <c r="D2" s="32" t="s">
        <v>84</v>
      </c>
      <c r="E2" s="33" t="s">
        <v>58</v>
      </c>
      <c r="F2" s="32" t="s">
        <v>14</v>
      </c>
      <c r="G2" s="32" t="s">
        <v>14</v>
      </c>
      <c r="H2" s="33" t="s">
        <v>58</v>
      </c>
      <c r="I2" s="33" t="s">
        <v>58</v>
      </c>
      <c r="J2" s="33" t="s">
        <v>58</v>
      </c>
      <c r="K2" s="32" t="s">
        <v>16</v>
      </c>
      <c r="L2" s="32" t="s">
        <v>80</v>
      </c>
      <c r="M2" s="32" t="s">
        <v>81</v>
      </c>
      <c r="N2" s="32" t="s">
        <v>77</v>
      </c>
      <c r="O2" s="33" t="s">
        <v>58</v>
      </c>
      <c r="Q2" s="33" t="s">
        <v>58</v>
      </c>
      <c r="R2" s="32" t="s">
        <v>146</v>
      </c>
      <c r="S2" s="32" t="s">
        <v>18</v>
      </c>
      <c r="T2" s="33" t="s">
        <v>58</v>
      </c>
      <c r="U2" s="33" t="s">
        <v>58</v>
      </c>
      <c r="V2" s="33" t="s">
        <v>58</v>
      </c>
      <c r="W2" s="32" t="s">
        <v>14</v>
      </c>
      <c r="X2" s="32" t="s">
        <v>14</v>
      </c>
      <c r="Y2" s="33" t="s">
        <v>58</v>
      </c>
      <c r="Z2" s="33" t="s">
        <v>58</v>
      </c>
      <c r="AA2" s="23"/>
      <c r="AB2" s="23" t="s">
        <v>40</v>
      </c>
      <c r="AC2" s="23"/>
      <c r="AD2" s="2"/>
      <c r="AE2" s="2"/>
    </row>
    <row r="3" spans="1:37" s="3" customFormat="1" ht="114" x14ac:dyDescent="0.45">
      <c r="A3" s="34" t="s">
        <v>11</v>
      </c>
      <c r="B3" s="34" t="s">
        <v>59</v>
      </c>
      <c r="C3" s="34" t="s">
        <v>82</v>
      </c>
      <c r="D3" s="34" t="s">
        <v>83</v>
      </c>
      <c r="E3" s="34" t="s">
        <v>1</v>
      </c>
      <c r="F3" s="34" t="s">
        <v>4</v>
      </c>
      <c r="G3" s="34" t="s">
        <v>6</v>
      </c>
      <c r="H3" s="34" t="s">
        <v>15</v>
      </c>
      <c r="I3" s="34" t="s">
        <v>15</v>
      </c>
      <c r="J3" s="35" t="s">
        <v>27</v>
      </c>
      <c r="K3" s="34" t="s">
        <v>8</v>
      </c>
      <c r="L3" s="34" t="s">
        <v>71</v>
      </c>
      <c r="M3" s="34" t="s">
        <v>72</v>
      </c>
      <c r="N3" s="34" t="s">
        <v>74</v>
      </c>
      <c r="O3" s="34" t="s">
        <v>17</v>
      </c>
      <c r="P3" s="33" t="s">
        <v>64</v>
      </c>
      <c r="Q3" s="34" t="s">
        <v>56</v>
      </c>
      <c r="R3" s="34" t="s">
        <v>145</v>
      </c>
      <c r="S3" s="34" t="s">
        <v>22</v>
      </c>
      <c r="T3" s="34" t="s">
        <v>23</v>
      </c>
      <c r="U3" s="34" t="s">
        <v>24</v>
      </c>
      <c r="V3" s="34" t="s">
        <v>12</v>
      </c>
      <c r="W3" s="34" t="s">
        <v>13</v>
      </c>
      <c r="X3" s="34" t="s">
        <v>57</v>
      </c>
      <c r="Y3" s="34" t="s">
        <v>66</v>
      </c>
      <c r="Z3" s="34" t="s">
        <v>70</v>
      </c>
      <c r="AA3" s="22" t="s">
        <v>47</v>
      </c>
      <c r="AB3" s="22"/>
      <c r="AC3" s="22"/>
      <c r="AD3" s="4"/>
      <c r="AE3" s="4"/>
    </row>
    <row r="4" spans="1:37" s="4" customFormat="1" ht="18" x14ac:dyDescent="0.65">
      <c r="A4" s="5"/>
      <c r="B4" s="5"/>
      <c r="C4" s="5" t="s">
        <v>2</v>
      </c>
      <c r="D4" s="5" t="s">
        <v>3</v>
      </c>
      <c r="E4" s="5" t="s">
        <v>0</v>
      </c>
      <c r="F4" s="5" t="s">
        <v>5</v>
      </c>
      <c r="G4" s="5" t="s">
        <v>7</v>
      </c>
      <c r="H4" s="15" t="s">
        <v>9</v>
      </c>
      <c r="I4" s="15" t="s">
        <v>9</v>
      </c>
      <c r="J4" s="17" t="s">
        <v>25</v>
      </c>
      <c r="K4" s="14" t="s">
        <v>54</v>
      </c>
      <c r="L4" s="14" t="s">
        <v>53</v>
      </c>
      <c r="M4" s="14" t="s">
        <v>73</v>
      </c>
      <c r="N4" s="14" t="s">
        <v>76</v>
      </c>
      <c r="O4" s="5" t="s">
        <v>26</v>
      </c>
      <c r="P4" s="5" t="s">
        <v>65</v>
      </c>
      <c r="Q4" s="5" t="s">
        <v>55</v>
      </c>
      <c r="R4" s="5" t="s">
        <v>152</v>
      </c>
      <c r="S4" s="5" t="s">
        <v>28</v>
      </c>
      <c r="T4" s="5" t="s">
        <v>29</v>
      </c>
      <c r="U4" s="5"/>
      <c r="V4" s="5"/>
      <c r="W4" s="5"/>
      <c r="X4" s="5"/>
      <c r="Y4" s="5"/>
      <c r="AA4" s="22" t="s">
        <v>48</v>
      </c>
      <c r="AB4" s="22"/>
      <c r="AC4" s="22"/>
    </row>
    <row r="5" spans="1:37" s="4" customFormat="1" x14ac:dyDescent="0.45">
      <c r="A5" s="5"/>
      <c r="B5" s="5"/>
      <c r="C5" s="5" t="s">
        <v>19</v>
      </c>
      <c r="D5" s="5" t="s">
        <v>19</v>
      </c>
      <c r="E5" s="5" t="s">
        <v>19</v>
      </c>
      <c r="F5" s="5" t="s">
        <v>20</v>
      </c>
      <c r="G5" s="5" t="s">
        <v>21</v>
      </c>
      <c r="H5" s="5" t="s">
        <v>19</v>
      </c>
      <c r="I5" s="5" t="s">
        <v>10</v>
      </c>
      <c r="J5" s="16" t="s">
        <v>19</v>
      </c>
      <c r="K5" s="5" t="s">
        <v>19</v>
      </c>
      <c r="L5" s="5" t="s">
        <v>19</v>
      </c>
      <c r="M5" s="5" t="s">
        <v>10</v>
      </c>
      <c r="N5" s="5" t="s">
        <v>75</v>
      </c>
      <c r="O5" s="5"/>
      <c r="P5" s="5"/>
      <c r="Q5" s="5"/>
      <c r="R5" s="5" t="s">
        <v>10</v>
      </c>
      <c r="S5" s="5" t="s">
        <v>10</v>
      </c>
      <c r="T5" s="5" t="s">
        <v>10</v>
      </c>
      <c r="U5" s="5" t="s">
        <v>19</v>
      </c>
      <c r="V5" s="5" t="s">
        <v>10</v>
      </c>
      <c r="W5" s="5" t="s">
        <v>10</v>
      </c>
      <c r="X5" s="5" t="s">
        <v>10</v>
      </c>
      <c r="Y5" s="5"/>
      <c r="Z5" s="5" t="s">
        <v>10</v>
      </c>
      <c r="AA5" s="22" t="s">
        <v>49</v>
      </c>
      <c r="AB5" s="22"/>
      <c r="AC5" s="22"/>
      <c r="AK5" s="55">
        <v>0</v>
      </c>
    </row>
    <row r="6" spans="1:37" s="2" customFormat="1" x14ac:dyDescent="0.45">
      <c r="A6" s="25">
        <f>'ETo Penman Montheit FAO 56'!A4</f>
        <v>45748</v>
      </c>
      <c r="B6" s="37">
        <v>1</v>
      </c>
      <c r="C6" s="10">
        <v>28.3</v>
      </c>
      <c r="D6" s="10">
        <v>13.6</v>
      </c>
      <c r="E6" s="7">
        <f>C6-D6</f>
        <v>14.700000000000001</v>
      </c>
      <c r="F6" s="54">
        <v>0.1</v>
      </c>
      <c r="G6" s="10">
        <v>0.4</v>
      </c>
      <c r="H6" s="18">
        <f>E6*G6</f>
        <v>5.8800000000000008</v>
      </c>
      <c r="I6" s="18">
        <f>H6/100*F6*1000</f>
        <v>5.8800000000000008</v>
      </c>
      <c r="J6" s="18">
        <f>C6-E6*G6</f>
        <v>22.42</v>
      </c>
      <c r="K6" s="12">
        <v>36</v>
      </c>
      <c r="L6" s="88"/>
      <c r="M6" s="12">
        <f>(C6-L6)/100*F6*1000</f>
        <v>28.300000000000004</v>
      </c>
      <c r="N6" s="12" t="str">
        <f>IF(ISBLANK(L6), "Please use climatic approach", IF(M6 &gt; I6, "Yes", "No"))</f>
        <v>Please use climatic approach</v>
      </c>
      <c r="O6" s="8">
        <f>IF(K6&gt;J6,1,(1-(J6-K6)/(J6-D6)))</f>
        <v>1</v>
      </c>
      <c r="P6" s="85" t="s">
        <v>60</v>
      </c>
      <c r="Q6" s="38">
        <f>'Kc calculation'!D2</f>
        <v>0.5</v>
      </c>
      <c r="R6" s="8">
        <f>'ETo Penman Montheit FAO 56'!AI4</f>
        <v>7.3691946498370893</v>
      </c>
      <c r="S6" s="12">
        <f>Q6*R6</f>
        <v>3.6845973249185446</v>
      </c>
      <c r="T6" s="8">
        <f>S6*O6</f>
        <v>3.6845973249185446</v>
      </c>
      <c r="U6" s="13">
        <f>C6-K6</f>
        <v>-7.6999999999999993</v>
      </c>
      <c r="V6" s="9">
        <f>IF(((U6/100)*F6*1000-(X6+W6))&gt;0,((U6/100)*F6*1000-(X6+W6)),0)</f>
        <v>0</v>
      </c>
      <c r="W6" s="10">
        <v>0</v>
      </c>
      <c r="X6" s="10">
        <v>0</v>
      </c>
      <c r="Y6" s="7" t="str">
        <f>IF(K6&gt;J6,"Do not apply irrigation","Apply irrigation")</f>
        <v>Do not apply irrigation</v>
      </c>
      <c r="Z6" s="7">
        <v>0</v>
      </c>
      <c r="AA6" s="22" t="s">
        <v>50</v>
      </c>
      <c r="AB6"/>
      <c r="AC6"/>
      <c r="AK6" s="55">
        <v>4.2999999999999983E-3</v>
      </c>
    </row>
    <row r="7" spans="1:37" s="2" customFormat="1" x14ac:dyDescent="0.45">
      <c r="A7" s="25">
        <f>'ETo Penman Montheit FAO 56'!A5</f>
        <v>45749</v>
      </c>
      <c r="B7" s="37">
        <v>2</v>
      </c>
      <c r="C7" s="18">
        <f>C6</f>
        <v>28.3</v>
      </c>
      <c r="D7" s="18">
        <f>D6</f>
        <v>13.6</v>
      </c>
      <c r="E7" s="7">
        <f t="shared" ref="E7:E34" si="0">C7-D7</f>
        <v>14.700000000000001</v>
      </c>
      <c r="F7" s="54">
        <f>$F$6+(0.6-$F$6)*(1-2.718^((-0.03*B7)))</f>
        <v>0.12911480381368876</v>
      </c>
      <c r="G7" s="18">
        <f>G6</f>
        <v>0.4</v>
      </c>
      <c r="H7" s="18">
        <f t="shared" ref="H7:H34" si="1">E7*G7</f>
        <v>5.8800000000000008</v>
      </c>
      <c r="I7" s="18">
        <f t="shared" ref="I7:I70" si="2">H7/100*F7*1000</f>
        <v>7.5919504642448992</v>
      </c>
      <c r="J7" s="18">
        <f t="shared" ref="J7:J34" si="3">C7-E7*G7</f>
        <v>22.42</v>
      </c>
      <c r="K7" s="8">
        <f t="shared" ref="K7:K38" si="4">IF((K6-(T6*100/(F7*1000))+((W7+X7)*100)/(F7*1000))&gt;C6,C6,(K6-(T6*100/(F7*1000))+((W7+X7)*100)/(F7*1000)))</f>
        <v>28.3</v>
      </c>
      <c r="L7" s="8">
        <v>30</v>
      </c>
      <c r="M7" s="12">
        <f t="shared" ref="M7:M70" si="5">(C7-L7)/100*F7*1000</f>
        <v>-2.1949516648327081</v>
      </c>
      <c r="N7" s="12" t="str">
        <f t="shared" ref="N7:N70" si="6">IF(ISBLANK(L7), "Please use climatic approach", IF(M7 &gt; I7, "Yes", "No"))</f>
        <v>No</v>
      </c>
      <c r="O7" s="8">
        <f t="shared" ref="O7:O37" si="7">IF(K7&gt;J7,1,(1-(J7-K7)/(J7-D7)))</f>
        <v>1</v>
      </c>
      <c r="P7" s="85"/>
      <c r="Q7" s="38">
        <f>'Kc calculation'!D3</f>
        <v>0.5</v>
      </c>
      <c r="R7" s="8">
        <f>'ETo Penman Montheit FAO 56'!AI5</f>
        <v>7.771302641241066</v>
      </c>
      <c r="S7" s="12">
        <f t="shared" ref="S7:S70" si="8">Q7*R7</f>
        <v>3.885651320620533</v>
      </c>
      <c r="T7" s="8">
        <f>S7*O7</f>
        <v>3.885651320620533</v>
      </c>
      <c r="U7" s="13">
        <f t="shared" ref="U7:U70" si="9">C7-K7</f>
        <v>0</v>
      </c>
      <c r="V7" s="9">
        <f t="shared" ref="V7:V70" si="10">IF(((U7/100)*F7*1000-(X7+W7))&gt;0,((U7/100)*F7*1000-(X7+W7)),0)</f>
        <v>0</v>
      </c>
      <c r="W7" s="10">
        <v>0</v>
      </c>
      <c r="X7" s="10">
        <v>0</v>
      </c>
      <c r="Y7" s="7" t="str">
        <f t="shared" ref="Y7:Y70" si="11">IF(K7&gt;J7,"Do not apply irrigation","Apply irrigation")</f>
        <v>Do not apply irrigation</v>
      </c>
      <c r="Z7" s="8">
        <f>IF((K6-(T6*100/(F7*1000))+(W7+X7)*100/(F7*1000))&gt;C6,(K6-(T6*100/(F7*1000))+(W7+X7)*100/(F7*1000))-C7,0)</f>
        <v>4.8462626932885406</v>
      </c>
      <c r="AA7" s="22" t="s">
        <v>51</v>
      </c>
      <c r="AB7"/>
      <c r="AC7"/>
      <c r="AK7" s="55">
        <v>8.5999999999999965E-3</v>
      </c>
    </row>
    <row r="8" spans="1:37" s="2" customFormat="1" x14ac:dyDescent="0.45">
      <c r="A8" s="25">
        <f>'ETo Penman Montheit FAO 56'!A6</f>
        <v>45750</v>
      </c>
      <c r="B8" s="37">
        <v>3</v>
      </c>
      <c r="C8" s="18">
        <f t="shared" ref="C8:D34" si="12">C7</f>
        <v>28.3</v>
      </c>
      <c r="D8" s="18">
        <f t="shared" si="12"/>
        <v>13.6</v>
      </c>
      <c r="E8" s="7">
        <f t="shared" si="0"/>
        <v>14.700000000000001</v>
      </c>
      <c r="F8" s="54">
        <f t="shared" ref="F8:F71" si="13">$F$6+(0.6-$F$6)*(1-2.718^((-0.03*B8)))</f>
        <v>0.14303014313149695</v>
      </c>
      <c r="G8" s="18">
        <f t="shared" ref="G8:G71" si="14">G7</f>
        <v>0.4</v>
      </c>
      <c r="H8" s="18">
        <f t="shared" si="1"/>
        <v>5.8800000000000008</v>
      </c>
      <c r="I8" s="18">
        <f t="shared" si="2"/>
        <v>8.4101724161320224</v>
      </c>
      <c r="J8" s="18">
        <f t="shared" si="3"/>
        <v>22.42</v>
      </c>
      <c r="K8" s="8">
        <f t="shared" si="4"/>
        <v>25.583333963353304</v>
      </c>
      <c r="L8" s="8">
        <v>12</v>
      </c>
      <c r="M8" s="12">
        <f t="shared" si="5"/>
        <v>23.313913330434005</v>
      </c>
      <c r="N8" s="12" t="str">
        <f t="shared" si="6"/>
        <v>Yes</v>
      </c>
      <c r="O8" s="8">
        <f t="shared" si="7"/>
        <v>1</v>
      </c>
      <c r="P8" s="85"/>
      <c r="Q8" s="38">
        <f>'Kc calculation'!D4</f>
        <v>0.5</v>
      </c>
      <c r="R8" s="8">
        <f>'ETo Penman Montheit FAO 56'!AI6</f>
        <v>6.9191783702394876</v>
      </c>
      <c r="S8" s="12">
        <f t="shared" si="8"/>
        <v>3.4595891851197438</v>
      </c>
      <c r="T8" s="8">
        <f t="shared" ref="T8:T17" si="15">S8*O8</f>
        <v>3.4595891851197438</v>
      </c>
      <c r="U8" s="13">
        <f t="shared" si="9"/>
        <v>2.7166660366466964</v>
      </c>
      <c r="V8" s="9">
        <f t="shared" si="10"/>
        <v>3.8856513206205352</v>
      </c>
      <c r="W8" s="10">
        <v>0</v>
      </c>
      <c r="X8" s="10">
        <v>0</v>
      </c>
      <c r="Y8" s="7" t="str">
        <f t="shared" si="11"/>
        <v>Do not apply irrigation</v>
      </c>
      <c r="Z8" s="8">
        <f t="shared" ref="Z8:Z71" si="16">IF((K7-(T7*100/(F8*1000))+(W8+X8)*100/(F8*1000))&gt;C7,(K7-(T7*100/(F8*1000))+(W8+X8)*100/(F8*1000))-C8,0)</f>
        <v>0</v>
      </c>
      <c r="AA8" s="22" t="s">
        <v>52</v>
      </c>
      <c r="AB8"/>
      <c r="AC8"/>
      <c r="AK8" s="55">
        <v>1.2899999999999995E-2</v>
      </c>
    </row>
    <row r="9" spans="1:37" s="2" customFormat="1" x14ac:dyDescent="0.45">
      <c r="A9" s="25">
        <f>'ETo Penman Montheit FAO 56'!A7</f>
        <v>45751</v>
      </c>
      <c r="B9" s="37">
        <v>4</v>
      </c>
      <c r="C9" s="18">
        <f t="shared" si="12"/>
        <v>28.3</v>
      </c>
      <c r="D9" s="18">
        <f t="shared" si="12"/>
        <v>13.6</v>
      </c>
      <c r="E9" s="7">
        <f t="shared" si="0"/>
        <v>14.700000000000001</v>
      </c>
      <c r="F9" s="54">
        <f t="shared" si="13"/>
        <v>0.15653426402515844</v>
      </c>
      <c r="G9" s="18">
        <f t="shared" si="14"/>
        <v>0.4</v>
      </c>
      <c r="H9" s="18">
        <f t="shared" si="1"/>
        <v>5.8800000000000008</v>
      </c>
      <c r="I9" s="18">
        <f t="shared" si="2"/>
        <v>9.2042147246793178</v>
      </c>
      <c r="J9" s="18">
        <f t="shared" si="3"/>
        <v>22.42</v>
      </c>
      <c r="K9" s="8">
        <f t="shared" si="4"/>
        <v>23.373217726716632</v>
      </c>
      <c r="L9" s="8">
        <v>26</v>
      </c>
      <c r="M9" s="12">
        <f t="shared" si="5"/>
        <v>3.6002880725786448</v>
      </c>
      <c r="N9" s="12" t="str">
        <f t="shared" si="6"/>
        <v>No</v>
      </c>
      <c r="O9" s="8">
        <f t="shared" si="7"/>
        <v>1</v>
      </c>
      <c r="P9" s="85"/>
      <c r="Q9" s="38">
        <f>'Kc calculation'!D5</f>
        <v>0.5</v>
      </c>
      <c r="R9" s="8">
        <f>'ETo Penman Montheit FAO 56'!AI7</f>
        <v>5.8672184638494684</v>
      </c>
      <c r="S9" s="12">
        <f t="shared" si="8"/>
        <v>2.9336092319247342</v>
      </c>
      <c r="T9" s="8">
        <f t="shared" si="15"/>
        <v>2.9336092319247342</v>
      </c>
      <c r="U9" s="13">
        <f t="shared" si="9"/>
        <v>4.9267822732833686</v>
      </c>
      <c r="V9" s="9">
        <f t="shared" si="10"/>
        <v>7.7121023716060906</v>
      </c>
      <c r="W9" s="10">
        <v>0</v>
      </c>
      <c r="X9" s="10">
        <v>0</v>
      </c>
      <c r="Y9" s="7" t="str">
        <f t="shared" si="11"/>
        <v>Do not apply irrigation</v>
      </c>
      <c r="Z9" s="8">
        <f t="shared" si="16"/>
        <v>0</v>
      </c>
      <c r="AA9" s="22" t="s">
        <v>37</v>
      </c>
      <c r="AB9"/>
      <c r="AC9"/>
      <c r="AK9" s="55">
        <v>1.7199999999999993E-2</v>
      </c>
    </row>
    <row r="10" spans="1:37" s="2" customFormat="1" x14ac:dyDescent="0.45">
      <c r="A10" s="25">
        <f>'ETo Penman Montheit FAO 56'!A8</f>
        <v>45752</v>
      </c>
      <c r="B10" s="37">
        <v>5</v>
      </c>
      <c r="C10" s="18">
        <f t="shared" si="12"/>
        <v>28.3</v>
      </c>
      <c r="D10" s="18">
        <f t="shared" si="12"/>
        <v>13.6</v>
      </c>
      <c r="E10" s="7">
        <f t="shared" si="0"/>
        <v>14.700000000000001</v>
      </c>
      <c r="F10" s="54">
        <f t="shared" si="13"/>
        <v>0.1696393185944888</v>
      </c>
      <c r="G10" s="18">
        <f t="shared" si="14"/>
        <v>0.4</v>
      </c>
      <c r="H10" s="18">
        <f t="shared" si="1"/>
        <v>5.8800000000000008</v>
      </c>
      <c r="I10" s="18">
        <f t="shared" si="2"/>
        <v>9.9747919333559434</v>
      </c>
      <c r="J10" s="18">
        <f t="shared" si="3"/>
        <v>22.42</v>
      </c>
      <c r="K10" s="8">
        <f t="shared" si="4"/>
        <v>21.643896213148587</v>
      </c>
      <c r="L10" s="8">
        <v>16</v>
      </c>
      <c r="M10" s="12">
        <f t="shared" si="5"/>
        <v>20.865636187122124</v>
      </c>
      <c r="N10" s="12" t="str">
        <f t="shared" si="6"/>
        <v>Yes</v>
      </c>
      <c r="O10" s="8">
        <f t="shared" si="7"/>
        <v>0.91200637337285539</v>
      </c>
      <c r="P10" s="85"/>
      <c r="Q10" s="38">
        <f>'Kc calculation'!D6</f>
        <v>0.5</v>
      </c>
      <c r="R10" s="8">
        <f>'ETo Penman Montheit FAO 56'!AI8</f>
        <v>5.8672184638494684</v>
      </c>
      <c r="S10" s="12">
        <f t="shared" si="8"/>
        <v>2.9336092319247342</v>
      </c>
      <c r="T10" s="8">
        <f t="shared" si="15"/>
        <v>2.6754703165008045</v>
      </c>
      <c r="U10" s="13">
        <f t="shared" si="9"/>
        <v>6.6561037868514141</v>
      </c>
      <c r="V10" s="9">
        <f t="shared" si="10"/>
        <v>11.291369108956705</v>
      </c>
      <c r="W10" s="10">
        <v>0</v>
      </c>
      <c r="X10" s="10">
        <v>0</v>
      </c>
      <c r="Y10" s="7" t="str">
        <f t="shared" si="11"/>
        <v>Apply irrigation</v>
      </c>
      <c r="Z10" s="8">
        <f t="shared" si="16"/>
        <v>0</v>
      </c>
      <c r="AA10"/>
      <c r="AB10"/>
      <c r="AC10"/>
      <c r="AK10" s="55">
        <v>2.1499999999999991E-2</v>
      </c>
    </row>
    <row r="11" spans="1:37" s="2" customFormat="1" x14ac:dyDescent="0.45">
      <c r="A11" s="25">
        <f>'ETo Penman Montheit FAO 56'!A9</f>
        <v>45753</v>
      </c>
      <c r="B11" s="37">
        <v>6</v>
      </c>
      <c r="C11" s="18">
        <f t="shared" si="12"/>
        <v>28.3</v>
      </c>
      <c r="D11" s="18">
        <f t="shared" si="12"/>
        <v>13.6</v>
      </c>
      <c r="E11" s="7">
        <f t="shared" si="0"/>
        <v>14.700000000000001</v>
      </c>
      <c r="F11" s="54">
        <f t="shared" si="13"/>
        <v>0.18235709982715961</v>
      </c>
      <c r="G11" s="18">
        <f t="shared" si="14"/>
        <v>0.4</v>
      </c>
      <c r="H11" s="18">
        <f t="shared" si="1"/>
        <v>5.8800000000000008</v>
      </c>
      <c r="I11" s="18">
        <f t="shared" si="2"/>
        <v>10.722597469836986</v>
      </c>
      <c r="J11" s="18">
        <f t="shared" si="3"/>
        <v>22.42</v>
      </c>
      <c r="K11" s="8">
        <f t="shared" si="4"/>
        <v>20.176736273098733</v>
      </c>
      <c r="L11" s="8"/>
      <c r="M11" s="12">
        <f t="shared" si="5"/>
        <v>51.607059251086177</v>
      </c>
      <c r="N11" s="12" t="str">
        <f t="shared" si="6"/>
        <v>Please use climatic approach</v>
      </c>
      <c r="O11" s="8">
        <f t="shared" si="7"/>
        <v>0.74566170896811013</v>
      </c>
      <c r="P11" s="85"/>
      <c r="Q11" s="38">
        <f>'Kc calculation'!D7</f>
        <v>0.5</v>
      </c>
      <c r="R11" s="8">
        <f>'ETo Penman Montheit FAO 56'!AI9</f>
        <v>5.8672184638494684</v>
      </c>
      <c r="S11" s="12">
        <f t="shared" si="8"/>
        <v>2.9336092319247342</v>
      </c>
      <c r="T11" s="8">
        <f t="shared" si="15"/>
        <v>2.1874800733216224</v>
      </c>
      <c r="U11" s="13">
        <f t="shared" si="9"/>
        <v>8.1232637269012677</v>
      </c>
      <c r="V11" s="9">
        <f t="shared" si="10"/>
        <v>14.813348143688792</v>
      </c>
      <c r="W11" s="10">
        <v>0</v>
      </c>
      <c r="X11" s="10">
        <v>0</v>
      </c>
      <c r="Y11" s="7" t="str">
        <f t="shared" si="11"/>
        <v>Apply irrigation</v>
      </c>
      <c r="Z11" s="8">
        <f>IF((K10-(T10*100/(F11*1000))+(W11+X11)*100/(F11*1000))&gt;C10,(K10-(T10*100/(F11*1000))+(W11+X11)*100/(F11*1000))-C11,0)</f>
        <v>0</v>
      </c>
      <c r="AA11"/>
      <c r="AB11"/>
      <c r="AC11"/>
      <c r="AK11" s="55">
        <v>2.579999999999999E-2</v>
      </c>
    </row>
    <row r="12" spans="1:37" s="2" customFormat="1" x14ac:dyDescent="0.45">
      <c r="A12" s="25">
        <f>'ETo Penman Montheit FAO 56'!A10</f>
        <v>45754</v>
      </c>
      <c r="B12" s="37">
        <v>7</v>
      </c>
      <c r="C12" s="18">
        <f t="shared" si="12"/>
        <v>28.3</v>
      </c>
      <c r="D12" s="18">
        <f t="shared" si="12"/>
        <v>13.6</v>
      </c>
      <c r="E12" s="7">
        <f t="shared" si="0"/>
        <v>14.700000000000001</v>
      </c>
      <c r="F12" s="54">
        <f t="shared" si="13"/>
        <v>0.19469905221098252</v>
      </c>
      <c r="G12" s="18">
        <f t="shared" si="14"/>
        <v>0.4</v>
      </c>
      <c r="H12" s="18">
        <f t="shared" si="1"/>
        <v>5.8800000000000008</v>
      </c>
      <c r="I12" s="18">
        <f t="shared" si="2"/>
        <v>11.448304270005773</v>
      </c>
      <c r="J12" s="18">
        <f t="shared" si="3"/>
        <v>22.42</v>
      </c>
      <c r="K12" s="8">
        <f t="shared" si="4"/>
        <v>19.053217669140047</v>
      </c>
      <c r="L12" s="8">
        <v>12</v>
      </c>
      <c r="M12" s="12">
        <f t="shared" si="5"/>
        <v>31.735945510390156</v>
      </c>
      <c r="N12" s="12" t="str">
        <f t="shared" si="6"/>
        <v>Yes</v>
      </c>
      <c r="O12" s="8">
        <f t="shared" si="7"/>
        <v>0.61827864729478976</v>
      </c>
      <c r="P12" s="85"/>
      <c r="Q12" s="38">
        <f>'Kc calculation'!D8</f>
        <v>0.5</v>
      </c>
      <c r="R12" s="8">
        <f>'ETo Penman Montheit FAO 56'!AI10</f>
        <v>5.8672184638494684</v>
      </c>
      <c r="S12" s="12">
        <f t="shared" si="8"/>
        <v>2.9336092319247342</v>
      </c>
      <c r="T12" s="8">
        <f t="shared" si="15"/>
        <v>1.8137879476059318</v>
      </c>
      <c r="U12" s="13">
        <f>C12-K12</f>
        <v>9.2467823308599542</v>
      </c>
      <c r="V12" s="9">
        <f t="shared" si="10"/>
        <v>18.003397558196927</v>
      </c>
      <c r="W12" s="10">
        <v>0</v>
      </c>
      <c r="X12" s="10">
        <v>0</v>
      </c>
      <c r="Y12" s="7" t="str">
        <f>IF(K12&gt;J12,"Do not apply irrigation","Apply irrigation")</f>
        <v>Apply irrigation</v>
      </c>
      <c r="Z12" s="8">
        <f t="shared" si="16"/>
        <v>0</v>
      </c>
      <c r="AA12"/>
      <c r="AB12"/>
      <c r="AC12"/>
      <c r="AK12" s="55">
        <v>3.0100000000000016E-2</v>
      </c>
    </row>
    <row r="13" spans="1:37" s="2" customFormat="1" x14ac:dyDescent="0.45">
      <c r="A13" s="25">
        <f>'ETo Penman Montheit FAO 56'!A11</f>
        <v>45755</v>
      </c>
      <c r="B13" s="37">
        <v>8</v>
      </c>
      <c r="C13" s="18">
        <f t="shared" si="12"/>
        <v>28.3</v>
      </c>
      <c r="D13" s="18">
        <f t="shared" si="12"/>
        <v>13.6</v>
      </c>
      <c r="E13" s="7">
        <f t="shared" si="0"/>
        <v>14.700000000000001</v>
      </c>
      <c r="F13" s="54">
        <f t="shared" si="13"/>
        <v>0.20667628203258412</v>
      </c>
      <c r="G13" s="18">
        <f t="shared" si="14"/>
        <v>0.4</v>
      </c>
      <c r="H13" s="18">
        <f t="shared" si="1"/>
        <v>5.8800000000000008</v>
      </c>
      <c r="I13" s="18">
        <f t="shared" si="2"/>
        <v>12.152565383515947</v>
      </c>
      <c r="J13" s="18">
        <f t="shared" si="3"/>
        <v>22.42</v>
      </c>
      <c r="K13" s="8">
        <f t="shared" si="4"/>
        <v>23.014103733029785</v>
      </c>
      <c r="L13" s="8">
        <v>12</v>
      </c>
      <c r="M13" s="12">
        <f t="shared" si="5"/>
        <v>33.688233971311213</v>
      </c>
      <c r="N13" s="12" t="str">
        <f t="shared" si="6"/>
        <v>Yes</v>
      </c>
      <c r="O13" s="8">
        <f t="shared" si="7"/>
        <v>1</v>
      </c>
      <c r="P13" s="85"/>
      <c r="Q13" s="38">
        <f>'Kc calculation'!D9</f>
        <v>0.5</v>
      </c>
      <c r="R13" s="8">
        <f>'ETo Penman Montheit FAO 56'!AI11</f>
        <v>5.8672184638494684</v>
      </c>
      <c r="S13" s="12">
        <f t="shared" si="8"/>
        <v>2.9336092319247342</v>
      </c>
      <c r="T13" s="8">
        <f t="shared" si="15"/>
        <v>2.9336092319247342</v>
      </c>
      <c r="U13" s="13">
        <f t="shared" si="9"/>
        <v>5.2858962669702159</v>
      </c>
      <c r="V13" s="9">
        <f t="shared" si="10"/>
        <v>0.92469387667319936</v>
      </c>
      <c r="W13" s="10">
        <v>0</v>
      </c>
      <c r="X13" s="10">
        <v>10</v>
      </c>
      <c r="Y13" s="7" t="str">
        <f t="shared" si="11"/>
        <v>Do not apply irrigation</v>
      </c>
      <c r="Z13" s="8">
        <f t="shared" si="16"/>
        <v>0</v>
      </c>
      <c r="AA13"/>
      <c r="AB13"/>
      <c r="AC13"/>
      <c r="AK13" s="55">
        <v>3.4399999999999986E-2</v>
      </c>
    </row>
    <row r="14" spans="1:37" s="2" customFormat="1" x14ac:dyDescent="0.45">
      <c r="A14" s="25">
        <f>'ETo Penman Montheit FAO 56'!A12</f>
        <v>45756</v>
      </c>
      <c r="B14" s="37">
        <v>9</v>
      </c>
      <c r="C14" s="18">
        <f t="shared" si="12"/>
        <v>28.3</v>
      </c>
      <c r="D14" s="18">
        <f t="shared" si="12"/>
        <v>13.6</v>
      </c>
      <c r="E14" s="7">
        <f t="shared" si="0"/>
        <v>14.700000000000001</v>
      </c>
      <c r="F14" s="54">
        <f t="shared" si="13"/>
        <v>0.2182995673717413</v>
      </c>
      <c r="G14" s="18">
        <f t="shared" si="14"/>
        <v>0.4</v>
      </c>
      <c r="H14" s="18">
        <f t="shared" si="1"/>
        <v>5.8800000000000008</v>
      </c>
      <c r="I14" s="18">
        <f t="shared" si="2"/>
        <v>12.83601456145839</v>
      </c>
      <c r="J14" s="18">
        <f t="shared" si="3"/>
        <v>22.42</v>
      </c>
      <c r="K14" s="8">
        <f t="shared" si="4"/>
        <v>21.670258086771994</v>
      </c>
      <c r="L14" s="8">
        <v>27</v>
      </c>
      <c r="M14" s="12">
        <f t="shared" si="5"/>
        <v>2.8378943758326387</v>
      </c>
      <c r="N14" s="12" t="str">
        <f t="shared" si="6"/>
        <v>No</v>
      </c>
      <c r="O14" s="8">
        <f t="shared" si="7"/>
        <v>0.91499524793333253</v>
      </c>
      <c r="P14" s="85"/>
      <c r="Q14" s="38">
        <f>'Kc calculation'!D10</f>
        <v>0.5</v>
      </c>
      <c r="R14" s="8">
        <f>'ETo Penman Montheit FAO 56'!AI12</f>
        <v>5.8672184638494684</v>
      </c>
      <c r="S14" s="12">
        <f t="shared" si="8"/>
        <v>2.9336092319247342</v>
      </c>
      <c r="T14" s="8">
        <f t="shared" si="15"/>
        <v>2.6842385065044856</v>
      </c>
      <c r="U14" s="13">
        <f t="shared" si="9"/>
        <v>6.6297419132280062</v>
      </c>
      <c r="V14" s="9">
        <f t="shared" si="10"/>
        <v>14.472697914439742</v>
      </c>
      <c r="W14" s="10">
        <v>0</v>
      </c>
      <c r="X14" s="10"/>
      <c r="Y14" s="7" t="str">
        <f t="shared" si="11"/>
        <v>Apply irrigation</v>
      </c>
      <c r="Z14" s="8">
        <f t="shared" si="16"/>
        <v>0</v>
      </c>
      <c r="AA14"/>
      <c r="AB14"/>
      <c r="AC14"/>
      <c r="AK14" s="55">
        <v>3.8700000000000012E-2</v>
      </c>
    </row>
    <row r="15" spans="1:37" s="2" customFormat="1" x14ac:dyDescent="0.45">
      <c r="A15" s="25">
        <f>'ETo Penman Montheit FAO 56'!A13</f>
        <v>45757</v>
      </c>
      <c r="B15" s="37">
        <v>10</v>
      </c>
      <c r="C15" s="18">
        <f t="shared" si="12"/>
        <v>28.3</v>
      </c>
      <c r="D15" s="18">
        <f t="shared" si="12"/>
        <v>13.6</v>
      </c>
      <c r="E15" s="7">
        <f t="shared" si="0"/>
        <v>14.700000000000001</v>
      </c>
      <c r="F15" s="54">
        <f t="shared" si="13"/>
        <v>0.22957936780036811</v>
      </c>
      <c r="G15" s="18">
        <f t="shared" si="14"/>
        <v>0.4</v>
      </c>
      <c r="H15" s="18">
        <f t="shared" si="1"/>
        <v>5.8800000000000008</v>
      </c>
      <c r="I15" s="18">
        <f t="shared" si="2"/>
        <v>13.499266826661646</v>
      </c>
      <c r="J15" s="18">
        <f t="shared" si="3"/>
        <v>22.42</v>
      </c>
      <c r="K15" s="8">
        <f t="shared" si="4"/>
        <v>20.501059594667694</v>
      </c>
      <c r="L15" s="8">
        <v>25</v>
      </c>
      <c r="M15" s="12">
        <f t="shared" si="5"/>
        <v>7.5761191374121495</v>
      </c>
      <c r="N15" s="12" t="str">
        <f t="shared" si="6"/>
        <v>No</v>
      </c>
      <c r="O15" s="8">
        <f t="shared" si="7"/>
        <v>0.78243306061991991</v>
      </c>
      <c r="P15" s="85"/>
      <c r="Q15" s="38">
        <f>'Kc calculation'!D11</f>
        <v>0.5</v>
      </c>
      <c r="R15" s="8">
        <f>'ETo Penman Montheit FAO 56'!AI13</f>
        <v>5.8672184638494684</v>
      </c>
      <c r="S15" s="12">
        <f t="shared" si="8"/>
        <v>2.9336092319247342</v>
      </c>
      <c r="T15" s="8">
        <f t="shared" si="15"/>
        <v>2.2953528499977223</v>
      </c>
      <c r="U15" s="13">
        <f t="shared" si="9"/>
        <v>7.7989404053323064</v>
      </c>
      <c r="V15" s="9">
        <f t="shared" si="10"/>
        <v>17.904758077689376</v>
      </c>
      <c r="W15" s="10">
        <v>0</v>
      </c>
      <c r="X15" s="10"/>
      <c r="Y15" s="7" t="str">
        <f t="shared" si="11"/>
        <v>Apply irrigation</v>
      </c>
      <c r="Z15" s="8">
        <f t="shared" si="16"/>
        <v>0</v>
      </c>
      <c r="AA15"/>
      <c r="AB15"/>
      <c r="AC15"/>
      <c r="AK15" s="55">
        <v>4.300000000000001E-2</v>
      </c>
    </row>
    <row r="16" spans="1:37" s="2" customFormat="1" x14ac:dyDescent="0.45">
      <c r="A16" s="25">
        <f>'ETo Penman Montheit FAO 56'!A14</f>
        <v>45758</v>
      </c>
      <c r="B16" s="37">
        <v>11</v>
      </c>
      <c r="C16" s="18">
        <f t="shared" si="12"/>
        <v>28.3</v>
      </c>
      <c r="D16" s="18">
        <f t="shared" si="12"/>
        <v>13.6</v>
      </c>
      <c r="E16" s="7">
        <f t="shared" si="0"/>
        <v>14.700000000000001</v>
      </c>
      <c r="F16" s="54">
        <f t="shared" si="13"/>
        <v>0.24052583379488499</v>
      </c>
      <c r="G16" s="18">
        <f t="shared" si="14"/>
        <v>0.4</v>
      </c>
      <c r="H16" s="18">
        <f t="shared" si="1"/>
        <v>5.8800000000000008</v>
      </c>
      <c r="I16" s="18">
        <f t="shared" si="2"/>
        <v>14.142919027139239</v>
      </c>
      <c r="J16" s="18">
        <f t="shared" si="3"/>
        <v>22.42</v>
      </c>
      <c r="K16" s="8">
        <f t="shared" si="4"/>
        <v>19.546753433960173</v>
      </c>
      <c r="L16" s="8">
        <v>23</v>
      </c>
      <c r="M16" s="12">
        <f t="shared" si="5"/>
        <v>12.747869191128906</v>
      </c>
      <c r="N16" s="12" t="str">
        <f t="shared" si="6"/>
        <v>No</v>
      </c>
      <c r="O16" s="8">
        <f t="shared" si="7"/>
        <v>0.67423508321543912</v>
      </c>
      <c r="P16" s="85"/>
      <c r="Q16" s="38">
        <f>'Kc calculation'!D12</f>
        <v>0.5</v>
      </c>
      <c r="R16" s="8">
        <f>'ETo Penman Montheit FAO 56'!AI14</f>
        <v>5.8672184638494684</v>
      </c>
      <c r="S16" s="12">
        <f t="shared" si="8"/>
        <v>2.9336092319247342</v>
      </c>
      <c r="T16" s="8">
        <f t="shared" si="15"/>
        <v>1.9779422646083535</v>
      </c>
      <c r="U16" s="13">
        <f t="shared" si="9"/>
        <v>8.7532465660398273</v>
      </c>
      <c r="V16" s="9">
        <f t="shared" si="10"/>
        <v>21.053819287089429</v>
      </c>
      <c r="W16" s="10">
        <v>0</v>
      </c>
      <c r="X16" s="10"/>
      <c r="Y16" s="7" t="str">
        <f t="shared" si="11"/>
        <v>Apply irrigation</v>
      </c>
      <c r="Z16" s="8">
        <f t="shared" si="16"/>
        <v>0</v>
      </c>
      <c r="AA16"/>
      <c r="AB16"/>
      <c r="AC16"/>
      <c r="AK16" s="55">
        <v>4.7300000000000009E-2</v>
      </c>
    </row>
    <row r="17" spans="1:37" s="2" customFormat="1" x14ac:dyDescent="0.45">
      <c r="A17" s="25">
        <f>'ETo Penman Montheit FAO 56'!A15</f>
        <v>45759</v>
      </c>
      <c r="B17" s="37">
        <v>12</v>
      </c>
      <c r="C17" s="18">
        <f t="shared" si="12"/>
        <v>28.3</v>
      </c>
      <c r="D17" s="18">
        <f t="shared" si="12"/>
        <v>13.6</v>
      </c>
      <c r="E17" s="7">
        <f t="shared" si="0"/>
        <v>14.700000000000001</v>
      </c>
      <c r="F17" s="54">
        <f t="shared" si="13"/>
        <v>0.2511488158704378</v>
      </c>
      <c r="G17" s="18">
        <f t="shared" si="14"/>
        <v>0.4</v>
      </c>
      <c r="H17" s="18">
        <f t="shared" si="1"/>
        <v>5.8800000000000008</v>
      </c>
      <c r="I17" s="18">
        <f t="shared" si="2"/>
        <v>14.767550373181743</v>
      </c>
      <c r="J17" s="18">
        <f t="shared" si="3"/>
        <v>22.42</v>
      </c>
      <c r="K17" s="8">
        <f t="shared" si="4"/>
        <v>24.333579799724749</v>
      </c>
      <c r="L17" s="8">
        <v>25</v>
      </c>
      <c r="M17" s="12">
        <f t="shared" si="5"/>
        <v>8.2879109237244499</v>
      </c>
      <c r="N17" s="12" t="str">
        <f t="shared" si="6"/>
        <v>No</v>
      </c>
      <c r="O17" s="8">
        <f t="shared" si="7"/>
        <v>1</v>
      </c>
      <c r="P17" s="85"/>
      <c r="Q17" s="38">
        <f>'Kc calculation'!D13</f>
        <v>0.5</v>
      </c>
      <c r="R17" s="8">
        <f>'ETo Penman Montheit FAO 56'!AI15</f>
        <v>5.8672184638494684</v>
      </c>
      <c r="S17" s="12">
        <f t="shared" si="8"/>
        <v>2.9336092319247342</v>
      </c>
      <c r="T17" s="8">
        <f t="shared" si="15"/>
        <v>2.9336092319247342</v>
      </c>
      <c r="U17" s="13">
        <f t="shared" si="9"/>
        <v>3.9664202002752518</v>
      </c>
      <c r="V17" s="9">
        <f t="shared" si="10"/>
        <v>0</v>
      </c>
      <c r="W17" s="10">
        <v>14</v>
      </c>
      <c r="X17" s="10"/>
      <c r="Y17" s="7" t="str">
        <f t="shared" si="11"/>
        <v>Do not apply irrigation</v>
      </c>
      <c r="Z17" s="8">
        <f t="shared" si="16"/>
        <v>0</v>
      </c>
      <c r="AA17"/>
      <c r="AB17"/>
      <c r="AC17"/>
      <c r="AK17" s="55">
        <v>5.1599999999999979E-2</v>
      </c>
    </row>
    <row r="18" spans="1:37" s="2" customFormat="1" x14ac:dyDescent="0.45">
      <c r="A18" s="25">
        <f>'ETo Penman Montheit FAO 56'!A16</f>
        <v>45760</v>
      </c>
      <c r="B18" s="37">
        <v>13</v>
      </c>
      <c r="C18" s="18">
        <f t="shared" si="12"/>
        <v>28.3</v>
      </c>
      <c r="D18" s="18">
        <f t="shared" si="12"/>
        <v>13.6</v>
      </c>
      <c r="E18" s="7">
        <f t="shared" si="0"/>
        <v>14.700000000000001</v>
      </c>
      <c r="F18" s="54">
        <f t="shared" si="13"/>
        <v>0.26145787344518756</v>
      </c>
      <c r="G18" s="18">
        <f t="shared" si="14"/>
        <v>0.4</v>
      </c>
      <c r="H18" s="18">
        <f t="shared" si="1"/>
        <v>5.8800000000000008</v>
      </c>
      <c r="I18" s="18">
        <f t="shared" si="2"/>
        <v>15.37372295857703</v>
      </c>
      <c r="J18" s="18">
        <f t="shared" si="3"/>
        <v>22.42</v>
      </c>
      <c r="K18" s="8">
        <f t="shared" si="4"/>
        <v>23.211559952600222</v>
      </c>
      <c r="L18" s="8">
        <v>23</v>
      </c>
      <c r="M18" s="12">
        <f t="shared" si="5"/>
        <v>13.857267292594942</v>
      </c>
      <c r="N18" s="12" t="str">
        <f t="shared" si="6"/>
        <v>No</v>
      </c>
      <c r="O18" s="8">
        <f t="shared" si="7"/>
        <v>1</v>
      </c>
      <c r="P18" s="85"/>
      <c r="Q18" s="38">
        <f>'Kc calculation'!D14</f>
        <v>0.5</v>
      </c>
      <c r="R18" s="8">
        <f>'ETo Penman Montheit FAO 56'!AI16</f>
        <v>5.8672184638494684</v>
      </c>
      <c r="S18" s="12">
        <f t="shared" si="8"/>
        <v>2.9336092319247342</v>
      </c>
      <c r="T18" s="8">
        <f t="shared" ref="T18:T91" si="17">S18*O18</f>
        <v>2.9336092319247342</v>
      </c>
      <c r="U18" s="13">
        <f t="shared" si="9"/>
        <v>5.0884400473997786</v>
      </c>
      <c r="V18" s="9">
        <f t="shared" si="10"/>
        <v>13.304127139464756</v>
      </c>
      <c r="W18" s="10">
        <v>0</v>
      </c>
      <c r="X18" s="10"/>
      <c r="Y18" s="7" t="str">
        <f t="shared" si="11"/>
        <v>Do not apply irrigation</v>
      </c>
      <c r="Z18" s="8">
        <f t="shared" si="16"/>
        <v>0</v>
      </c>
      <c r="AA18"/>
      <c r="AB18"/>
      <c r="AC18"/>
      <c r="AK18" s="55">
        <v>5.5900000000000005E-2</v>
      </c>
    </row>
    <row r="19" spans="1:37" s="2" customFormat="1" x14ac:dyDescent="0.45">
      <c r="A19" s="25">
        <f>'ETo Penman Montheit FAO 56'!A17</f>
        <v>45761</v>
      </c>
      <c r="B19" s="37">
        <v>14</v>
      </c>
      <c r="C19" s="18">
        <f t="shared" si="12"/>
        <v>28.3</v>
      </c>
      <c r="D19" s="18">
        <f t="shared" si="12"/>
        <v>13.6</v>
      </c>
      <c r="E19" s="7">
        <f t="shared" si="0"/>
        <v>14.700000000000001</v>
      </c>
      <c r="F19" s="54">
        <f t="shared" si="13"/>
        <v>0.27146228344264822</v>
      </c>
      <c r="G19" s="18">
        <f t="shared" si="14"/>
        <v>0.4</v>
      </c>
      <c r="H19" s="18">
        <f t="shared" si="1"/>
        <v>5.8800000000000008</v>
      </c>
      <c r="I19" s="18">
        <f t="shared" si="2"/>
        <v>15.961982266427716</v>
      </c>
      <c r="J19" s="18">
        <f t="shared" si="3"/>
        <v>22.42</v>
      </c>
      <c r="K19" s="8">
        <f t="shared" si="4"/>
        <v>22.130890772808062</v>
      </c>
      <c r="L19" s="8">
        <v>23</v>
      </c>
      <c r="M19" s="12">
        <f t="shared" si="5"/>
        <v>14.387501022460357</v>
      </c>
      <c r="N19" s="12" t="str">
        <f t="shared" si="6"/>
        <v>No</v>
      </c>
      <c r="O19" s="8">
        <f t="shared" si="7"/>
        <v>0.96722117605533564</v>
      </c>
      <c r="P19" s="85"/>
      <c r="Q19" s="38">
        <f>'Kc calculation'!D15</f>
        <v>0.5</v>
      </c>
      <c r="R19" s="8">
        <f>'ETo Penman Montheit FAO 56'!AI17</f>
        <v>5.8672184638494684</v>
      </c>
      <c r="S19" s="12">
        <f t="shared" si="8"/>
        <v>2.9336092319247342</v>
      </c>
      <c r="T19" s="8">
        <f t="shared" si="17"/>
        <v>2.8374489713890312</v>
      </c>
      <c r="U19" s="13">
        <f t="shared" si="9"/>
        <v>6.1691092271919388</v>
      </c>
      <c r="V19" s="9">
        <f t="shared" si="10"/>
        <v>16.746804776206346</v>
      </c>
      <c r="W19" s="10">
        <v>0</v>
      </c>
      <c r="X19" s="10"/>
      <c r="Y19" s="7" t="str">
        <f t="shared" si="11"/>
        <v>Apply irrigation</v>
      </c>
      <c r="Z19" s="8">
        <f t="shared" si="16"/>
        <v>0</v>
      </c>
      <c r="AA19"/>
      <c r="AB19"/>
      <c r="AC19"/>
      <c r="AK19" s="55">
        <v>6.0199999999999976E-2</v>
      </c>
    </row>
    <row r="20" spans="1:37" s="2" customFormat="1" x14ac:dyDescent="0.45">
      <c r="A20" s="25">
        <f>'ETo Penman Montheit FAO 56'!A18</f>
        <v>45762</v>
      </c>
      <c r="B20" s="37">
        <v>15</v>
      </c>
      <c r="C20" s="18">
        <f t="shared" si="12"/>
        <v>28.3</v>
      </c>
      <c r="D20" s="18">
        <f t="shared" si="12"/>
        <v>13.6</v>
      </c>
      <c r="E20" s="7">
        <f t="shared" si="0"/>
        <v>14.700000000000001</v>
      </c>
      <c r="F20" s="54">
        <f t="shared" si="13"/>
        <v>0.28117104863981224</v>
      </c>
      <c r="G20" s="18">
        <f t="shared" si="14"/>
        <v>0.4</v>
      </c>
      <c r="H20" s="18">
        <f t="shared" si="1"/>
        <v>5.8800000000000008</v>
      </c>
      <c r="I20" s="18">
        <f t="shared" si="2"/>
        <v>16.532857660020959</v>
      </c>
      <c r="J20" s="18">
        <f t="shared" si="3"/>
        <v>22.42</v>
      </c>
      <c r="K20" s="8">
        <f t="shared" si="4"/>
        <v>21.121736741795473</v>
      </c>
      <c r="L20" s="8">
        <v>25</v>
      </c>
      <c r="M20" s="12">
        <f t="shared" si="5"/>
        <v>9.2786446051138061</v>
      </c>
      <c r="N20" s="12" t="str">
        <f t="shared" si="6"/>
        <v>No</v>
      </c>
      <c r="O20" s="8">
        <f t="shared" si="7"/>
        <v>0.85280461925118733</v>
      </c>
      <c r="P20" s="85"/>
      <c r="Q20" s="38">
        <f>'Kc calculation'!D16</f>
        <v>0.5</v>
      </c>
      <c r="R20" s="8">
        <f>'ETo Penman Montheit FAO 56'!AI18</f>
        <v>5.8672184638494684</v>
      </c>
      <c r="S20" s="12">
        <f t="shared" si="8"/>
        <v>2.9336092319247342</v>
      </c>
      <c r="T20" s="8">
        <f t="shared" si="17"/>
        <v>2.5017955040633413</v>
      </c>
      <c r="U20" s="13">
        <f t="shared" si="9"/>
        <v>7.1782632582045274</v>
      </c>
      <c r="V20" s="9">
        <f t="shared" si="10"/>
        <v>20.18319807722002</v>
      </c>
      <c r="W20" s="10">
        <v>0</v>
      </c>
      <c r="X20" s="10"/>
      <c r="Y20" s="7" t="str">
        <f t="shared" si="11"/>
        <v>Apply irrigation</v>
      </c>
      <c r="Z20" s="8">
        <f t="shared" si="16"/>
        <v>0</v>
      </c>
      <c r="AA20"/>
      <c r="AB20"/>
      <c r="AC20"/>
      <c r="AK20" s="55">
        <v>6.4500000000000002E-2</v>
      </c>
    </row>
    <row r="21" spans="1:37" s="2" customFormat="1" x14ac:dyDescent="0.45">
      <c r="A21" s="25">
        <f>'ETo Penman Montheit FAO 56'!A19</f>
        <v>45763</v>
      </c>
      <c r="B21" s="37">
        <v>16</v>
      </c>
      <c r="C21" s="18">
        <f t="shared" si="12"/>
        <v>28.3</v>
      </c>
      <c r="D21" s="18">
        <f t="shared" si="12"/>
        <v>13.6</v>
      </c>
      <c r="E21" s="7">
        <f t="shared" si="0"/>
        <v>14.700000000000001</v>
      </c>
      <c r="F21" s="54">
        <f t="shared" si="13"/>
        <v>0.29059290576857744</v>
      </c>
      <c r="G21" s="18">
        <f t="shared" si="14"/>
        <v>0.4</v>
      </c>
      <c r="H21" s="18">
        <f t="shared" si="1"/>
        <v>5.8800000000000008</v>
      </c>
      <c r="I21" s="18">
        <f t="shared" si="2"/>
        <v>17.086862859192355</v>
      </c>
      <c r="J21" s="18">
        <f t="shared" si="3"/>
        <v>22.42</v>
      </c>
      <c r="K21" s="8">
        <f t="shared" si="4"/>
        <v>27.143289280958935</v>
      </c>
      <c r="L21" s="8">
        <v>23</v>
      </c>
      <c r="M21" s="12">
        <f t="shared" si="5"/>
        <v>15.401424005734606</v>
      </c>
      <c r="N21" s="12" t="str">
        <f t="shared" si="6"/>
        <v>No</v>
      </c>
      <c r="O21" s="8">
        <f t="shared" si="7"/>
        <v>1</v>
      </c>
      <c r="P21" s="85"/>
      <c r="Q21" s="38">
        <f>'Kc calculation'!D17</f>
        <v>0.5</v>
      </c>
      <c r="R21" s="8">
        <f>'ETo Penman Montheit FAO 56'!AI19</f>
        <v>5.8672184638494684</v>
      </c>
      <c r="S21" s="12">
        <f t="shared" si="8"/>
        <v>2.9336092319247342</v>
      </c>
      <c r="T21" s="8">
        <f t="shared" si="17"/>
        <v>2.9336092319247342</v>
      </c>
      <c r="U21" s="13">
        <f t="shared" si="9"/>
        <v>1.1567107190410653</v>
      </c>
      <c r="V21" s="9">
        <f t="shared" si="10"/>
        <v>0</v>
      </c>
      <c r="W21" s="10">
        <v>20</v>
      </c>
      <c r="X21" s="10"/>
      <c r="Y21" s="7" t="str">
        <f t="shared" si="11"/>
        <v>Do not apply irrigation</v>
      </c>
      <c r="Z21" s="8">
        <f t="shared" si="16"/>
        <v>0</v>
      </c>
      <c r="AK21" s="55">
        <v>6.8800000000000028E-2</v>
      </c>
    </row>
    <row r="22" spans="1:37" s="2" customFormat="1" x14ac:dyDescent="0.45">
      <c r="A22" s="25">
        <f>'ETo Penman Montheit FAO 56'!A20</f>
        <v>45764</v>
      </c>
      <c r="B22" s="37">
        <v>17</v>
      </c>
      <c r="C22" s="18">
        <f t="shared" si="12"/>
        <v>28.3</v>
      </c>
      <c r="D22" s="18">
        <f t="shared" si="12"/>
        <v>13.6</v>
      </c>
      <c r="E22" s="7">
        <f t="shared" si="0"/>
        <v>14.700000000000001</v>
      </c>
      <c r="F22" s="54">
        <f t="shared" si="13"/>
        <v>0.29973633337776429</v>
      </c>
      <c r="G22" s="18">
        <f t="shared" si="14"/>
        <v>0.4</v>
      </c>
      <c r="H22" s="18">
        <f t="shared" si="1"/>
        <v>5.8800000000000008</v>
      </c>
      <c r="I22" s="18">
        <f t="shared" si="2"/>
        <v>17.624496402612539</v>
      </c>
      <c r="J22" s="18">
        <f t="shared" si="3"/>
        <v>22.42</v>
      </c>
      <c r="K22" s="8">
        <f t="shared" si="4"/>
        <v>26.164559342260631</v>
      </c>
      <c r="L22" s="8">
        <v>13</v>
      </c>
      <c r="M22" s="12">
        <f t="shared" si="5"/>
        <v>45.859659006797934</v>
      </c>
      <c r="N22" s="12" t="str">
        <f t="shared" si="6"/>
        <v>Yes</v>
      </c>
      <c r="O22" s="8">
        <f t="shared" si="7"/>
        <v>1</v>
      </c>
      <c r="P22" s="85"/>
      <c r="Q22" s="38">
        <f>'Kc calculation'!D18</f>
        <v>0.5</v>
      </c>
      <c r="R22" s="8">
        <f>'ETo Penman Montheit FAO 56'!AI20</f>
        <v>5.8672184638494684</v>
      </c>
      <c r="S22" s="12">
        <f t="shared" si="8"/>
        <v>2.9336092319247342</v>
      </c>
      <c r="T22" s="8">
        <f t="shared" si="17"/>
        <v>2.9336092319247342</v>
      </c>
      <c r="U22" s="13">
        <f t="shared" si="9"/>
        <v>2.1354406577393696</v>
      </c>
      <c r="V22" s="9">
        <f t="shared" si="10"/>
        <v>6.4006915289659982</v>
      </c>
      <c r="W22" s="10"/>
      <c r="X22" s="10"/>
      <c r="Y22" s="7" t="str">
        <f t="shared" si="11"/>
        <v>Do not apply irrigation</v>
      </c>
      <c r="Z22" s="8">
        <f t="shared" si="16"/>
        <v>0</v>
      </c>
      <c r="AK22" s="55">
        <v>7.3099999999999998E-2</v>
      </c>
    </row>
    <row r="23" spans="1:37" s="2" customFormat="1" x14ac:dyDescent="0.45">
      <c r="A23" s="25">
        <f>'ETo Penman Montheit FAO 56'!A21</f>
        <v>45765</v>
      </c>
      <c r="B23" s="37">
        <v>18</v>
      </c>
      <c r="C23" s="18">
        <f t="shared" si="12"/>
        <v>28.3</v>
      </c>
      <c r="D23" s="18">
        <f t="shared" si="12"/>
        <v>13.6</v>
      </c>
      <c r="E23" s="7">
        <f t="shared" si="0"/>
        <v>14.700000000000001</v>
      </c>
      <c r="F23" s="54">
        <f t="shared" si="13"/>
        <v>0.30860955946280022</v>
      </c>
      <c r="G23" s="18">
        <f t="shared" si="14"/>
        <v>0.4</v>
      </c>
      <c r="H23" s="18">
        <f t="shared" si="1"/>
        <v>5.8800000000000008</v>
      </c>
      <c r="I23" s="18">
        <f t="shared" si="2"/>
        <v>18.146242096412657</v>
      </c>
      <c r="J23" s="18">
        <f t="shared" si="3"/>
        <v>22.42</v>
      </c>
      <c r="K23" s="8">
        <f t="shared" si="4"/>
        <v>25.213970113258362</v>
      </c>
      <c r="L23" s="8">
        <v>25</v>
      </c>
      <c r="M23" s="12">
        <f t="shared" si="5"/>
        <v>10.184115462272411</v>
      </c>
      <c r="N23" s="12" t="str">
        <f t="shared" si="6"/>
        <v>No</v>
      </c>
      <c r="O23" s="8">
        <f t="shared" si="7"/>
        <v>1</v>
      </c>
      <c r="P23" s="85"/>
      <c r="Q23" s="38">
        <f>'Kc calculation'!D19</f>
        <v>0.5</v>
      </c>
      <c r="R23" s="8">
        <f>'ETo Penman Montheit FAO 56'!AI21</f>
        <v>5.8672184638494684</v>
      </c>
      <c r="S23" s="12">
        <f t="shared" si="8"/>
        <v>2.9336092319247342</v>
      </c>
      <c r="T23" s="8">
        <f t="shared" si="17"/>
        <v>2.9336092319247342</v>
      </c>
      <c r="U23" s="13">
        <f t="shared" si="9"/>
        <v>3.0860298867416383</v>
      </c>
      <c r="V23" s="9">
        <f t="shared" si="10"/>
        <v>9.5237832383637215</v>
      </c>
      <c r="W23" s="10"/>
      <c r="X23" s="10"/>
      <c r="Y23" s="7" t="str">
        <f t="shared" si="11"/>
        <v>Do not apply irrigation</v>
      </c>
      <c r="Z23" s="8">
        <f t="shared" si="16"/>
        <v>0</v>
      </c>
      <c r="AK23" s="55">
        <v>7.7399999999999969E-2</v>
      </c>
    </row>
    <row r="24" spans="1:37" s="2" customFormat="1" x14ac:dyDescent="0.45">
      <c r="A24" s="25">
        <f>'ETo Penman Montheit FAO 56'!A22</f>
        <v>45766</v>
      </c>
      <c r="B24" s="37">
        <v>19</v>
      </c>
      <c r="C24" s="18">
        <f t="shared" si="12"/>
        <v>28.3</v>
      </c>
      <c r="D24" s="18">
        <f t="shared" si="12"/>
        <v>13.6</v>
      </c>
      <c r="E24" s="7">
        <f t="shared" si="0"/>
        <v>14.700000000000001</v>
      </c>
      <c r="F24" s="54">
        <f t="shared" si="13"/>
        <v>0.31722056886993477</v>
      </c>
      <c r="G24" s="18">
        <f t="shared" si="14"/>
        <v>0.4</v>
      </c>
      <c r="H24" s="18">
        <f t="shared" si="1"/>
        <v>5.8800000000000008</v>
      </c>
      <c r="I24" s="18">
        <f t="shared" si="2"/>
        <v>18.652569449552168</v>
      </c>
      <c r="J24" s="18">
        <f t="shared" si="3"/>
        <v>22.42</v>
      </c>
      <c r="K24" s="8">
        <f t="shared" si="4"/>
        <v>24.289184799879912</v>
      </c>
      <c r="L24" s="8">
        <v>20</v>
      </c>
      <c r="M24" s="12">
        <f t="shared" si="5"/>
        <v>26.32930721620459</v>
      </c>
      <c r="N24" s="12" t="str">
        <f t="shared" si="6"/>
        <v>Yes</v>
      </c>
      <c r="O24" s="8">
        <f t="shared" si="7"/>
        <v>1</v>
      </c>
      <c r="P24" s="85"/>
      <c r="Q24" s="38">
        <f>'Kc calculation'!D20</f>
        <v>0.5</v>
      </c>
      <c r="R24" s="8">
        <f>'ETo Penman Montheit FAO 56'!AI22</f>
        <v>5.8672184638494684</v>
      </c>
      <c r="S24" s="12">
        <f t="shared" si="8"/>
        <v>2.9336092319247342</v>
      </c>
      <c r="T24" s="8">
        <f t="shared" si="17"/>
        <v>2.9336092319247342</v>
      </c>
      <c r="U24" s="13">
        <f t="shared" si="9"/>
        <v>4.0108152001200885</v>
      </c>
      <c r="V24" s="9">
        <f t="shared" si="10"/>
        <v>12.723130794142758</v>
      </c>
      <c r="W24" s="10"/>
      <c r="X24" s="10"/>
      <c r="Y24" s="7" t="str">
        <f t="shared" si="11"/>
        <v>Do not apply irrigation</v>
      </c>
      <c r="Z24" s="8">
        <f t="shared" si="16"/>
        <v>0</v>
      </c>
      <c r="AK24" s="55">
        <v>8.1699999999999995E-2</v>
      </c>
    </row>
    <row r="25" spans="1:37" s="2" customFormat="1" x14ac:dyDescent="0.45">
      <c r="A25" s="25">
        <f>'ETo Penman Montheit FAO 56'!A23</f>
        <v>45767</v>
      </c>
      <c r="B25" s="37">
        <v>20</v>
      </c>
      <c r="C25" s="18">
        <f t="shared" si="12"/>
        <v>28.3</v>
      </c>
      <c r="D25" s="18">
        <f t="shared" si="12"/>
        <v>13.6</v>
      </c>
      <c r="E25" s="7">
        <f t="shared" si="0"/>
        <v>14.700000000000001</v>
      </c>
      <c r="F25" s="54">
        <f t="shared" si="13"/>
        <v>0.32557711048165006</v>
      </c>
      <c r="G25" s="18">
        <f t="shared" si="14"/>
        <v>0.4</v>
      </c>
      <c r="H25" s="18">
        <f t="shared" si="1"/>
        <v>5.8800000000000008</v>
      </c>
      <c r="I25" s="18">
        <f t="shared" si="2"/>
        <v>19.143934096321026</v>
      </c>
      <c r="J25" s="18">
        <f t="shared" si="3"/>
        <v>22.42</v>
      </c>
      <c r="K25" s="8">
        <f t="shared" si="4"/>
        <v>23.388135820243466</v>
      </c>
      <c r="L25" s="8">
        <v>14</v>
      </c>
      <c r="M25" s="12">
        <f t="shared" si="5"/>
        <v>46.557526798875962</v>
      </c>
      <c r="N25" s="12" t="str">
        <f t="shared" si="6"/>
        <v>Yes</v>
      </c>
      <c r="O25" s="8">
        <f t="shared" si="7"/>
        <v>1</v>
      </c>
      <c r="P25" s="85"/>
      <c r="Q25" s="38">
        <f>'Kc calculation'!D21</f>
        <v>0.5</v>
      </c>
      <c r="R25" s="8">
        <f>'ETo Penman Montheit FAO 56'!AI23</f>
        <v>5.8672184638494684</v>
      </c>
      <c r="S25" s="12">
        <f t="shared" si="8"/>
        <v>2.9336092319247342</v>
      </c>
      <c r="T25" s="8">
        <f t="shared" si="17"/>
        <v>2.9336092319247342</v>
      </c>
      <c r="U25" s="13">
        <f t="shared" si="9"/>
        <v>4.9118641797565346</v>
      </c>
      <c r="V25" s="9">
        <f t="shared" si="10"/>
        <v>15.991905467234526</v>
      </c>
      <c r="W25" s="10"/>
      <c r="X25" s="10"/>
      <c r="Y25" s="7" t="str">
        <f t="shared" si="11"/>
        <v>Do not apply irrigation</v>
      </c>
      <c r="Z25" s="8">
        <f t="shared" si="16"/>
        <v>0</v>
      </c>
      <c r="AK25" s="55">
        <v>8.6000000000000021E-2</v>
      </c>
    </row>
    <row r="26" spans="1:37" s="2" customFormat="1" x14ac:dyDescent="0.45">
      <c r="A26" s="25">
        <f>'ETo Penman Montheit FAO 56'!A24</f>
        <v>45768</v>
      </c>
      <c r="B26" s="37">
        <v>21</v>
      </c>
      <c r="C26" s="18">
        <f t="shared" si="12"/>
        <v>28.3</v>
      </c>
      <c r="D26" s="18">
        <f t="shared" si="12"/>
        <v>13.6</v>
      </c>
      <c r="E26" s="7">
        <f t="shared" si="0"/>
        <v>14.700000000000001</v>
      </c>
      <c r="F26" s="54">
        <f t="shared" si="13"/>
        <v>0.33368670418973145</v>
      </c>
      <c r="G26" s="18">
        <f t="shared" si="14"/>
        <v>0.4</v>
      </c>
      <c r="H26" s="18">
        <f t="shared" si="1"/>
        <v>5.8800000000000008</v>
      </c>
      <c r="I26" s="18">
        <f t="shared" si="2"/>
        <v>19.620778206356214</v>
      </c>
      <c r="J26" s="18">
        <f t="shared" si="3"/>
        <v>22.42</v>
      </c>
      <c r="K26" s="8">
        <f t="shared" si="4"/>
        <v>22.508985049448384</v>
      </c>
      <c r="L26" s="8">
        <v>27</v>
      </c>
      <c r="M26" s="12">
        <f t="shared" si="5"/>
        <v>4.3379271544665112</v>
      </c>
      <c r="N26" s="12" t="str">
        <f t="shared" si="6"/>
        <v>No</v>
      </c>
      <c r="O26" s="8">
        <f t="shared" si="7"/>
        <v>1</v>
      </c>
      <c r="P26" s="85"/>
      <c r="Q26" s="38">
        <f>'Kc calculation'!D22</f>
        <v>0.5</v>
      </c>
      <c r="R26" s="8">
        <f>'ETo Penman Montheit FAO 56'!AI24</f>
        <v>5.8672184638494684</v>
      </c>
      <c r="S26" s="12">
        <f t="shared" si="8"/>
        <v>2.9336092319247342</v>
      </c>
      <c r="T26" s="8">
        <f t="shared" si="17"/>
        <v>2.9336092319247342</v>
      </c>
      <c r="U26" s="13">
        <f t="shared" si="9"/>
        <v>5.7910149505516166</v>
      </c>
      <c r="V26" s="9">
        <f t="shared" si="10"/>
        <v>19.323846927630296</v>
      </c>
      <c r="W26" s="10"/>
      <c r="X26" s="10"/>
      <c r="Y26" s="7" t="str">
        <f t="shared" si="11"/>
        <v>Do not apply irrigation</v>
      </c>
      <c r="Z26" s="8">
        <f t="shared" si="16"/>
        <v>0</v>
      </c>
      <c r="AK26" s="55">
        <v>9.0299999999999991E-2</v>
      </c>
    </row>
    <row r="27" spans="1:37" s="2" customFormat="1" x14ac:dyDescent="0.45">
      <c r="A27" s="25">
        <f>'ETo Penman Montheit FAO 56'!A25</f>
        <v>45769</v>
      </c>
      <c r="B27" s="37">
        <v>22</v>
      </c>
      <c r="C27" s="18">
        <f t="shared" si="12"/>
        <v>28.3</v>
      </c>
      <c r="D27" s="18">
        <f t="shared" si="12"/>
        <v>13.6</v>
      </c>
      <c r="E27" s="7">
        <f t="shared" si="0"/>
        <v>14.700000000000001</v>
      </c>
      <c r="F27" s="54">
        <f t="shared" si="13"/>
        <v>0.34155664766227478</v>
      </c>
      <c r="G27" s="18">
        <f t="shared" si="14"/>
        <v>0.4</v>
      </c>
      <c r="H27" s="18">
        <f t="shared" si="1"/>
        <v>5.8800000000000008</v>
      </c>
      <c r="I27" s="18">
        <f t="shared" si="2"/>
        <v>20.083530882541758</v>
      </c>
      <c r="J27" s="18">
        <f t="shared" si="3"/>
        <v>22.42</v>
      </c>
      <c r="K27" s="8">
        <f t="shared" si="4"/>
        <v>21.650091143560939</v>
      </c>
      <c r="L27" s="8">
        <v>24</v>
      </c>
      <c r="M27" s="12">
        <f t="shared" si="5"/>
        <v>14.68693584947782</v>
      </c>
      <c r="N27" s="12" t="str">
        <f t="shared" si="6"/>
        <v>No</v>
      </c>
      <c r="O27" s="8">
        <f t="shared" si="7"/>
        <v>0.91270874643548039</v>
      </c>
      <c r="P27" s="85"/>
      <c r="Q27" s="38">
        <f>'Kc calculation'!D23</f>
        <v>0.5</v>
      </c>
      <c r="R27" s="8">
        <f>'ETo Penman Montheit FAO 56'!AI25</f>
        <v>5.8672184638494684</v>
      </c>
      <c r="S27" s="12">
        <f t="shared" si="8"/>
        <v>2.9336092319247342</v>
      </c>
      <c r="T27" s="8">
        <f t="shared" si="17"/>
        <v>2.6775308046015764</v>
      </c>
      <c r="U27" s="13">
        <f t="shared" si="9"/>
        <v>6.6499088564390618</v>
      </c>
      <c r="V27" s="9">
        <f t="shared" si="10"/>
        <v>22.71320576264997</v>
      </c>
      <c r="W27" s="10"/>
      <c r="X27" s="10"/>
      <c r="Y27" s="7" t="str">
        <f t="shared" si="11"/>
        <v>Apply irrigation</v>
      </c>
      <c r="Z27" s="8">
        <f t="shared" si="16"/>
        <v>0</v>
      </c>
      <c r="AK27" s="55">
        <v>9.4600000000000017E-2</v>
      </c>
    </row>
    <row r="28" spans="1:37" x14ac:dyDescent="0.45">
      <c r="A28" s="25">
        <f>'ETo Penman Montheit FAO 56'!A26</f>
        <v>45770</v>
      </c>
      <c r="B28" s="37">
        <v>23</v>
      </c>
      <c r="C28" s="18">
        <f t="shared" si="12"/>
        <v>28.3</v>
      </c>
      <c r="D28" s="18">
        <f t="shared" si="12"/>
        <v>13.6</v>
      </c>
      <c r="E28" s="7">
        <f t="shared" si="0"/>
        <v>14.700000000000001</v>
      </c>
      <c r="F28" s="54">
        <f t="shared" si="13"/>
        <v>0.34919402291071722</v>
      </c>
      <c r="G28" s="18">
        <f t="shared" si="14"/>
        <v>0.4</v>
      </c>
      <c r="H28" s="18">
        <f t="shared" si="1"/>
        <v>5.8800000000000008</v>
      </c>
      <c r="I28" s="18">
        <f t="shared" si="2"/>
        <v>20.532608547150172</v>
      </c>
      <c r="J28" s="18">
        <f t="shared" si="3"/>
        <v>22.42</v>
      </c>
      <c r="K28" s="8">
        <f t="shared" si="4"/>
        <v>20.883316620250678</v>
      </c>
      <c r="L28" s="8">
        <v>20</v>
      </c>
      <c r="M28" s="12">
        <f t="shared" si="5"/>
        <v>28.983103901589534</v>
      </c>
      <c r="N28" s="12" t="str">
        <f t="shared" si="6"/>
        <v>Yes</v>
      </c>
      <c r="O28" s="8">
        <f t="shared" si="7"/>
        <v>0.82577285943885226</v>
      </c>
      <c r="P28" s="85"/>
      <c r="Q28" s="38">
        <f>'Kc calculation'!D24</f>
        <v>0.5</v>
      </c>
      <c r="R28" s="8">
        <f>'ETo Penman Montheit FAO 56'!AI26</f>
        <v>5.8672184638494684</v>
      </c>
      <c r="S28" s="12">
        <f t="shared" si="8"/>
        <v>2.9336092319247342</v>
      </c>
      <c r="T28" s="8">
        <f t="shared" si="17"/>
        <v>2.422494883922703</v>
      </c>
      <c r="U28" s="13">
        <f t="shared" si="9"/>
        <v>7.4166833797493226</v>
      </c>
      <c r="V28" s="9">
        <f t="shared" si="10"/>
        <v>25.898615060297203</v>
      </c>
      <c r="W28" s="10"/>
      <c r="X28" s="10"/>
      <c r="Y28" s="7" t="str">
        <f t="shared" si="11"/>
        <v>Apply irrigation</v>
      </c>
      <c r="Z28" s="8">
        <f t="shared" si="16"/>
        <v>0</v>
      </c>
      <c r="AK28" s="55">
        <v>9.8899999999999988E-2</v>
      </c>
    </row>
    <row r="29" spans="1:37" x14ac:dyDescent="0.45">
      <c r="A29" s="25">
        <f>'ETo Penman Montheit FAO 56'!A27</f>
        <v>45771</v>
      </c>
      <c r="B29" s="37">
        <v>24</v>
      </c>
      <c r="C29" s="18">
        <f t="shared" si="12"/>
        <v>28.3</v>
      </c>
      <c r="D29" s="18">
        <f t="shared" si="12"/>
        <v>13.6</v>
      </c>
      <c r="E29" s="7">
        <f t="shared" si="0"/>
        <v>14.700000000000001</v>
      </c>
      <c r="F29" s="54">
        <f t="shared" si="13"/>
        <v>0.35660570266280456</v>
      </c>
      <c r="G29" s="18">
        <f t="shared" si="14"/>
        <v>0.4</v>
      </c>
      <c r="H29" s="18">
        <f t="shared" si="1"/>
        <v>5.8800000000000008</v>
      </c>
      <c r="I29" s="18">
        <f t="shared" si="2"/>
        <v>20.968415316572912</v>
      </c>
      <c r="J29" s="18">
        <f t="shared" si="3"/>
        <v>22.42</v>
      </c>
      <c r="K29" s="8">
        <f t="shared" si="4"/>
        <v>20.203996332932295</v>
      </c>
      <c r="L29" s="8">
        <v>12</v>
      </c>
      <c r="M29" s="12">
        <f t="shared" si="5"/>
        <v>58.126729534037146</v>
      </c>
      <c r="N29" s="12" t="str">
        <f t="shared" si="6"/>
        <v>Yes</v>
      </c>
      <c r="O29" s="8">
        <f t="shared" si="7"/>
        <v>0.74875241869980658</v>
      </c>
      <c r="P29" s="85"/>
      <c r="Q29" s="38">
        <f>'Kc calculation'!D25</f>
        <v>0.5</v>
      </c>
      <c r="R29" s="8">
        <f>'ETo Penman Montheit FAO 56'!AI27</f>
        <v>5.8672184638494684</v>
      </c>
      <c r="S29" s="12">
        <f t="shared" si="8"/>
        <v>2.9336092319247342</v>
      </c>
      <c r="T29" s="8">
        <f t="shared" si="17"/>
        <v>2.1965470079237264</v>
      </c>
      <c r="U29" s="13">
        <f t="shared" si="9"/>
        <v>8.0960036670677056</v>
      </c>
      <c r="V29" s="9">
        <f t="shared" si="10"/>
        <v>28.870810764553216</v>
      </c>
      <c r="W29" s="10"/>
      <c r="X29" s="10"/>
      <c r="Y29" s="7" t="str">
        <f t="shared" si="11"/>
        <v>Apply irrigation</v>
      </c>
      <c r="Z29" s="8">
        <f t="shared" si="16"/>
        <v>0</v>
      </c>
      <c r="AK29" s="55">
        <v>0.10320000000000001</v>
      </c>
    </row>
    <row r="30" spans="1:37" x14ac:dyDescent="0.45">
      <c r="A30" s="25">
        <f>'ETo Penman Montheit FAO 56'!A28</f>
        <v>45772</v>
      </c>
      <c r="B30" s="37">
        <v>25</v>
      </c>
      <c r="C30" s="18">
        <f t="shared" si="12"/>
        <v>28.3</v>
      </c>
      <c r="D30" s="18">
        <f t="shared" si="12"/>
        <v>13.6</v>
      </c>
      <c r="E30" s="7">
        <f t="shared" si="0"/>
        <v>14.700000000000001</v>
      </c>
      <c r="F30" s="54">
        <f t="shared" si="13"/>
        <v>0.36379835654722714</v>
      </c>
      <c r="G30" s="18">
        <f t="shared" si="14"/>
        <v>0.4</v>
      </c>
      <c r="H30" s="18">
        <f t="shared" si="1"/>
        <v>5.8800000000000008</v>
      </c>
      <c r="I30" s="18">
        <f t="shared" si="2"/>
        <v>21.391343364976958</v>
      </c>
      <c r="J30" s="18">
        <f t="shared" si="3"/>
        <v>22.42</v>
      </c>
      <c r="K30" s="8">
        <f t="shared" si="4"/>
        <v>19.60021487862037</v>
      </c>
      <c r="L30" s="8">
        <v>26</v>
      </c>
      <c r="M30" s="12">
        <f t="shared" si="5"/>
        <v>8.3673622005862267</v>
      </c>
      <c r="N30" s="12" t="str">
        <f t="shared" si="6"/>
        <v>No</v>
      </c>
      <c r="O30" s="8">
        <f t="shared" si="7"/>
        <v>0.68029647149890815</v>
      </c>
      <c r="P30" s="85"/>
      <c r="Q30" s="38">
        <f>'Kc calculation'!D26</f>
        <v>0.5</v>
      </c>
      <c r="R30" s="8">
        <f>'ETo Penman Montheit FAO 56'!AI28</f>
        <v>5.8672184638494684</v>
      </c>
      <c r="S30" s="12">
        <f t="shared" si="8"/>
        <v>2.9336092319247342</v>
      </c>
      <c r="T30" s="8">
        <f t="shared" si="17"/>
        <v>1.9957240092350188</v>
      </c>
      <c r="U30" s="13">
        <f t="shared" si="9"/>
        <v>8.6997851213796302</v>
      </c>
      <c r="V30" s="9">
        <f t="shared" si="10"/>
        <v>31.649675294719287</v>
      </c>
      <c r="W30" s="10"/>
      <c r="X30" s="10"/>
      <c r="Y30" s="7" t="str">
        <f t="shared" si="11"/>
        <v>Apply irrigation</v>
      </c>
      <c r="Z30" s="8">
        <f t="shared" si="16"/>
        <v>0</v>
      </c>
      <c r="AK30" s="55">
        <v>0.10749999999999998</v>
      </c>
    </row>
    <row r="31" spans="1:37" x14ac:dyDescent="0.45">
      <c r="A31" s="25">
        <f>'ETo Penman Montheit FAO 56'!A29</f>
        <v>45773</v>
      </c>
      <c r="B31" s="37">
        <v>26</v>
      </c>
      <c r="C31" s="18">
        <f t="shared" si="12"/>
        <v>28.3</v>
      </c>
      <c r="D31" s="18">
        <f t="shared" si="12"/>
        <v>13.6</v>
      </c>
      <c r="E31" s="7">
        <f t="shared" si="0"/>
        <v>14.700000000000001</v>
      </c>
      <c r="F31" s="54">
        <f t="shared" si="13"/>
        <v>0.37077845709549073</v>
      </c>
      <c r="G31" s="18">
        <f t="shared" si="14"/>
        <v>0.4</v>
      </c>
      <c r="H31" s="18">
        <f t="shared" si="1"/>
        <v>5.8800000000000008</v>
      </c>
      <c r="I31" s="18">
        <f t="shared" si="2"/>
        <v>21.801773277214856</v>
      </c>
      <c r="J31" s="18">
        <f t="shared" si="3"/>
        <v>22.42</v>
      </c>
      <c r="K31" s="8">
        <f t="shared" si="4"/>
        <v>19.061962461026152</v>
      </c>
      <c r="L31" s="8">
        <v>12</v>
      </c>
      <c r="M31" s="12">
        <f t="shared" si="5"/>
        <v>60.436888506564991</v>
      </c>
      <c r="N31" s="12" t="str">
        <f t="shared" si="6"/>
        <v>Yes</v>
      </c>
      <c r="O31" s="8">
        <f t="shared" si="7"/>
        <v>0.61927012029774953</v>
      </c>
      <c r="P31" s="85" t="s">
        <v>61</v>
      </c>
      <c r="Q31" s="38">
        <f>'Kc calculation'!D27</f>
        <v>0.52250000000000008</v>
      </c>
      <c r="R31" s="8">
        <f>'ETo Penman Montheit FAO 56'!AI29</f>
        <v>5.8672184638494684</v>
      </c>
      <c r="S31" s="12">
        <f t="shared" si="8"/>
        <v>3.0656216473613478</v>
      </c>
      <c r="T31" s="8">
        <f t="shared" si="17"/>
        <v>1.898447886348847</v>
      </c>
      <c r="U31" s="13">
        <f t="shared" si="9"/>
        <v>9.2380375389738489</v>
      </c>
      <c r="V31" s="9">
        <f t="shared" si="10"/>
        <v>34.25265305290948</v>
      </c>
      <c r="W31" s="10"/>
      <c r="X31" s="10"/>
      <c r="Y31" s="7" t="str">
        <f t="shared" si="11"/>
        <v>Apply irrigation</v>
      </c>
      <c r="Z31" s="8">
        <f t="shared" si="16"/>
        <v>0</v>
      </c>
      <c r="AK31" s="55">
        <v>0.11180000000000001</v>
      </c>
    </row>
    <row r="32" spans="1:37" x14ac:dyDescent="0.45">
      <c r="A32" s="25">
        <f>'ETo Penman Montheit FAO 56'!A30</f>
        <v>45774</v>
      </c>
      <c r="B32" s="37">
        <v>27</v>
      </c>
      <c r="C32" s="18">
        <f t="shared" si="12"/>
        <v>28.3</v>
      </c>
      <c r="D32" s="18">
        <f t="shared" si="12"/>
        <v>13.6</v>
      </c>
      <c r="E32" s="7">
        <f t="shared" si="0"/>
        <v>14.700000000000001</v>
      </c>
      <c r="F32" s="54">
        <f t="shared" si="13"/>
        <v>0.37755228556642384</v>
      </c>
      <c r="G32" s="18">
        <f t="shared" si="14"/>
        <v>0.4</v>
      </c>
      <c r="H32" s="18">
        <f t="shared" si="1"/>
        <v>5.8800000000000008</v>
      </c>
      <c r="I32" s="18">
        <f t="shared" si="2"/>
        <v>22.200074391305723</v>
      </c>
      <c r="J32" s="18">
        <f t="shared" si="3"/>
        <v>22.42</v>
      </c>
      <c r="K32" s="8">
        <f t="shared" si="4"/>
        <v>18.559132003119984</v>
      </c>
      <c r="L32" s="8">
        <v>26</v>
      </c>
      <c r="M32" s="12">
        <f t="shared" si="5"/>
        <v>8.6837025680277513</v>
      </c>
      <c r="N32" s="12" t="str">
        <f t="shared" si="6"/>
        <v>No</v>
      </c>
      <c r="O32" s="8">
        <f t="shared" si="7"/>
        <v>0.56225986429931785</v>
      </c>
      <c r="P32" s="85"/>
      <c r="Q32" s="38">
        <f>'Kc calculation'!D28</f>
        <v>0.54420000000000002</v>
      </c>
      <c r="R32" s="8">
        <f>'ETo Penman Montheit FAO 56'!AI30</f>
        <v>5.8672184638494684</v>
      </c>
      <c r="S32" s="12">
        <f t="shared" si="8"/>
        <v>3.1929402880268807</v>
      </c>
      <c r="T32" s="8">
        <f t="shared" si="17"/>
        <v>1.7952621730618188</v>
      </c>
      <c r="U32" s="13">
        <f t="shared" si="9"/>
        <v>9.7408679968800165</v>
      </c>
      <c r="V32" s="9">
        <f t="shared" si="10"/>
        <v>36.776869756228827</v>
      </c>
      <c r="W32" s="10"/>
      <c r="X32" s="10"/>
      <c r="Y32" s="7" t="str">
        <f t="shared" si="11"/>
        <v>Apply irrigation</v>
      </c>
      <c r="Z32" s="8">
        <f t="shared" si="16"/>
        <v>0</v>
      </c>
      <c r="AK32" s="55">
        <v>0.11610000000000004</v>
      </c>
    </row>
    <row r="33" spans="1:37" x14ac:dyDescent="0.45">
      <c r="A33" s="25">
        <f>'ETo Penman Montheit FAO 56'!A31</f>
        <v>45775</v>
      </c>
      <c r="B33" s="37">
        <v>28</v>
      </c>
      <c r="C33" s="18">
        <f t="shared" si="12"/>
        <v>28.3</v>
      </c>
      <c r="D33" s="18">
        <f t="shared" si="12"/>
        <v>13.6</v>
      </c>
      <c r="E33" s="7">
        <f t="shared" si="0"/>
        <v>14.700000000000001</v>
      </c>
      <c r="F33" s="54">
        <f t="shared" si="13"/>
        <v>0.38412593759856239</v>
      </c>
      <c r="G33" s="18">
        <f t="shared" si="14"/>
        <v>0.4</v>
      </c>
      <c r="H33" s="18">
        <f t="shared" si="1"/>
        <v>5.8800000000000008</v>
      </c>
      <c r="I33" s="18">
        <f t="shared" si="2"/>
        <v>22.586605130795469</v>
      </c>
      <c r="J33" s="18">
        <f t="shared" si="3"/>
        <v>22.42</v>
      </c>
      <c r="K33" s="8">
        <f t="shared" si="4"/>
        <v>18.091769089726203</v>
      </c>
      <c r="L33" s="8">
        <v>13</v>
      </c>
      <c r="M33" s="12">
        <f t="shared" si="5"/>
        <v>58.771268452580046</v>
      </c>
      <c r="N33" s="12" t="str">
        <f t="shared" si="6"/>
        <v>Yes</v>
      </c>
      <c r="O33" s="8">
        <f t="shared" si="7"/>
        <v>0.50927087185104325</v>
      </c>
      <c r="P33" s="85"/>
      <c r="Q33" s="38">
        <f>'Kc calculation'!D29</f>
        <v>0.56590000000000007</v>
      </c>
      <c r="R33" s="8">
        <f>'ETo Penman Montheit FAO 56'!AI31</f>
        <v>5.8672184638494684</v>
      </c>
      <c r="S33" s="12">
        <f t="shared" si="8"/>
        <v>3.3202589286924145</v>
      </c>
      <c r="T33" s="8">
        <f t="shared" si="17"/>
        <v>1.6909111593863968</v>
      </c>
      <c r="U33" s="13">
        <f t="shared" si="9"/>
        <v>10.208230910273798</v>
      </c>
      <c r="V33" s="9">
        <f t="shared" si="10"/>
        <v>39.212462696315491</v>
      </c>
      <c r="W33" s="10"/>
      <c r="X33" s="10"/>
      <c r="Y33" s="7" t="str">
        <f t="shared" si="11"/>
        <v>Apply irrigation</v>
      </c>
      <c r="Z33" s="8">
        <f t="shared" si="16"/>
        <v>0</v>
      </c>
      <c r="AK33" s="55">
        <v>0.12040000000000001</v>
      </c>
    </row>
    <row r="34" spans="1:37" x14ac:dyDescent="0.45">
      <c r="A34" s="25">
        <f>'ETo Penman Montheit FAO 56'!A32</f>
        <v>45776</v>
      </c>
      <c r="B34" s="37">
        <v>29</v>
      </c>
      <c r="C34" s="18">
        <f t="shared" si="12"/>
        <v>28.3</v>
      </c>
      <c r="D34" s="18">
        <f t="shared" si="12"/>
        <v>13.6</v>
      </c>
      <c r="E34" s="7">
        <f t="shared" si="0"/>
        <v>14.700000000000001</v>
      </c>
      <c r="F34" s="54">
        <f t="shared" si="13"/>
        <v>0.39050532869549792</v>
      </c>
      <c r="G34" s="18">
        <f t="shared" si="14"/>
        <v>0.4</v>
      </c>
      <c r="H34" s="18">
        <f t="shared" si="1"/>
        <v>5.8800000000000008</v>
      </c>
      <c r="I34" s="18">
        <f t="shared" si="2"/>
        <v>22.961713327295278</v>
      </c>
      <c r="J34" s="18">
        <f t="shared" si="3"/>
        <v>22.42</v>
      </c>
      <c r="K34" s="8">
        <f t="shared" si="4"/>
        <v>17.658763177864522</v>
      </c>
      <c r="L34" s="8">
        <v>23</v>
      </c>
      <c r="M34" s="12">
        <f t="shared" si="5"/>
        <v>20.696782420861393</v>
      </c>
      <c r="N34" s="12" t="str">
        <f t="shared" si="6"/>
        <v>No</v>
      </c>
      <c r="O34" s="8">
        <f t="shared" si="7"/>
        <v>0.4601772310503992</v>
      </c>
      <c r="P34" s="85"/>
      <c r="Q34" s="38">
        <f>'Kc calculation'!D30</f>
        <v>0.58760000000000001</v>
      </c>
      <c r="R34" s="8">
        <f>'ETo Penman Montheit FAO 56'!AI32</f>
        <v>5.8672184638494684</v>
      </c>
      <c r="S34" s="12">
        <f t="shared" si="8"/>
        <v>3.4475775693579478</v>
      </c>
      <c r="T34" s="8">
        <f t="shared" si="17"/>
        <v>1.5864966996986061</v>
      </c>
      <c r="U34" s="13">
        <f t="shared" si="9"/>
        <v>10.641236822135479</v>
      </c>
      <c r="V34" s="9">
        <f t="shared" si="10"/>
        <v>41.554596829546504</v>
      </c>
      <c r="W34" s="10"/>
      <c r="X34" s="10"/>
      <c r="Y34" s="7" t="str">
        <f t="shared" si="11"/>
        <v>Apply irrigation</v>
      </c>
      <c r="Z34" s="8">
        <f t="shared" si="16"/>
        <v>0</v>
      </c>
      <c r="AK34" s="55">
        <v>0.12469999999999998</v>
      </c>
    </row>
    <row r="35" spans="1:37" x14ac:dyDescent="0.45">
      <c r="A35" s="25">
        <f>'ETo Penman Montheit FAO 56'!A33</f>
        <v>45777</v>
      </c>
      <c r="B35" s="37">
        <v>30</v>
      </c>
      <c r="C35" s="18">
        <f t="shared" ref="C35:C66" si="18">C34</f>
        <v>28.3</v>
      </c>
      <c r="D35" s="18">
        <f t="shared" ref="D35:D66" si="19">D34</f>
        <v>13.6</v>
      </c>
      <c r="E35" s="7">
        <f t="shared" ref="E35:E98" si="20">C35-D35</f>
        <v>14.700000000000001</v>
      </c>
      <c r="F35" s="54">
        <f t="shared" si="13"/>
        <v>0.39669619954912616</v>
      </c>
      <c r="G35" s="18">
        <f t="shared" si="14"/>
        <v>0.4</v>
      </c>
      <c r="H35" s="18">
        <f t="shared" ref="H35:H98" si="21">E35*G35</f>
        <v>5.8800000000000008</v>
      </c>
      <c r="I35" s="18">
        <f t="shared" si="2"/>
        <v>23.32573653348862</v>
      </c>
      <c r="J35" s="18">
        <f t="shared" ref="J35:J98" si="22">C35-E35*G35</f>
        <v>22.42</v>
      </c>
      <c r="K35" s="8">
        <f t="shared" si="4"/>
        <v>17.258835802330857</v>
      </c>
      <c r="L35" s="8">
        <v>27</v>
      </c>
      <c r="M35" s="12">
        <f t="shared" si="5"/>
        <v>5.1570505941386422</v>
      </c>
      <c r="N35" s="12" t="str">
        <f t="shared" si="6"/>
        <v>No</v>
      </c>
      <c r="O35" s="8">
        <f t="shared" si="7"/>
        <v>0.41483399119397468</v>
      </c>
      <c r="P35" s="85"/>
      <c r="Q35" s="38">
        <f>'Kc calculation'!D31</f>
        <v>0.60930000000000006</v>
      </c>
      <c r="R35" s="8">
        <f>'ETo Penman Montheit FAO 56'!AI33</f>
        <v>5.8672184638494684</v>
      </c>
      <c r="S35" s="12">
        <f t="shared" si="8"/>
        <v>3.5748962100234816</v>
      </c>
      <c r="T35" s="8">
        <f t="shared" si="17"/>
        <v>1.4829884629082544</v>
      </c>
      <c r="U35" s="13">
        <f t="shared" si="9"/>
        <v>11.041164197669143</v>
      </c>
      <c r="V35" s="9">
        <f t="shared" si="10"/>
        <v>43.799878758132259</v>
      </c>
      <c r="W35" s="10"/>
      <c r="X35" s="10"/>
      <c r="Y35" s="7" t="str">
        <f t="shared" si="11"/>
        <v>Apply irrigation</v>
      </c>
      <c r="Z35" s="8">
        <f t="shared" si="16"/>
        <v>0</v>
      </c>
      <c r="AK35" s="55">
        <v>0.129</v>
      </c>
    </row>
    <row r="36" spans="1:37" x14ac:dyDescent="0.45">
      <c r="A36" s="25">
        <f>'ETo Penman Montheit FAO 56'!A34</f>
        <v>45778</v>
      </c>
      <c r="B36" s="37">
        <v>31</v>
      </c>
      <c r="C36" s="18">
        <f t="shared" si="18"/>
        <v>28.3</v>
      </c>
      <c r="D36" s="18">
        <f t="shared" si="19"/>
        <v>13.6</v>
      </c>
      <c r="E36" s="7">
        <f t="shared" si="20"/>
        <v>14.700000000000001</v>
      </c>
      <c r="F36" s="54">
        <f t="shared" si="13"/>
        <v>0.40270412120558552</v>
      </c>
      <c r="G36" s="18">
        <f t="shared" si="14"/>
        <v>0.4</v>
      </c>
      <c r="H36" s="18">
        <f t="shared" si="21"/>
        <v>5.8800000000000008</v>
      </c>
      <c r="I36" s="18">
        <f t="shared" si="2"/>
        <v>23.67900232688843</v>
      </c>
      <c r="J36" s="18">
        <f t="shared" si="22"/>
        <v>22.42</v>
      </c>
      <c r="K36" s="8">
        <f t="shared" si="4"/>
        <v>16.89057821945125</v>
      </c>
      <c r="L36" s="8">
        <v>27</v>
      </c>
      <c r="M36" s="12">
        <f t="shared" si="5"/>
        <v>5.235153575672614</v>
      </c>
      <c r="N36" s="12" t="str">
        <f t="shared" si="6"/>
        <v>No</v>
      </c>
      <c r="O36" s="8">
        <f t="shared" si="7"/>
        <v>0.37308143077678568</v>
      </c>
      <c r="P36" s="85"/>
      <c r="Q36" s="38">
        <f>'Kc calculation'!D32</f>
        <v>0.63100000000000001</v>
      </c>
      <c r="R36" s="8">
        <f>'ETo Penman Montheit FAO 56'!AI34</f>
        <v>5.8672184638494684</v>
      </c>
      <c r="S36" s="12">
        <f t="shared" si="8"/>
        <v>3.7022148506890145</v>
      </c>
      <c r="T36" s="8">
        <f t="shared" si="17"/>
        <v>1.3812276135381214</v>
      </c>
      <c r="U36" s="13">
        <f t="shared" si="9"/>
        <v>11.409421780548751</v>
      </c>
      <c r="V36" s="9">
        <f t="shared" si="10"/>
        <v>45.946211715997514</v>
      </c>
      <c r="W36" s="10"/>
      <c r="X36" s="10"/>
      <c r="Y36" s="7" t="str">
        <f t="shared" si="11"/>
        <v>Apply irrigation</v>
      </c>
      <c r="Z36" s="8">
        <f t="shared" si="16"/>
        <v>0</v>
      </c>
      <c r="AK36" s="55">
        <v>0.13330000000000003</v>
      </c>
    </row>
    <row r="37" spans="1:37" x14ac:dyDescent="0.45">
      <c r="A37" s="25">
        <f>'ETo Penman Montheit FAO 56'!A35</f>
        <v>45779</v>
      </c>
      <c r="B37" s="37">
        <v>32</v>
      </c>
      <c r="C37" s="18">
        <f t="shared" si="18"/>
        <v>28.3</v>
      </c>
      <c r="D37" s="18">
        <f t="shared" si="19"/>
        <v>13.6</v>
      </c>
      <c r="E37" s="7">
        <f t="shared" si="20"/>
        <v>14.700000000000001</v>
      </c>
      <c r="F37" s="54">
        <f t="shared" si="13"/>
        <v>0.4085345000785352</v>
      </c>
      <c r="G37" s="18">
        <f t="shared" si="14"/>
        <v>0.4</v>
      </c>
      <c r="H37" s="18">
        <f t="shared" si="21"/>
        <v>5.8800000000000008</v>
      </c>
      <c r="I37" s="18">
        <f t="shared" si="2"/>
        <v>24.021828604617873</v>
      </c>
      <c r="J37" s="18">
        <f t="shared" si="22"/>
        <v>22.42</v>
      </c>
      <c r="K37" s="8">
        <f t="shared" si="4"/>
        <v>16.552484958472654</v>
      </c>
      <c r="L37" s="8">
        <v>17</v>
      </c>
      <c r="M37" s="12">
        <f t="shared" si="5"/>
        <v>46.164398508874477</v>
      </c>
      <c r="N37" s="12" t="str">
        <f t="shared" si="6"/>
        <v>Yes</v>
      </c>
      <c r="O37" s="8">
        <f t="shared" si="7"/>
        <v>0.33474886150483596</v>
      </c>
      <c r="P37" s="85"/>
      <c r="Q37" s="38">
        <f>'Kc calculation'!D33</f>
        <v>0.65270000000000006</v>
      </c>
      <c r="R37" s="8">
        <f>'ETo Penman Montheit FAO 56'!AI35</f>
        <v>5.8672184638494684</v>
      </c>
      <c r="S37" s="12">
        <f t="shared" si="8"/>
        <v>3.8295334913545482</v>
      </c>
      <c r="T37" s="8">
        <f t="shared" si="17"/>
        <v>1.2819319763255745</v>
      </c>
      <c r="U37" s="13">
        <f t="shared" si="9"/>
        <v>11.747515041527347</v>
      </c>
      <c r="V37" s="9">
        <f t="shared" si="10"/>
        <v>47.992651846554473</v>
      </c>
      <c r="W37" s="10"/>
      <c r="X37" s="10"/>
      <c r="Y37" s="7" t="str">
        <f t="shared" si="11"/>
        <v>Apply irrigation</v>
      </c>
      <c r="Z37" s="8">
        <f t="shared" si="16"/>
        <v>0</v>
      </c>
      <c r="AK37" s="55">
        <v>0.1376</v>
      </c>
    </row>
    <row r="38" spans="1:37" x14ac:dyDescent="0.45">
      <c r="A38" s="25">
        <f>'ETo Penman Montheit FAO 56'!A36</f>
        <v>45780</v>
      </c>
      <c r="B38" s="37">
        <v>33</v>
      </c>
      <c r="C38" s="18">
        <f t="shared" si="18"/>
        <v>28.3</v>
      </c>
      <c r="D38" s="18">
        <f t="shared" si="19"/>
        <v>13.6</v>
      </c>
      <c r="E38" s="7">
        <f t="shared" si="20"/>
        <v>14.700000000000001</v>
      </c>
      <c r="F38" s="54">
        <f t="shared" si="13"/>
        <v>0.41419258281428295</v>
      </c>
      <c r="G38" s="18">
        <f t="shared" si="14"/>
        <v>0.4</v>
      </c>
      <c r="H38" s="18">
        <f t="shared" si="21"/>
        <v>5.8800000000000008</v>
      </c>
      <c r="I38" s="18">
        <f t="shared" si="2"/>
        <v>24.354523869479838</v>
      </c>
      <c r="J38" s="18">
        <f t="shared" si="22"/>
        <v>22.42</v>
      </c>
      <c r="K38" s="8">
        <f t="shared" si="4"/>
        <v>16.242983526164203</v>
      </c>
      <c r="L38" s="8">
        <v>19</v>
      </c>
      <c r="M38" s="12">
        <f t="shared" si="5"/>
        <v>38.519910201728322</v>
      </c>
      <c r="N38" s="12" t="str">
        <f t="shared" si="6"/>
        <v>Yes</v>
      </c>
      <c r="O38" s="8">
        <f t="shared" ref="O38:O69" si="23">IF(K38&gt;J38,1,(1-(J38-K38)/(J38-D38)))</f>
        <v>0.29965799616374178</v>
      </c>
      <c r="P38" s="85"/>
      <c r="Q38" s="38">
        <f>'Kc calculation'!D34</f>
        <v>0.67440000000000011</v>
      </c>
      <c r="R38" s="8">
        <f>'ETo Penman Montheit FAO 56'!AI36</f>
        <v>5.8672184638494684</v>
      </c>
      <c r="S38" s="12">
        <f t="shared" si="8"/>
        <v>3.956852132020082</v>
      </c>
      <c r="T38" s="8">
        <f t="shared" si="17"/>
        <v>1.1857023809973672</v>
      </c>
      <c r="U38" s="13">
        <f t="shared" si="9"/>
        <v>12.057016473835798</v>
      </c>
      <c r="V38" s="9">
        <f t="shared" si="10"/>
        <v>49.939267943324076</v>
      </c>
      <c r="W38" s="10"/>
      <c r="X38" s="10"/>
      <c r="Y38" s="7" t="str">
        <f t="shared" si="11"/>
        <v>Apply irrigation</v>
      </c>
      <c r="Z38" s="8">
        <f t="shared" si="16"/>
        <v>0</v>
      </c>
      <c r="AK38" s="55">
        <v>0.14189999999999997</v>
      </c>
    </row>
    <row r="39" spans="1:37" x14ac:dyDescent="0.45">
      <c r="A39" s="25">
        <f>'ETo Penman Montheit FAO 56'!A37</f>
        <v>45781</v>
      </c>
      <c r="B39" s="37">
        <v>34</v>
      </c>
      <c r="C39" s="18">
        <f t="shared" si="18"/>
        <v>28.3</v>
      </c>
      <c r="D39" s="18">
        <f t="shared" si="19"/>
        <v>13.6</v>
      </c>
      <c r="E39" s="7">
        <f t="shared" si="20"/>
        <v>14.700000000000001</v>
      </c>
      <c r="F39" s="54">
        <f t="shared" si="13"/>
        <v>0.4196834610131418</v>
      </c>
      <c r="G39" s="18">
        <f t="shared" si="14"/>
        <v>0.4</v>
      </c>
      <c r="H39" s="18">
        <f t="shared" si="21"/>
        <v>5.8800000000000008</v>
      </c>
      <c r="I39" s="18">
        <f t="shared" si="2"/>
        <v>24.677387507572739</v>
      </c>
      <c r="J39" s="18">
        <f t="shared" si="22"/>
        <v>22.42</v>
      </c>
      <c r="K39" s="8">
        <f t="shared" ref="K39:K71" si="24">IF((K38-(T38*100/(F39*1000))+((W39+X39)*100)/(F39*1000))&gt;C38,C38,(K38-(T38*100/(F39*1000))+((W39+X39)*100)/(F39*1000)))</f>
        <v>15.960460507950664</v>
      </c>
      <c r="L39" s="8">
        <v>18</v>
      </c>
      <c r="M39" s="12">
        <f t="shared" si="5"/>
        <v>43.227396484353605</v>
      </c>
      <c r="N39" s="12" t="str">
        <f t="shared" si="6"/>
        <v>Yes</v>
      </c>
      <c r="O39" s="8">
        <f t="shared" si="23"/>
        <v>0.26762590793091423</v>
      </c>
      <c r="P39" s="85"/>
      <c r="Q39" s="38">
        <f>'Kc calculation'!D35</f>
        <v>0.69610000000000005</v>
      </c>
      <c r="R39" s="8">
        <f>'ETo Penman Montheit FAO 56'!AI37</f>
        <v>5.8672184638494684</v>
      </c>
      <c r="S39" s="12">
        <f t="shared" si="8"/>
        <v>4.0841707726856153</v>
      </c>
      <c r="T39" s="8">
        <f t="shared" si="17"/>
        <v>1.0930299111848913</v>
      </c>
      <c r="U39" s="13">
        <f t="shared" si="9"/>
        <v>12.339539492049337</v>
      </c>
      <c r="V39" s="9">
        <f t="shared" si="10"/>
        <v>51.787006413316114</v>
      </c>
      <c r="W39" s="10"/>
      <c r="X39" s="10"/>
      <c r="Y39" s="7" t="str">
        <f t="shared" si="11"/>
        <v>Apply irrigation</v>
      </c>
      <c r="Z39" s="8">
        <f t="shared" si="16"/>
        <v>0</v>
      </c>
      <c r="AK39" s="55">
        <v>0.1462</v>
      </c>
    </row>
    <row r="40" spans="1:37" x14ac:dyDescent="0.45">
      <c r="A40" s="25">
        <f>'ETo Penman Montheit FAO 56'!A38</f>
        <v>45782</v>
      </c>
      <c r="B40" s="37">
        <v>35</v>
      </c>
      <c r="C40" s="18">
        <f t="shared" si="18"/>
        <v>28.3</v>
      </c>
      <c r="D40" s="18">
        <f t="shared" si="19"/>
        <v>13.6</v>
      </c>
      <c r="E40" s="7">
        <f t="shared" si="20"/>
        <v>14.700000000000001</v>
      </c>
      <c r="F40" s="54">
        <f t="shared" si="13"/>
        <v>0.42501207581126366</v>
      </c>
      <c r="G40" s="18">
        <f t="shared" si="14"/>
        <v>0.4</v>
      </c>
      <c r="H40" s="18">
        <f t="shared" si="21"/>
        <v>5.8800000000000008</v>
      </c>
      <c r="I40" s="18">
        <f t="shared" si="2"/>
        <v>24.990710057702305</v>
      </c>
      <c r="J40" s="18">
        <f t="shared" si="22"/>
        <v>22.42</v>
      </c>
      <c r="K40" s="8">
        <f t="shared" si="24"/>
        <v>15.703284306757201</v>
      </c>
      <c r="L40" s="8">
        <v>18</v>
      </c>
      <c r="M40" s="12">
        <f t="shared" si="5"/>
        <v>43.77624380856016</v>
      </c>
      <c r="N40" s="12" t="str">
        <f t="shared" si="6"/>
        <v>Yes</v>
      </c>
      <c r="O40" s="8">
        <f t="shared" si="23"/>
        <v>0.23846760847587312</v>
      </c>
      <c r="P40" s="85"/>
      <c r="Q40" s="38">
        <f>'Kc calculation'!D36</f>
        <v>0.7178000000000001</v>
      </c>
      <c r="R40" s="8">
        <f>'ETo Penman Montheit FAO 56'!AI38</f>
        <v>5.8672184638494684</v>
      </c>
      <c r="S40" s="12">
        <f t="shared" si="8"/>
        <v>4.2114894133511491</v>
      </c>
      <c r="T40" s="8">
        <f t="shared" si="17"/>
        <v>1.0043038085233065</v>
      </c>
      <c r="U40" s="13">
        <f t="shared" si="9"/>
        <v>12.5967156932428</v>
      </c>
      <c r="V40" s="9">
        <f t="shared" si="10"/>
        <v>53.537562851894435</v>
      </c>
      <c r="W40" s="10"/>
      <c r="X40" s="10"/>
      <c r="Y40" s="7" t="str">
        <f t="shared" si="11"/>
        <v>Apply irrigation</v>
      </c>
      <c r="Z40" s="8">
        <f t="shared" si="16"/>
        <v>0</v>
      </c>
      <c r="AK40" s="55">
        <v>0.15050000000000002</v>
      </c>
    </row>
    <row r="41" spans="1:37" x14ac:dyDescent="0.45">
      <c r="A41" s="25">
        <f>'ETo Penman Montheit FAO 56'!A39</f>
        <v>45783</v>
      </c>
      <c r="B41" s="37">
        <v>36</v>
      </c>
      <c r="C41" s="18">
        <f t="shared" si="18"/>
        <v>28.3</v>
      </c>
      <c r="D41" s="18">
        <f t="shared" si="19"/>
        <v>13.6</v>
      </c>
      <c r="E41" s="7">
        <f t="shared" si="20"/>
        <v>14.700000000000001</v>
      </c>
      <c r="F41" s="54">
        <f t="shared" si="13"/>
        <v>0.43018322232707329</v>
      </c>
      <c r="G41" s="18">
        <f t="shared" si="14"/>
        <v>0.4</v>
      </c>
      <c r="H41" s="18">
        <f t="shared" si="21"/>
        <v>5.8800000000000008</v>
      </c>
      <c r="I41" s="18">
        <f t="shared" si="2"/>
        <v>25.294773472831913</v>
      </c>
      <c r="J41" s="18">
        <f t="shared" si="22"/>
        <v>22.42</v>
      </c>
      <c r="K41" s="8">
        <f t="shared" si="24"/>
        <v>15.469824758267483</v>
      </c>
      <c r="L41" s="8">
        <v>21</v>
      </c>
      <c r="M41" s="12">
        <f t="shared" si="5"/>
        <v>31.403375229876353</v>
      </c>
      <c r="N41" s="12" t="str">
        <f t="shared" si="6"/>
        <v>Yes</v>
      </c>
      <c r="O41" s="8">
        <f t="shared" si="23"/>
        <v>0.21199827191241305</v>
      </c>
      <c r="P41" s="85"/>
      <c r="Q41" s="38">
        <f>'Kc calculation'!D37</f>
        <v>0.73950000000000005</v>
      </c>
      <c r="R41" s="8">
        <f>'ETo Penman Montheit FAO 56'!AI39</f>
        <v>5.8672184638494684</v>
      </c>
      <c r="S41" s="12">
        <f t="shared" si="8"/>
        <v>4.338808054016682</v>
      </c>
      <c r="T41" s="8">
        <f t="shared" si="17"/>
        <v>0.91981980961119625</v>
      </c>
      <c r="U41" s="13">
        <f t="shared" si="9"/>
        <v>12.830175241732517</v>
      </c>
      <c r="V41" s="9">
        <f t="shared" si="10"/>
        <v>55.193261285095303</v>
      </c>
      <c r="W41" s="10"/>
      <c r="X41" s="10"/>
      <c r="Y41" s="7" t="str">
        <f t="shared" si="11"/>
        <v>Apply irrigation</v>
      </c>
      <c r="Z41" s="8">
        <f t="shared" si="16"/>
        <v>0</v>
      </c>
      <c r="AK41" s="55">
        <v>0.15479999999999999</v>
      </c>
    </row>
    <row r="42" spans="1:37" x14ac:dyDescent="0.45">
      <c r="A42" s="25">
        <f>'ETo Penman Montheit FAO 56'!A40</f>
        <v>45784</v>
      </c>
      <c r="B42" s="37">
        <v>37</v>
      </c>
      <c r="C42" s="18">
        <f t="shared" si="18"/>
        <v>28.3</v>
      </c>
      <c r="D42" s="18">
        <f t="shared" si="19"/>
        <v>13.6</v>
      </c>
      <c r="E42" s="7">
        <f t="shared" si="20"/>
        <v>14.700000000000001</v>
      </c>
      <c r="F42" s="54">
        <f t="shared" si="13"/>
        <v>0.43520155397630311</v>
      </c>
      <c r="G42" s="18">
        <f t="shared" si="14"/>
        <v>0.4</v>
      </c>
      <c r="H42" s="18">
        <f t="shared" si="21"/>
        <v>5.8800000000000008</v>
      </c>
      <c r="I42" s="18">
        <f t="shared" si="2"/>
        <v>25.589851373806624</v>
      </c>
      <c r="J42" s="18">
        <f t="shared" si="22"/>
        <v>22.42</v>
      </c>
      <c r="K42" s="8">
        <f t="shared" si="24"/>
        <v>15.258469858174163</v>
      </c>
      <c r="L42" s="8">
        <v>20</v>
      </c>
      <c r="M42" s="12">
        <f t="shared" si="5"/>
        <v>36.121728980033154</v>
      </c>
      <c r="N42" s="12" t="str">
        <f t="shared" si="6"/>
        <v>Yes</v>
      </c>
      <c r="O42" s="8">
        <f t="shared" si="23"/>
        <v>0.18803513131226335</v>
      </c>
      <c r="P42" s="85"/>
      <c r="Q42" s="38">
        <f>'Kc calculation'!D38</f>
        <v>0.7612000000000001</v>
      </c>
      <c r="R42" s="8">
        <f>'ETo Penman Montheit FAO 56'!AI40</f>
        <v>5.8672184638494684</v>
      </c>
      <c r="S42" s="12">
        <f t="shared" si="8"/>
        <v>4.4661266946822158</v>
      </c>
      <c r="T42" s="8">
        <f t="shared" si="17"/>
        <v>0.83978871949177514</v>
      </c>
      <c r="U42" s="13">
        <f t="shared" si="9"/>
        <v>13.041530141825838</v>
      </c>
      <c r="V42" s="9">
        <f t="shared" si="10"/>
        <v>56.75694183951402</v>
      </c>
      <c r="W42" s="10"/>
      <c r="X42" s="10"/>
      <c r="Y42" s="7" t="str">
        <f t="shared" si="11"/>
        <v>Apply irrigation</v>
      </c>
      <c r="Z42" s="8">
        <f t="shared" si="16"/>
        <v>0</v>
      </c>
      <c r="AK42" s="55">
        <v>0.15909999999999996</v>
      </c>
    </row>
    <row r="43" spans="1:37" x14ac:dyDescent="0.45">
      <c r="A43" s="25">
        <f>'ETo Penman Montheit FAO 56'!A41</f>
        <v>45785</v>
      </c>
      <c r="B43" s="37">
        <v>38</v>
      </c>
      <c r="C43" s="18">
        <f t="shared" si="18"/>
        <v>28.3</v>
      </c>
      <c r="D43" s="18">
        <f t="shared" si="19"/>
        <v>13.6</v>
      </c>
      <c r="E43" s="7">
        <f t="shared" si="20"/>
        <v>14.700000000000001</v>
      </c>
      <c r="F43" s="54">
        <f t="shared" si="13"/>
        <v>0.4400715866595134</v>
      </c>
      <c r="G43" s="18">
        <f t="shared" si="14"/>
        <v>0.4</v>
      </c>
      <c r="H43" s="18">
        <f t="shared" si="21"/>
        <v>5.8800000000000008</v>
      </c>
      <c r="I43" s="18">
        <f t="shared" si="2"/>
        <v>25.876209295579393</v>
      </c>
      <c r="J43" s="18">
        <f t="shared" si="22"/>
        <v>22.42</v>
      </c>
      <c r="K43" s="8">
        <f t="shared" si="24"/>
        <v>15.067639833026112</v>
      </c>
      <c r="L43" s="8">
        <v>21</v>
      </c>
      <c r="M43" s="12">
        <f t="shared" si="5"/>
        <v>32.125225826144479</v>
      </c>
      <c r="N43" s="12" t="str">
        <f t="shared" si="6"/>
        <v>Yes</v>
      </c>
      <c r="O43" s="8">
        <f t="shared" si="23"/>
        <v>0.1663990740392417</v>
      </c>
      <c r="P43" s="85"/>
      <c r="Q43" s="38">
        <f>'Kc calculation'!D39</f>
        <v>0.78290000000000004</v>
      </c>
      <c r="R43" s="8">
        <f>'ETo Penman Montheit FAO 56'!AI41</f>
        <v>5.8672184638494684</v>
      </c>
      <c r="S43" s="12">
        <f t="shared" si="8"/>
        <v>4.5934453353477487</v>
      </c>
      <c r="T43" s="8">
        <f t="shared" si="17"/>
        <v>0.7643450504517395</v>
      </c>
      <c r="U43" s="13">
        <f t="shared" si="9"/>
        <v>13.232360166973889</v>
      </c>
      <c r="V43" s="9">
        <f t="shared" si="10"/>
        <v>58.231857339303431</v>
      </c>
      <c r="W43" s="10"/>
      <c r="X43" s="10"/>
      <c r="Y43" s="7" t="str">
        <f t="shared" si="11"/>
        <v>Apply irrigation</v>
      </c>
      <c r="Z43" s="8">
        <f t="shared" si="16"/>
        <v>0</v>
      </c>
      <c r="AK43" s="55">
        <v>0.16339999999999999</v>
      </c>
    </row>
    <row r="44" spans="1:37" x14ac:dyDescent="0.45">
      <c r="A44" s="25">
        <f>'ETo Penman Montheit FAO 56'!A42</f>
        <v>45786</v>
      </c>
      <c r="B44" s="37">
        <v>39</v>
      </c>
      <c r="C44" s="18">
        <f t="shared" si="18"/>
        <v>28.3</v>
      </c>
      <c r="D44" s="18">
        <f t="shared" si="19"/>
        <v>13.6</v>
      </c>
      <c r="E44" s="7">
        <f t="shared" si="20"/>
        <v>14.700000000000001</v>
      </c>
      <c r="F44" s="54">
        <f t="shared" si="13"/>
        <v>0.4447977028258645</v>
      </c>
      <c r="G44" s="18">
        <f t="shared" si="14"/>
        <v>0.4</v>
      </c>
      <c r="H44" s="18">
        <f t="shared" si="21"/>
        <v>5.8800000000000008</v>
      </c>
      <c r="I44" s="18">
        <f t="shared" si="2"/>
        <v>26.154104926160837</v>
      </c>
      <c r="J44" s="18">
        <f t="shared" si="22"/>
        <v>22.42</v>
      </c>
      <c r="K44" s="8">
        <f t="shared" si="24"/>
        <v>14.895798781330983</v>
      </c>
      <c r="L44" s="8">
        <v>20</v>
      </c>
      <c r="M44" s="12">
        <f t="shared" si="5"/>
        <v>36.918209334546759</v>
      </c>
      <c r="N44" s="12" t="str">
        <f t="shared" si="6"/>
        <v>Yes</v>
      </c>
      <c r="O44" s="8">
        <f t="shared" si="23"/>
        <v>0.14691596160215226</v>
      </c>
      <c r="P44" s="85"/>
      <c r="Q44" s="38">
        <f>'Kc calculation'!D40</f>
        <v>0.80460000000000009</v>
      </c>
      <c r="R44" s="8">
        <f>'ETo Penman Montheit FAO 56'!AI42</f>
        <v>5.8672184638494684</v>
      </c>
      <c r="S44" s="12">
        <f t="shared" si="8"/>
        <v>4.7207639760132825</v>
      </c>
      <c r="T44" s="8">
        <f t="shared" si="17"/>
        <v>0.69355557903279097</v>
      </c>
      <c r="U44" s="13">
        <f t="shared" si="9"/>
        <v>13.404201218669018</v>
      </c>
      <c r="V44" s="9">
        <f t="shared" si="10"/>
        <v>59.621579102796325</v>
      </c>
      <c r="W44" s="10"/>
      <c r="X44" s="10"/>
      <c r="Y44" s="7" t="str">
        <f t="shared" si="11"/>
        <v>Apply irrigation</v>
      </c>
      <c r="Z44" s="8">
        <f t="shared" si="16"/>
        <v>0</v>
      </c>
      <c r="AK44" s="55">
        <v>0.16770000000000002</v>
      </c>
    </row>
    <row r="45" spans="1:37" x14ac:dyDescent="0.45">
      <c r="A45" s="25">
        <f>'ETo Penman Montheit FAO 56'!A43</f>
        <v>45787</v>
      </c>
      <c r="B45" s="37">
        <v>40</v>
      </c>
      <c r="C45" s="18">
        <f t="shared" si="18"/>
        <v>28.3</v>
      </c>
      <c r="D45" s="18">
        <f t="shared" si="19"/>
        <v>13.6</v>
      </c>
      <c r="E45" s="7">
        <f t="shared" si="20"/>
        <v>14.700000000000001</v>
      </c>
      <c r="F45" s="54">
        <f t="shared" si="13"/>
        <v>0.44938415541679899</v>
      </c>
      <c r="G45" s="18">
        <f t="shared" si="14"/>
        <v>0.4</v>
      </c>
      <c r="H45" s="18">
        <f t="shared" si="21"/>
        <v>5.8800000000000008</v>
      </c>
      <c r="I45" s="18">
        <f t="shared" si="2"/>
        <v>26.423788338507784</v>
      </c>
      <c r="J45" s="18">
        <f t="shared" si="22"/>
        <v>22.42</v>
      </c>
      <c r="K45" s="8">
        <f t="shared" si="24"/>
        <v>14.741464105603592</v>
      </c>
      <c r="L45" s="8">
        <v>24</v>
      </c>
      <c r="M45" s="12">
        <f t="shared" si="5"/>
        <v>19.323518682922362</v>
      </c>
      <c r="N45" s="12" t="str">
        <f t="shared" si="6"/>
        <v>No</v>
      </c>
      <c r="O45" s="8">
        <f t="shared" si="23"/>
        <v>0.12941769904802636</v>
      </c>
      <c r="P45" s="85"/>
      <c r="Q45" s="38">
        <f>'Kc calculation'!D41</f>
        <v>0.82630000000000003</v>
      </c>
      <c r="R45" s="8">
        <f>'ETo Penman Montheit FAO 56'!AI43</f>
        <v>5.8672184638494684</v>
      </c>
      <c r="S45" s="12">
        <f t="shared" si="8"/>
        <v>4.8480826166788162</v>
      </c>
      <c r="T45" s="8">
        <f t="shared" si="17"/>
        <v>0.62742769704530721</v>
      </c>
      <c r="U45" s="13">
        <f t="shared" si="9"/>
        <v>13.558535894396408</v>
      </c>
      <c r="V45" s="9">
        <f t="shared" si="10"/>
        <v>60.929912015916834</v>
      </c>
      <c r="W45" s="10"/>
      <c r="X45" s="10"/>
      <c r="Y45" s="7" t="str">
        <f t="shared" si="11"/>
        <v>Apply irrigation</v>
      </c>
      <c r="Z45" s="8">
        <f t="shared" si="16"/>
        <v>0</v>
      </c>
      <c r="AK45" s="55">
        <v>0.17199999999999999</v>
      </c>
    </row>
    <row r="46" spans="1:37" x14ac:dyDescent="0.45">
      <c r="A46" s="25">
        <f>'ETo Penman Montheit FAO 56'!A44</f>
        <v>45788</v>
      </c>
      <c r="B46" s="37">
        <v>41</v>
      </c>
      <c r="C46" s="18">
        <f t="shared" si="18"/>
        <v>28.3</v>
      </c>
      <c r="D46" s="18">
        <f t="shared" si="19"/>
        <v>13.6</v>
      </c>
      <c r="E46" s="7">
        <f t="shared" si="20"/>
        <v>14.700000000000001</v>
      </c>
      <c r="F46" s="54">
        <f t="shared" si="13"/>
        <v>0.45383507169318205</v>
      </c>
      <c r="G46" s="18">
        <f t="shared" si="14"/>
        <v>0.4</v>
      </c>
      <c r="H46" s="18">
        <f t="shared" si="21"/>
        <v>5.8800000000000008</v>
      </c>
      <c r="I46" s="18">
        <f t="shared" si="2"/>
        <v>26.685502215559104</v>
      </c>
      <c r="J46" s="18">
        <f t="shared" si="22"/>
        <v>22.42</v>
      </c>
      <c r="K46" s="8">
        <f t="shared" si="24"/>
        <v>14.603213949064459</v>
      </c>
      <c r="L46" s="8">
        <v>26</v>
      </c>
      <c r="M46" s="12">
        <f t="shared" si="5"/>
        <v>10.43820664894319</v>
      </c>
      <c r="N46" s="12" t="str">
        <f t="shared" si="6"/>
        <v>No</v>
      </c>
      <c r="O46" s="8">
        <f t="shared" si="23"/>
        <v>0.11374307812522211</v>
      </c>
      <c r="P46" s="85"/>
      <c r="Q46" s="38">
        <f>'Kc calculation'!D42</f>
        <v>0.84800000000000009</v>
      </c>
      <c r="R46" s="8">
        <f>'ETo Penman Montheit FAO 56'!AI44</f>
        <v>5.8672184638494684</v>
      </c>
      <c r="S46" s="12">
        <f t="shared" si="8"/>
        <v>4.97540125734435</v>
      </c>
      <c r="T46" s="8">
        <f t="shared" si="17"/>
        <v>0.56591745391844672</v>
      </c>
      <c r="U46" s="13">
        <f t="shared" si="9"/>
        <v>13.696786050935541</v>
      </c>
      <c r="V46" s="9">
        <f t="shared" si="10"/>
        <v>62.160818793925074</v>
      </c>
      <c r="W46" s="10"/>
      <c r="X46" s="10"/>
      <c r="Y46" s="7" t="str">
        <f t="shared" si="11"/>
        <v>Apply irrigation</v>
      </c>
      <c r="Z46" s="8">
        <f t="shared" si="16"/>
        <v>0</v>
      </c>
      <c r="AK46" s="55">
        <v>0.17630000000000001</v>
      </c>
    </row>
    <row r="47" spans="1:37" x14ac:dyDescent="0.45">
      <c r="A47" s="25">
        <f>'ETo Penman Montheit FAO 56'!A45</f>
        <v>45789</v>
      </c>
      <c r="B47" s="37">
        <v>42</v>
      </c>
      <c r="C47" s="18">
        <f t="shared" si="18"/>
        <v>28.3</v>
      </c>
      <c r="D47" s="18">
        <f t="shared" si="19"/>
        <v>13.6</v>
      </c>
      <c r="E47" s="7">
        <f t="shared" si="20"/>
        <v>14.700000000000001</v>
      </c>
      <c r="F47" s="54">
        <f t="shared" si="13"/>
        <v>0.45815445694934487</v>
      </c>
      <c r="G47" s="18">
        <f t="shared" si="14"/>
        <v>0.4</v>
      </c>
      <c r="H47" s="18">
        <f t="shared" si="21"/>
        <v>5.8800000000000008</v>
      </c>
      <c r="I47" s="18">
        <f t="shared" si="2"/>
        <v>26.93948206862148</v>
      </c>
      <c r="J47" s="18">
        <f t="shared" si="22"/>
        <v>22.42</v>
      </c>
      <c r="K47" s="8">
        <f t="shared" si="24"/>
        <v>14.479692842735679</v>
      </c>
      <c r="L47" s="8">
        <v>27</v>
      </c>
      <c r="M47" s="12">
        <f t="shared" si="5"/>
        <v>5.9560079403414861</v>
      </c>
      <c r="N47" s="12" t="str">
        <f t="shared" si="6"/>
        <v>No</v>
      </c>
      <c r="O47" s="8">
        <f t="shared" si="23"/>
        <v>9.9738417543727698E-2</v>
      </c>
      <c r="P47" s="85"/>
      <c r="Q47" s="38">
        <f>'Kc calculation'!D43</f>
        <v>0.86970000000000003</v>
      </c>
      <c r="R47" s="8">
        <f>'ETo Penman Montheit FAO 56'!AI45</f>
        <v>5.8672184638494684</v>
      </c>
      <c r="S47" s="12">
        <f t="shared" si="8"/>
        <v>5.1027198980098829</v>
      </c>
      <c r="T47" s="8">
        <f t="shared" si="17"/>
        <v>0.50893720779639728</v>
      </c>
      <c r="U47" s="13">
        <f t="shared" si="9"/>
        <v>13.820307157264322</v>
      </c>
      <c r="V47" s="9">
        <f t="shared" si="10"/>
        <v>63.318353205095796</v>
      </c>
      <c r="W47" s="10"/>
      <c r="X47" s="10"/>
      <c r="Y47" s="7" t="str">
        <f t="shared" si="11"/>
        <v>Apply irrigation</v>
      </c>
      <c r="Z47" s="8">
        <f t="shared" si="16"/>
        <v>0</v>
      </c>
      <c r="AK47" s="55">
        <v>0.18060000000000004</v>
      </c>
    </row>
    <row r="48" spans="1:37" x14ac:dyDescent="0.45">
      <c r="A48" s="25">
        <f>'ETo Penman Montheit FAO 56'!A46</f>
        <v>45790</v>
      </c>
      <c r="B48" s="37">
        <v>43</v>
      </c>
      <c r="C48" s="18">
        <f t="shared" si="18"/>
        <v>28.3</v>
      </c>
      <c r="D48" s="18">
        <f t="shared" si="19"/>
        <v>13.6</v>
      </c>
      <c r="E48" s="7">
        <f t="shared" si="20"/>
        <v>14.700000000000001</v>
      </c>
      <c r="F48" s="54">
        <f t="shared" si="13"/>
        <v>0.46234619811737188</v>
      </c>
      <c r="G48" s="18">
        <f t="shared" si="14"/>
        <v>0.4</v>
      </c>
      <c r="H48" s="18">
        <f t="shared" si="21"/>
        <v>5.8800000000000008</v>
      </c>
      <c r="I48" s="18">
        <f t="shared" si="2"/>
        <v>27.185956449301468</v>
      </c>
      <c r="J48" s="18">
        <f t="shared" si="22"/>
        <v>22.42</v>
      </c>
      <c r="K48" s="8">
        <f t="shared" si="24"/>
        <v>14.369615759833572</v>
      </c>
      <c r="L48" s="8">
        <v>17</v>
      </c>
      <c r="M48" s="12">
        <f t="shared" si="5"/>
        <v>52.245120387263029</v>
      </c>
      <c r="N48" s="12" t="str">
        <f t="shared" si="6"/>
        <v>Yes</v>
      </c>
      <c r="O48" s="8">
        <f t="shared" si="23"/>
        <v>8.7258022656867551E-2</v>
      </c>
      <c r="P48" s="85"/>
      <c r="Q48" s="38">
        <f>'Kc calculation'!D44</f>
        <v>0.89140000000000008</v>
      </c>
      <c r="R48" s="8">
        <f>'ETo Penman Montheit FAO 56'!AI46</f>
        <v>5.8672184638494684</v>
      </c>
      <c r="S48" s="12">
        <f t="shared" si="8"/>
        <v>5.2300385386754167</v>
      </c>
      <c r="T48" s="8">
        <f t="shared" si="17"/>
        <v>0.45636282130402994</v>
      </c>
      <c r="U48" s="13">
        <f t="shared" si="9"/>
        <v>13.930384240166429</v>
      </c>
      <c r="V48" s="9">
        <f t="shared" si="10"/>
        <v>64.406601917551029</v>
      </c>
      <c r="W48" s="10"/>
      <c r="X48" s="10"/>
      <c r="Y48" s="7" t="str">
        <f t="shared" si="11"/>
        <v>Apply irrigation</v>
      </c>
      <c r="Z48" s="8">
        <f t="shared" si="16"/>
        <v>0</v>
      </c>
      <c r="AK48" s="55">
        <v>0.18490000000000001</v>
      </c>
    </row>
    <row r="49" spans="1:37" x14ac:dyDescent="0.45">
      <c r="A49" s="25">
        <f>'ETo Penman Montheit FAO 56'!A47</f>
        <v>45791</v>
      </c>
      <c r="B49" s="37">
        <v>44</v>
      </c>
      <c r="C49" s="18">
        <f t="shared" si="18"/>
        <v>28.3</v>
      </c>
      <c r="D49" s="18">
        <f t="shared" si="19"/>
        <v>13.6</v>
      </c>
      <c r="E49" s="7">
        <f t="shared" si="20"/>
        <v>14.700000000000001</v>
      </c>
      <c r="F49" s="54">
        <f t="shared" si="13"/>
        <v>0.46641406726487677</v>
      </c>
      <c r="G49" s="18">
        <f t="shared" si="14"/>
        <v>0.4</v>
      </c>
      <c r="H49" s="18">
        <f t="shared" si="21"/>
        <v>5.8800000000000008</v>
      </c>
      <c r="I49" s="18">
        <f t="shared" si="2"/>
        <v>27.425147155174756</v>
      </c>
      <c r="J49" s="18">
        <f t="shared" si="22"/>
        <v>22.42</v>
      </c>
      <c r="K49" s="8">
        <f t="shared" si="24"/>
        <v>14.271770764724351</v>
      </c>
      <c r="L49" s="8">
        <v>12</v>
      </c>
      <c r="M49" s="12">
        <f t="shared" si="5"/>
        <v>76.025492964174916</v>
      </c>
      <c r="N49" s="12" t="str">
        <f t="shared" si="6"/>
        <v>Yes</v>
      </c>
      <c r="O49" s="8">
        <f t="shared" si="23"/>
        <v>7.6164485796411774E-2</v>
      </c>
      <c r="P49" s="85"/>
      <c r="Q49" s="38">
        <f>'Kc calculation'!D45</f>
        <v>0.91310000000000002</v>
      </c>
      <c r="R49" s="8">
        <f>'ETo Penman Montheit FAO 56'!AI47</f>
        <v>5.8672184638494684</v>
      </c>
      <c r="S49" s="12">
        <f t="shared" si="8"/>
        <v>5.3573571793409496</v>
      </c>
      <c r="T49" s="8">
        <f t="shared" si="17"/>
        <v>0.4080403547922184</v>
      </c>
      <c r="U49" s="13">
        <f t="shared" si="9"/>
        <v>14.028229235275649</v>
      </c>
      <c r="V49" s="9">
        <f t="shared" si="10"/>
        <v>65.429634541489676</v>
      </c>
      <c r="W49" s="10"/>
      <c r="X49" s="10"/>
      <c r="Y49" s="7" t="str">
        <f t="shared" si="11"/>
        <v>Apply irrigation</v>
      </c>
      <c r="Z49" s="8">
        <f t="shared" si="16"/>
        <v>0</v>
      </c>
      <c r="AK49" s="55">
        <v>0.18919999999999998</v>
      </c>
    </row>
    <row r="50" spans="1:37" x14ac:dyDescent="0.45">
      <c r="A50" s="25">
        <f>'ETo Penman Montheit FAO 56'!A48</f>
        <v>45792</v>
      </c>
      <c r="B50" s="37">
        <v>45</v>
      </c>
      <c r="C50" s="18">
        <f t="shared" si="18"/>
        <v>28.3</v>
      </c>
      <c r="D50" s="18">
        <f t="shared" si="19"/>
        <v>13.6</v>
      </c>
      <c r="E50" s="7">
        <f t="shared" si="20"/>
        <v>14.700000000000001</v>
      </c>
      <c r="F50" s="54">
        <f t="shared" si="13"/>
        <v>0.47036172498941409</v>
      </c>
      <c r="G50" s="18">
        <f t="shared" si="14"/>
        <v>0.4</v>
      </c>
      <c r="H50" s="18">
        <f t="shared" si="21"/>
        <v>5.8800000000000008</v>
      </c>
      <c r="I50" s="18">
        <f t="shared" si="2"/>
        <v>27.65726942937755</v>
      </c>
      <c r="J50" s="18">
        <f t="shared" si="22"/>
        <v>22.42</v>
      </c>
      <c r="K50" s="8">
        <f t="shared" si="24"/>
        <v>14.18502043341255</v>
      </c>
      <c r="L50" s="8">
        <v>28</v>
      </c>
      <c r="M50" s="12">
        <f t="shared" si="5"/>
        <v>1.4110851749682454</v>
      </c>
      <c r="N50" s="12" t="str">
        <f t="shared" si="6"/>
        <v>No</v>
      </c>
      <c r="O50" s="8">
        <f t="shared" si="23"/>
        <v>6.6328847325686002E-2</v>
      </c>
      <c r="P50" s="85"/>
      <c r="Q50" s="38">
        <f>'Kc calculation'!D46</f>
        <v>0.93480000000000008</v>
      </c>
      <c r="R50" s="8">
        <f>'ETo Penman Montheit FAO 56'!AI48</f>
        <v>5.8672184638494684</v>
      </c>
      <c r="S50" s="12">
        <f t="shared" si="8"/>
        <v>5.4846758200064833</v>
      </c>
      <c r="T50" s="8">
        <f t="shared" si="17"/>
        <v>0.36379222509609171</v>
      </c>
      <c r="U50" s="13">
        <f t="shared" si="9"/>
        <v>14.114979566587451</v>
      </c>
      <c r="V50" s="9">
        <f t="shared" si="10"/>
        <v>66.391461371304061</v>
      </c>
      <c r="W50" s="10"/>
      <c r="X50" s="10"/>
      <c r="Y50" s="7" t="str">
        <f t="shared" si="11"/>
        <v>Apply irrigation</v>
      </c>
      <c r="Z50" s="8">
        <f t="shared" si="16"/>
        <v>0</v>
      </c>
      <c r="AK50" s="55">
        <v>0.19350000000000001</v>
      </c>
    </row>
    <row r="51" spans="1:37" x14ac:dyDescent="0.45">
      <c r="A51" s="25">
        <f>'ETo Penman Montheit FAO 56'!A49</f>
        <v>45793</v>
      </c>
      <c r="B51" s="37">
        <v>46</v>
      </c>
      <c r="C51" s="18">
        <f t="shared" si="18"/>
        <v>28.3</v>
      </c>
      <c r="D51" s="18">
        <f t="shared" si="19"/>
        <v>13.6</v>
      </c>
      <c r="E51" s="7">
        <f t="shared" si="20"/>
        <v>14.700000000000001</v>
      </c>
      <c r="F51" s="54">
        <f t="shared" si="13"/>
        <v>0.47419272371258026</v>
      </c>
      <c r="G51" s="18">
        <f t="shared" si="14"/>
        <v>0.4</v>
      </c>
      <c r="H51" s="18">
        <f t="shared" si="21"/>
        <v>5.8800000000000008</v>
      </c>
      <c r="I51" s="18">
        <f t="shared" si="2"/>
        <v>27.882532154299721</v>
      </c>
      <c r="J51" s="18">
        <f t="shared" si="22"/>
        <v>22.42</v>
      </c>
      <c r="K51" s="8">
        <f t="shared" si="24"/>
        <v>14.10830221170559</v>
      </c>
      <c r="L51" s="8">
        <v>24</v>
      </c>
      <c r="M51" s="12">
        <f t="shared" si="5"/>
        <v>20.390287119640956</v>
      </c>
      <c r="N51" s="12" t="str">
        <f t="shared" si="6"/>
        <v>No</v>
      </c>
      <c r="O51" s="8">
        <f t="shared" si="23"/>
        <v>5.7630636247799405E-2</v>
      </c>
      <c r="P51" s="85"/>
      <c r="Q51" s="38">
        <f>'Kc calculation'!D47</f>
        <v>0.95650000000000002</v>
      </c>
      <c r="R51" s="8">
        <f>'ETo Penman Montheit FAO 56'!AI49</f>
        <v>5.8672184638494684</v>
      </c>
      <c r="S51" s="12">
        <f t="shared" si="8"/>
        <v>5.6119944606720162</v>
      </c>
      <c r="T51" s="8">
        <f t="shared" si="17"/>
        <v>0.32342281138765416</v>
      </c>
      <c r="U51" s="13">
        <f t="shared" si="9"/>
        <v>14.191697788294411</v>
      </c>
      <c r="V51" s="9">
        <f t="shared" si="10"/>
        <v>67.295998283371276</v>
      </c>
      <c r="W51" s="10"/>
      <c r="X51" s="10"/>
      <c r="Y51" s="7" t="str">
        <f t="shared" si="11"/>
        <v>Apply irrigation</v>
      </c>
      <c r="Z51" s="8">
        <f t="shared" si="16"/>
        <v>0</v>
      </c>
      <c r="AK51" s="55">
        <v>0.19780000000000003</v>
      </c>
    </row>
    <row r="52" spans="1:37" x14ac:dyDescent="0.45">
      <c r="A52" s="25">
        <f>'ETo Penman Montheit FAO 56'!A50</f>
        <v>45794</v>
      </c>
      <c r="B52" s="37">
        <v>47</v>
      </c>
      <c r="C52" s="18">
        <f t="shared" si="18"/>
        <v>28.3</v>
      </c>
      <c r="D52" s="18">
        <f t="shared" si="19"/>
        <v>13.6</v>
      </c>
      <c r="E52" s="7">
        <f t="shared" si="20"/>
        <v>14.700000000000001</v>
      </c>
      <c r="F52" s="54">
        <f t="shared" si="13"/>
        <v>0.4779105108767705</v>
      </c>
      <c r="G52" s="18">
        <f t="shared" si="14"/>
        <v>0.4</v>
      </c>
      <c r="H52" s="18">
        <f t="shared" si="21"/>
        <v>5.8800000000000008</v>
      </c>
      <c r="I52" s="18">
        <f t="shared" si="2"/>
        <v>28.101138039554108</v>
      </c>
      <c r="J52" s="18">
        <f t="shared" si="22"/>
        <v>22.42</v>
      </c>
      <c r="K52" s="8">
        <f t="shared" si="24"/>
        <v>14.040627865980424</v>
      </c>
      <c r="L52" s="8">
        <v>18</v>
      </c>
      <c r="M52" s="12">
        <f t="shared" si="5"/>
        <v>49.224782620307366</v>
      </c>
      <c r="N52" s="12" t="str">
        <f t="shared" si="6"/>
        <v>Yes</v>
      </c>
      <c r="O52" s="8">
        <f t="shared" si="23"/>
        <v>4.9957807934288501E-2</v>
      </c>
      <c r="P52" s="85"/>
      <c r="Q52" s="38">
        <f>'Kc calculation'!D48</f>
        <v>0.97820000000000007</v>
      </c>
      <c r="R52" s="8">
        <f>'ETo Penman Montheit FAO 56'!AI50</f>
        <v>5.8672184638494684</v>
      </c>
      <c r="S52" s="12">
        <f t="shared" si="8"/>
        <v>5.73931310133755</v>
      </c>
      <c r="T52" s="8">
        <f t="shared" si="17"/>
        <v>0.286723501591367</v>
      </c>
      <c r="U52" s="13">
        <f t="shared" si="9"/>
        <v>14.259372134019577</v>
      </c>
      <c r="V52" s="9">
        <f t="shared" si="10"/>
        <v>68.147038213512815</v>
      </c>
      <c r="W52" s="10"/>
      <c r="X52" s="10"/>
      <c r="Y52" s="7" t="str">
        <f t="shared" si="11"/>
        <v>Apply irrigation</v>
      </c>
      <c r="Z52" s="8">
        <f t="shared" si="16"/>
        <v>0</v>
      </c>
      <c r="AK52" s="55">
        <v>0.2021</v>
      </c>
    </row>
    <row r="53" spans="1:37" x14ac:dyDescent="0.45">
      <c r="A53" s="25">
        <f>'ETo Penman Montheit FAO 56'!A51</f>
        <v>45795</v>
      </c>
      <c r="B53" s="37">
        <v>48</v>
      </c>
      <c r="C53" s="18">
        <f t="shared" si="18"/>
        <v>28.3</v>
      </c>
      <c r="D53" s="18">
        <f t="shared" si="19"/>
        <v>13.6</v>
      </c>
      <c r="E53" s="7">
        <f t="shared" si="20"/>
        <v>14.700000000000001</v>
      </c>
      <c r="F53" s="54">
        <f t="shared" si="13"/>
        <v>0.48151843204746581</v>
      </c>
      <c r="G53" s="18">
        <f t="shared" si="14"/>
        <v>0.4</v>
      </c>
      <c r="H53" s="18">
        <f t="shared" si="21"/>
        <v>5.8800000000000008</v>
      </c>
      <c r="I53" s="18">
        <f t="shared" si="2"/>
        <v>28.313283804390991</v>
      </c>
      <c r="J53" s="18">
        <f t="shared" si="22"/>
        <v>22.42</v>
      </c>
      <c r="K53" s="8">
        <f t="shared" si="24"/>
        <v>13.981082170009412</v>
      </c>
      <c r="L53" s="8">
        <v>21</v>
      </c>
      <c r="M53" s="12">
        <f t="shared" si="5"/>
        <v>35.15084553946501</v>
      </c>
      <c r="N53" s="12" t="str">
        <f t="shared" si="6"/>
        <v>Yes</v>
      </c>
      <c r="O53" s="8">
        <f t="shared" si="23"/>
        <v>4.3206595239162371E-2</v>
      </c>
      <c r="P53" s="85"/>
      <c r="Q53" s="38">
        <f>'Kc calculation'!D49</f>
        <v>0.99990000000000012</v>
      </c>
      <c r="R53" s="8">
        <f>'ETo Penman Montheit FAO 56'!AI51</f>
        <v>5.8672184638494684</v>
      </c>
      <c r="S53" s="12">
        <f t="shared" si="8"/>
        <v>5.8666317420030838</v>
      </c>
      <c r="T53" s="8">
        <f t="shared" si="17"/>
        <v>0.25347718309394929</v>
      </c>
      <c r="U53" s="13">
        <f t="shared" si="9"/>
        <v>14.318917829990589</v>
      </c>
      <c r="V53" s="9">
        <f t="shared" si="10"/>
        <v>68.948228621135698</v>
      </c>
      <c r="W53" s="10"/>
      <c r="X53" s="10"/>
      <c r="Y53" s="7" t="str">
        <f t="shared" si="11"/>
        <v>Apply irrigation</v>
      </c>
      <c r="Z53" s="8">
        <f t="shared" si="16"/>
        <v>0</v>
      </c>
      <c r="AK53" s="55">
        <v>0.20639999999999997</v>
      </c>
    </row>
    <row r="54" spans="1:37" x14ac:dyDescent="0.45">
      <c r="A54" s="25">
        <f>'ETo Penman Montheit FAO 56'!A52</f>
        <v>45796</v>
      </c>
      <c r="B54" s="37">
        <v>49</v>
      </c>
      <c r="C54" s="18">
        <f t="shared" si="18"/>
        <v>28.3</v>
      </c>
      <c r="D54" s="18">
        <f t="shared" si="19"/>
        <v>13.6</v>
      </c>
      <c r="E54" s="7">
        <f t="shared" si="20"/>
        <v>14.700000000000001</v>
      </c>
      <c r="F54" s="54">
        <f t="shared" si="13"/>
        <v>0.48501973392384323</v>
      </c>
      <c r="G54" s="18">
        <f t="shared" si="14"/>
        <v>0.4</v>
      </c>
      <c r="H54" s="18">
        <f t="shared" si="21"/>
        <v>5.8800000000000008</v>
      </c>
      <c r="I54" s="18">
        <f t="shared" si="2"/>
        <v>28.519160354721986</v>
      </c>
      <c r="J54" s="18">
        <f t="shared" si="22"/>
        <v>22.42</v>
      </c>
      <c r="K54" s="8">
        <f t="shared" si="24"/>
        <v>13.92882095971941</v>
      </c>
      <c r="L54" s="8">
        <v>23</v>
      </c>
      <c r="M54" s="12">
        <f t="shared" si="5"/>
        <v>25.706045897963694</v>
      </c>
      <c r="N54" s="12" t="str">
        <f t="shared" si="6"/>
        <v>No</v>
      </c>
      <c r="O54" s="8">
        <f t="shared" si="23"/>
        <v>3.7281287950046482E-2</v>
      </c>
      <c r="P54" s="85"/>
      <c r="Q54" s="38">
        <f>'Kc calculation'!D50</f>
        <v>1.0216000000000001</v>
      </c>
      <c r="R54" s="8">
        <f>'ETo Penman Montheit FAO 56'!AI52</f>
        <v>5.8685725525436201</v>
      </c>
      <c r="S54" s="12">
        <f t="shared" si="8"/>
        <v>5.9953337196785625</v>
      </c>
      <c r="T54" s="8">
        <f t="shared" si="17"/>
        <v>0.22351376275995974</v>
      </c>
      <c r="U54" s="13">
        <f t="shared" si="9"/>
        <v>14.371179040280591</v>
      </c>
      <c r="V54" s="9">
        <f t="shared" si="10"/>
        <v>69.703054342888052</v>
      </c>
      <c r="W54" s="10"/>
      <c r="X54" s="10"/>
      <c r="Y54" s="7" t="str">
        <f t="shared" si="11"/>
        <v>Apply irrigation</v>
      </c>
      <c r="Z54" s="8">
        <f t="shared" si="16"/>
        <v>0</v>
      </c>
      <c r="AK54" s="55">
        <v>0.2107</v>
      </c>
    </row>
    <row r="55" spans="1:37" x14ac:dyDescent="0.45">
      <c r="A55" s="25">
        <f>'ETo Penman Montheit FAO 56'!A53</f>
        <v>45797</v>
      </c>
      <c r="B55" s="37">
        <v>50</v>
      </c>
      <c r="C55" s="18">
        <f t="shared" si="18"/>
        <v>28.3</v>
      </c>
      <c r="D55" s="18">
        <f t="shared" si="19"/>
        <v>13.6</v>
      </c>
      <c r="E55" s="7">
        <f t="shared" si="20"/>
        <v>14.700000000000001</v>
      </c>
      <c r="F55" s="54">
        <f t="shared" si="13"/>
        <v>0.48841756726041829</v>
      </c>
      <c r="G55" s="18">
        <f t="shared" si="14"/>
        <v>0.4</v>
      </c>
      <c r="H55" s="18">
        <f t="shared" si="21"/>
        <v>5.8800000000000008</v>
      </c>
      <c r="I55" s="18">
        <f t="shared" si="2"/>
        <v>28.718952954912599</v>
      </c>
      <c r="J55" s="18">
        <f t="shared" si="22"/>
        <v>22.42</v>
      </c>
      <c r="K55" s="8">
        <f t="shared" si="24"/>
        <v>13.883058117073583</v>
      </c>
      <c r="L55" s="8">
        <v>17</v>
      </c>
      <c r="M55" s="12">
        <f t="shared" si="5"/>
        <v>55.191185100427269</v>
      </c>
      <c r="N55" s="12" t="str">
        <f t="shared" si="6"/>
        <v>Yes</v>
      </c>
      <c r="O55" s="8">
        <f t="shared" si="23"/>
        <v>3.2092757037821218E-2</v>
      </c>
      <c r="P55" s="85"/>
      <c r="Q55" s="38">
        <f>'Kc calculation'!D51</f>
        <v>1.0432999999999999</v>
      </c>
      <c r="R55" s="8">
        <f>'ETo Penman Montheit FAO 56'!AI53</f>
        <v>5.8721397138215217</v>
      </c>
      <c r="S55" s="12">
        <f t="shared" si="8"/>
        <v>6.1264033634299926</v>
      </c>
      <c r="T55" s="8">
        <f t="shared" si="17"/>
        <v>0.19661317465824948</v>
      </c>
      <c r="U55" s="13">
        <f t="shared" si="9"/>
        <v>14.416941882926418</v>
      </c>
      <c r="V55" s="9">
        <f t="shared" si="10"/>
        <v>70.414876817937554</v>
      </c>
      <c r="W55" s="10"/>
      <c r="X55" s="10"/>
      <c r="Y55" s="7" t="str">
        <f t="shared" si="11"/>
        <v>Apply irrigation</v>
      </c>
      <c r="Z55" s="8">
        <f t="shared" si="16"/>
        <v>0</v>
      </c>
      <c r="AK55" s="55">
        <v>0.21500000000000002</v>
      </c>
    </row>
    <row r="56" spans="1:37" x14ac:dyDescent="0.45">
      <c r="A56" s="25">
        <f>'ETo Penman Montheit FAO 56'!A54</f>
        <v>45798</v>
      </c>
      <c r="B56" s="37">
        <v>51</v>
      </c>
      <c r="C56" s="18">
        <f t="shared" si="18"/>
        <v>28.3</v>
      </c>
      <c r="D56" s="18">
        <f t="shared" si="19"/>
        <v>13.6</v>
      </c>
      <c r="E56" s="7">
        <f t="shared" si="20"/>
        <v>14.700000000000001</v>
      </c>
      <c r="F56" s="54">
        <f t="shared" si="13"/>
        <v>0.49171498970234928</v>
      </c>
      <c r="G56" s="18">
        <f t="shared" si="14"/>
        <v>0.4</v>
      </c>
      <c r="H56" s="18">
        <f t="shared" si="21"/>
        <v>5.8800000000000008</v>
      </c>
      <c r="I56" s="18">
        <f t="shared" si="2"/>
        <v>28.912841394498141</v>
      </c>
      <c r="J56" s="18">
        <f t="shared" si="22"/>
        <v>22.42</v>
      </c>
      <c r="K56" s="8">
        <f t="shared" si="24"/>
        <v>13.84307292671417</v>
      </c>
      <c r="L56" s="8">
        <v>25</v>
      </c>
      <c r="M56" s="12">
        <f t="shared" si="5"/>
        <v>16.226594660177533</v>
      </c>
      <c r="N56" s="12" t="str">
        <f t="shared" si="6"/>
        <v>No</v>
      </c>
      <c r="O56" s="8">
        <f t="shared" si="23"/>
        <v>2.7559288743103205E-2</v>
      </c>
      <c r="P56" s="85"/>
      <c r="Q56" s="38">
        <f>'Kc calculation'!D52</f>
        <v>1.0649999999999999</v>
      </c>
      <c r="R56" s="8">
        <f>'ETo Penman Montheit FAO 56'!AI54</f>
        <v>5.8755753422382639</v>
      </c>
      <c r="S56" s="12">
        <f t="shared" si="8"/>
        <v>6.2574877394837509</v>
      </c>
      <c r="T56" s="8">
        <f t="shared" si="17"/>
        <v>0.17245191141886085</v>
      </c>
      <c r="U56" s="13">
        <f t="shared" si="9"/>
        <v>14.456927073285831</v>
      </c>
      <c r="V56" s="9">
        <f t="shared" si="10"/>
        <v>71.086877469683557</v>
      </c>
      <c r="W56" s="10"/>
      <c r="X56" s="10"/>
      <c r="Y56" s="7" t="str">
        <f t="shared" si="11"/>
        <v>Apply irrigation</v>
      </c>
      <c r="Z56" s="8">
        <f t="shared" si="16"/>
        <v>0</v>
      </c>
      <c r="AK56" s="55">
        <v>0.21929999999999999</v>
      </c>
    </row>
    <row r="57" spans="1:37" x14ac:dyDescent="0.45">
      <c r="A57" s="25">
        <f>'ETo Penman Montheit FAO 56'!A55</f>
        <v>45799</v>
      </c>
      <c r="B57" s="37">
        <v>52</v>
      </c>
      <c r="C57" s="18">
        <f t="shared" si="18"/>
        <v>28.3</v>
      </c>
      <c r="D57" s="18">
        <f t="shared" si="19"/>
        <v>13.6</v>
      </c>
      <c r="E57" s="7">
        <f t="shared" si="20"/>
        <v>14.700000000000001</v>
      </c>
      <c r="F57" s="54">
        <f t="shared" si="13"/>
        <v>0.49491496853695249</v>
      </c>
      <c r="G57" s="18">
        <f t="shared" si="14"/>
        <v>0.4</v>
      </c>
      <c r="H57" s="18">
        <f t="shared" si="21"/>
        <v>5.8800000000000008</v>
      </c>
      <c r="I57" s="18">
        <f t="shared" si="2"/>
        <v>29.101000149972812</v>
      </c>
      <c r="J57" s="18">
        <f t="shared" si="22"/>
        <v>22.42</v>
      </c>
      <c r="K57" s="8">
        <f t="shared" si="24"/>
        <v>13.808228171072882</v>
      </c>
      <c r="L57" s="8">
        <v>20</v>
      </c>
      <c r="M57" s="12">
        <f t="shared" si="5"/>
        <v>41.07794238856706</v>
      </c>
      <c r="N57" s="12" t="str">
        <f t="shared" si="6"/>
        <v>Yes</v>
      </c>
      <c r="O57" s="8">
        <f t="shared" si="23"/>
        <v>2.360863617606368E-2</v>
      </c>
      <c r="P57" s="85"/>
      <c r="Q57" s="38">
        <f>'Kc calculation'!D53</f>
        <v>1.0867</v>
      </c>
      <c r="R57" s="8">
        <f>'ETo Penman Montheit FAO 56'!AI55</f>
        <v>5.878881101211384</v>
      </c>
      <c r="S57" s="12">
        <f t="shared" si="8"/>
        <v>6.3885800926864107</v>
      </c>
      <c r="T57" s="8">
        <f t="shared" si="17"/>
        <v>0.15082566308987666</v>
      </c>
      <c r="U57" s="13">
        <f t="shared" si="9"/>
        <v>14.491771828927119</v>
      </c>
      <c r="V57" s="9">
        <f t="shared" si="10"/>
        <v>71.721947987581601</v>
      </c>
      <c r="W57" s="10"/>
      <c r="X57" s="10"/>
      <c r="Y57" s="7" t="str">
        <f t="shared" si="11"/>
        <v>Apply irrigation</v>
      </c>
      <c r="Z57" s="8">
        <f t="shared" si="16"/>
        <v>0</v>
      </c>
      <c r="AK57" s="55">
        <v>0.22359999999999997</v>
      </c>
    </row>
    <row r="58" spans="1:37" x14ac:dyDescent="0.45">
      <c r="A58" s="25">
        <f>'ETo Penman Montheit FAO 56'!A56</f>
        <v>45800</v>
      </c>
      <c r="B58" s="37">
        <v>53</v>
      </c>
      <c r="C58" s="18">
        <f t="shared" si="18"/>
        <v>28.3</v>
      </c>
      <c r="D58" s="18">
        <f t="shared" si="19"/>
        <v>13.6</v>
      </c>
      <c r="E58" s="7">
        <f t="shared" si="20"/>
        <v>14.700000000000001</v>
      </c>
      <c r="F58" s="54">
        <f t="shared" si="13"/>
        <v>0.49802038336390797</v>
      </c>
      <c r="G58" s="18">
        <f t="shared" si="14"/>
        <v>0.4</v>
      </c>
      <c r="H58" s="18">
        <f t="shared" si="21"/>
        <v>5.8800000000000008</v>
      </c>
      <c r="I58" s="18">
        <f t="shared" si="2"/>
        <v>29.28359854179779</v>
      </c>
      <c r="J58" s="18">
        <f t="shared" si="22"/>
        <v>22.42</v>
      </c>
      <c r="K58" s="8">
        <f t="shared" si="24"/>
        <v>13.77794313292422</v>
      </c>
      <c r="L58" s="8">
        <v>19</v>
      </c>
      <c r="M58" s="12">
        <f t="shared" si="5"/>
        <v>46.315895652843452</v>
      </c>
      <c r="N58" s="12" t="str">
        <f t="shared" si="6"/>
        <v>Yes</v>
      </c>
      <c r="O58" s="8">
        <f t="shared" si="23"/>
        <v>2.0174958381430796E-2</v>
      </c>
      <c r="P58" s="85"/>
      <c r="Q58" s="38">
        <f>'Kc calculation'!D54</f>
        <v>1.1084000000000001</v>
      </c>
      <c r="R58" s="8">
        <f>'ETo Penman Montheit FAO 56'!AI56</f>
        <v>5.8820585949284396</v>
      </c>
      <c r="S58" s="12">
        <f t="shared" si="8"/>
        <v>6.5196737466186825</v>
      </c>
      <c r="T58" s="8">
        <f t="shared" si="17"/>
        <v>0.13153414649853892</v>
      </c>
      <c r="U58" s="13">
        <f t="shared" si="9"/>
        <v>14.522056867075781</v>
      </c>
      <c r="V58" s="9">
        <f t="shared" si="10"/>
        <v>72.322803281735531</v>
      </c>
      <c r="W58" s="10"/>
      <c r="X58" s="10"/>
      <c r="Y58" s="7" t="str">
        <f t="shared" si="11"/>
        <v>Apply irrigation</v>
      </c>
      <c r="Z58" s="8">
        <f t="shared" si="16"/>
        <v>0</v>
      </c>
      <c r="AK58" s="55">
        <v>0.22789999999999999</v>
      </c>
    </row>
    <row r="59" spans="1:37" x14ac:dyDescent="0.45">
      <c r="A59" s="25">
        <f>'ETo Penman Montheit FAO 56'!A57</f>
        <v>45801</v>
      </c>
      <c r="B59" s="37">
        <v>54</v>
      </c>
      <c r="C59" s="18">
        <f t="shared" si="18"/>
        <v>28.3</v>
      </c>
      <c r="D59" s="18">
        <f t="shared" si="19"/>
        <v>13.6</v>
      </c>
      <c r="E59" s="7">
        <f t="shared" si="20"/>
        <v>14.700000000000001</v>
      </c>
      <c r="F59" s="54">
        <f t="shared" si="13"/>
        <v>0.50103402868655633</v>
      </c>
      <c r="G59" s="18">
        <f t="shared" si="14"/>
        <v>0.4</v>
      </c>
      <c r="H59" s="18">
        <f t="shared" si="21"/>
        <v>5.8800000000000008</v>
      </c>
      <c r="I59" s="18">
        <f t="shared" si="2"/>
        <v>29.460800886769515</v>
      </c>
      <c r="J59" s="18">
        <f t="shared" si="22"/>
        <v>22.42</v>
      </c>
      <c r="K59" s="8">
        <f t="shared" si="24"/>
        <v>13.751690595378346</v>
      </c>
      <c r="L59" s="8">
        <v>14</v>
      </c>
      <c r="M59" s="12">
        <f t="shared" si="5"/>
        <v>71.647866102177559</v>
      </c>
      <c r="N59" s="12" t="str">
        <f t="shared" si="6"/>
        <v>Yes</v>
      </c>
      <c r="O59" s="8">
        <f t="shared" si="23"/>
        <v>1.7198480201626509E-2</v>
      </c>
      <c r="P59" s="85"/>
      <c r="Q59" s="38">
        <f>'Kc calculation'!D55</f>
        <v>1.1300999999999999</v>
      </c>
      <c r="R59" s="8">
        <f>'ETo Penman Montheit FAO 56'!AI57</f>
        <v>5.8851093688487701</v>
      </c>
      <c r="S59" s="12">
        <f t="shared" si="8"/>
        <v>6.6507620977359947</v>
      </c>
      <c r="T59" s="8">
        <f t="shared" si="17"/>
        <v>0.1143830002636405</v>
      </c>
      <c r="U59" s="13">
        <f t="shared" si="9"/>
        <v>14.548309404621655</v>
      </c>
      <c r="V59" s="9">
        <f t="shared" si="10"/>
        <v>72.891980715761022</v>
      </c>
      <c r="W59" s="10"/>
      <c r="X59" s="10"/>
      <c r="Y59" s="7" t="str">
        <f t="shared" si="11"/>
        <v>Apply irrigation</v>
      </c>
      <c r="Z59" s="8">
        <f t="shared" si="16"/>
        <v>0</v>
      </c>
      <c r="AK59" s="55">
        <v>0.23220000000000002</v>
      </c>
    </row>
    <row r="60" spans="1:37" x14ac:dyDescent="0.45">
      <c r="A60" s="25">
        <f>'ETo Penman Montheit FAO 56'!A58</f>
        <v>45802</v>
      </c>
      <c r="B60" s="37">
        <v>55</v>
      </c>
      <c r="C60" s="18">
        <f t="shared" si="18"/>
        <v>28.3</v>
      </c>
      <c r="D60" s="18">
        <f t="shared" si="19"/>
        <v>13.6</v>
      </c>
      <c r="E60" s="7">
        <f t="shared" si="20"/>
        <v>14.700000000000001</v>
      </c>
      <c r="F60" s="54">
        <f t="shared" si="13"/>
        <v>0.50395861642661799</v>
      </c>
      <c r="G60" s="18">
        <f t="shared" si="14"/>
        <v>0.4</v>
      </c>
      <c r="H60" s="18">
        <f t="shared" si="21"/>
        <v>5.8800000000000008</v>
      </c>
      <c r="I60" s="18">
        <f t="shared" si="2"/>
        <v>29.632766645885141</v>
      </c>
      <c r="J60" s="18">
        <f t="shared" si="22"/>
        <v>22.42</v>
      </c>
      <c r="K60" s="8">
        <f t="shared" si="24"/>
        <v>13.728993691994752</v>
      </c>
      <c r="L60" s="8">
        <v>13</v>
      </c>
      <c r="M60" s="12">
        <f t="shared" si="5"/>
        <v>77.105668313272545</v>
      </c>
      <c r="N60" s="12" t="str">
        <f t="shared" si="6"/>
        <v>Yes</v>
      </c>
      <c r="O60" s="8">
        <f t="shared" si="23"/>
        <v>1.4625135146797308E-2</v>
      </c>
      <c r="P60" s="85"/>
      <c r="Q60" s="38">
        <f>'Kc calculation'!D56</f>
        <v>1.1517999999999999</v>
      </c>
      <c r="R60" s="8">
        <f>'ETo Penman Montheit FAO 56'!AI58</f>
        <v>5.8880349102123679</v>
      </c>
      <c r="S60" s="12">
        <f t="shared" si="8"/>
        <v>6.7818386095826053</v>
      </c>
      <c r="T60" s="8">
        <f t="shared" si="17"/>
        <v>9.918530620891354E-2</v>
      </c>
      <c r="U60" s="13">
        <f t="shared" si="9"/>
        <v>14.571006308005249</v>
      </c>
      <c r="V60" s="9">
        <f t="shared" si="10"/>
        <v>73.431841789258485</v>
      </c>
      <c r="W60" s="10"/>
      <c r="X60" s="10"/>
      <c r="Y60" s="7" t="str">
        <f t="shared" si="11"/>
        <v>Apply irrigation</v>
      </c>
      <c r="Z60" s="8">
        <f t="shared" si="16"/>
        <v>0</v>
      </c>
      <c r="AK60" s="55">
        <v>0.23649999999999999</v>
      </c>
    </row>
    <row r="61" spans="1:37" x14ac:dyDescent="0.45">
      <c r="A61" s="25">
        <f>'ETo Penman Montheit FAO 56'!A59</f>
        <v>45803</v>
      </c>
      <c r="B61" s="37">
        <v>56</v>
      </c>
      <c r="C61" s="18">
        <f t="shared" si="18"/>
        <v>28.3</v>
      </c>
      <c r="D61" s="18">
        <f t="shared" si="19"/>
        <v>13.6</v>
      </c>
      <c r="E61" s="7">
        <f t="shared" si="20"/>
        <v>14.700000000000001</v>
      </c>
      <c r="F61" s="54">
        <f t="shared" si="13"/>
        <v>0.50679677836460046</v>
      </c>
      <c r="G61" s="18">
        <f t="shared" si="14"/>
        <v>0.4</v>
      </c>
      <c r="H61" s="18">
        <f t="shared" si="21"/>
        <v>5.8800000000000008</v>
      </c>
      <c r="I61" s="18">
        <f t="shared" si="2"/>
        <v>29.799650567838508</v>
      </c>
      <c r="J61" s="18">
        <f t="shared" si="22"/>
        <v>22.42</v>
      </c>
      <c r="K61" s="8">
        <f t="shared" si="24"/>
        <v>13.709422670543319</v>
      </c>
      <c r="L61" s="8">
        <v>28</v>
      </c>
      <c r="M61" s="12">
        <f t="shared" si="5"/>
        <v>1.5203903350938048</v>
      </c>
      <c r="N61" s="12" t="str">
        <f t="shared" si="6"/>
        <v>No</v>
      </c>
      <c r="O61" s="8">
        <f t="shared" si="23"/>
        <v>1.2406198474299246E-2</v>
      </c>
      <c r="P61" s="85"/>
      <c r="Q61" s="38">
        <f>'Kc calculation'!D57</f>
        <v>1.1499999999999999</v>
      </c>
      <c r="R61" s="8">
        <f>'ETo Penman Montheit FAO 56'!AI59</f>
        <v>5.8908366485541697</v>
      </c>
      <c r="S61" s="12">
        <f t="shared" si="8"/>
        <v>6.7744621458372949</v>
      </c>
      <c r="T61" s="8">
        <f t="shared" si="17"/>
        <v>8.4045321937884637E-2</v>
      </c>
      <c r="U61" s="13">
        <f t="shared" si="9"/>
        <v>14.590577329456682</v>
      </c>
      <c r="V61" s="9">
        <f t="shared" si="10"/>
        <v>73.944575850482224</v>
      </c>
      <c r="W61" s="10"/>
      <c r="X61" s="10"/>
      <c r="Y61" s="7" t="str">
        <f t="shared" si="11"/>
        <v>Apply irrigation</v>
      </c>
      <c r="Z61" s="8">
        <f t="shared" si="16"/>
        <v>0</v>
      </c>
      <c r="AK61" s="55">
        <v>0.24080000000000001</v>
      </c>
    </row>
    <row r="62" spans="1:37" x14ac:dyDescent="0.45">
      <c r="A62" s="25">
        <f>'ETo Penman Montheit FAO 56'!A60</f>
        <v>45804</v>
      </c>
      <c r="B62" s="37">
        <v>57</v>
      </c>
      <c r="C62" s="18">
        <f t="shared" si="18"/>
        <v>28.3</v>
      </c>
      <c r="D62" s="18">
        <f t="shared" si="19"/>
        <v>13.6</v>
      </c>
      <c r="E62" s="7">
        <f t="shared" si="20"/>
        <v>14.700000000000001</v>
      </c>
      <c r="F62" s="54">
        <f t="shared" si="13"/>
        <v>0.50955106850808651</v>
      </c>
      <c r="G62" s="18">
        <f t="shared" si="14"/>
        <v>0.4</v>
      </c>
      <c r="H62" s="18">
        <f t="shared" si="21"/>
        <v>5.8800000000000008</v>
      </c>
      <c r="I62" s="18">
        <f t="shared" si="2"/>
        <v>29.961602828275492</v>
      </c>
      <c r="J62" s="18">
        <f t="shared" si="22"/>
        <v>22.42</v>
      </c>
      <c r="K62" s="8">
        <f t="shared" si="24"/>
        <v>13.692928676686341</v>
      </c>
      <c r="L62" s="8">
        <v>24</v>
      </c>
      <c r="M62" s="12">
        <f t="shared" si="5"/>
        <v>21.910695945847724</v>
      </c>
      <c r="N62" s="12" t="str">
        <f t="shared" si="6"/>
        <v>No</v>
      </c>
      <c r="O62" s="8">
        <f t="shared" si="23"/>
        <v>1.05361311435761E-2</v>
      </c>
      <c r="P62" s="82" t="s">
        <v>62</v>
      </c>
      <c r="Q62" s="38">
        <f>'Kc calculation'!D58</f>
        <v>1.1499999999999999</v>
      </c>
      <c r="R62" s="8">
        <f>'ETo Penman Montheit FAO 56'!AI60</f>
        <v>5.8935159562220063</v>
      </c>
      <c r="S62" s="12">
        <f t="shared" si="8"/>
        <v>6.777543349655307</v>
      </c>
      <c r="T62" s="8">
        <f t="shared" si="17"/>
        <v>7.1409085563240354E-2</v>
      </c>
      <c r="U62" s="13">
        <f t="shared" si="9"/>
        <v>14.60707132331366</v>
      </c>
      <c r="V62" s="9">
        <f t="shared" si="10"/>
        <v>74.430488005683046</v>
      </c>
      <c r="W62" s="10"/>
      <c r="X62" s="10"/>
      <c r="Y62" s="7" t="str">
        <f t="shared" si="11"/>
        <v>Apply irrigation</v>
      </c>
      <c r="Z62" s="8">
        <f t="shared" si="16"/>
        <v>0</v>
      </c>
      <c r="AK62" s="55">
        <v>0.24510000000000004</v>
      </c>
    </row>
    <row r="63" spans="1:37" x14ac:dyDescent="0.45">
      <c r="A63" s="25">
        <f>'ETo Penman Montheit FAO 56'!A61</f>
        <v>45805</v>
      </c>
      <c r="B63" s="37">
        <v>58</v>
      </c>
      <c r="C63" s="18">
        <f t="shared" si="18"/>
        <v>28.3</v>
      </c>
      <c r="D63" s="18">
        <f t="shared" si="19"/>
        <v>13.6</v>
      </c>
      <c r="E63" s="7">
        <f t="shared" si="20"/>
        <v>14.700000000000001</v>
      </c>
      <c r="F63" s="54">
        <f t="shared" si="13"/>
        <v>0.51222396539003734</v>
      </c>
      <c r="G63" s="18">
        <f t="shared" si="14"/>
        <v>0.4</v>
      </c>
      <c r="H63" s="18">
        <f t="shared" si="21"/>
        <v>5.8800000000000008</v>
      </c>
      <c r="I63" s="18">
        <f t="shared" si="2"/>
        <v>30.1187691649342</v>
      </c>
      <c r="J63" s="18">
        <f t="shared" si="22"/>
        <v>22.42</v>
      </c>
      <c r="K63" s="8">
        <f t="shared" si="24"/>
        <v>13.678987687902486</v>
      </c>
      <c r="L63" s="8">
        <v>18</v>
      </c>
      <c r="M63" s="12">
        <f t="shared" si="5"/>
        <v>52.759068435173845</v>
      </c>
      <c r="N63" s="12" t="str">
        <f t="shared" si="6"/>
        <v>Yes</v>
      </c>
      <c r="O63" s="8">
        <f t="shared" si="23"/>
        <v>8.955520170349951E-3</v>
      </c>
      <c r="P63" s="82"/>
      <c r="Q63" s="38">
        <f>'Kc calculation'!D59</f>
        <v>1.1499999999999999</v>
      </c>
      <c r="R63" s="8">
        <f>'ETo Penman Montheit FAO 56'!AI61</f>
        <v>5.8960741488964841</v>
      </c>
      <c r="S63" s="12">
        <f t="shared" si="8"/>
        <v>6.7804852712309565</v>
      </c>
      <c r="T63" s="8">
        <f t="shared" si="17"/>
        <v>6.0722772611269592E-2</v>
      </c>
      <c r="U63" s="13">
        <f t="shared" si="9"/>
        <v>14.621012312097514</v>
      </c>
      <c r="V63" s="9">
        <f t="shared" si="10"/>
        <v>74.892329045191474</v>
      </c>
      <c r="W63" s="10"/>
      <c r="X63" s="10"/>
      <c r="Y63" s="7" t="str">
        <f t="shared" si="11"/>
        <v>Apply irrigation</v>
      </c>
      <c r="Z63" s="8">
        <f t="shared" si="16"/>
        <v>0</v>
      </c>
      <c r="AK63" s="55">
        <v>0.24940000000000001</v>
      </c>
    </row>
    <row r="64" spans="1:37" x14ac:dyDescent="0.45">
      <c r="A64" s="25">
        <f>'ETo Penman Montheit FAO 56'!A62</f>
        <v>45806</v>
      </c>
      <c r="B64" s="37">
        <v>59</v>
      </c>
      <c r="C64" s="18">
        <f t="shared" si="18"/>
        <v>28.3</v>
      </c>
      <c r="D64" s="18">
        <f t="shared" si="19"/>
        <v>13.6</v>
      </c>
      <c r="E64" s="7">
        <f t="shared" si="20"/>
        <v>14.700000000000001</v>
      </c>
      <c r="F64" s="54">
        <f t="shared" si="13"/>
        <v>0.51481787429917625</v>
      </c>
      <c r="G64" s="18">
        <f t="shared" si="14"/>
        <v>0.4</v>
      </c>
      <c r="H64" s="18">
        <f t="shared" si="21"/>
        <v>5.8800000000000008</v>
      </c>
      <c r="I64" s="18">
        <f t="shared" si="2"/>
        <v>30.271291008791568</v>
      </c>
      <c r="J64" s="18">
        <f t="shared" si="22"/>
        <v>22.42</v>
      </c>
      <c r="K64" s="8">
        <f t="shared" si="24"/>
        <v>13.66719268705992</v>
      </c>
      <c r="L64" s="8">
        <v>14</v>
      </c>
      <c r="M64" s="12">
        <f t="shared" si="5"/>
        <v>73.618956024782221</v>
      </c>
      <c r="N64" s="12" t="str">
        <f t="shared" si="6"/>
        <v>Yes</v>
      </c>
      <c r="O64" s="8">
        <f t="shared" si="23"/>
        <v>7.6182184875193126E-3</v>
      </c>
      <c r="P64" s="82"/>
      <c r="Q64" s="38">
        <f>'Kc calculation'!D60</f>
        <v>1.1499999999999999</v>
      </c>
      <c r="R64" s="8">
        <f>'ETo Penman Montheit FAO 56'!AI62</f>
        <v>5.8985124861110236</v>
      </c>
      <c r="S64" s="12">
        <f t="shared" si="8"/>
        <v>6.7832893590276768</v>
      </c>
      <c r="T64" s="8">
        <f t="shared" si="17"/>
        <v>5.1676580401137678E-2</v>
      </c>
      <c r="U64" s="13">
        <f t="shared" si="9"/>
        <v>14.632807312940081</v>
      </c>
      <c r="V64" s="9">
        <f t="shared" si="10"/>
        <v>75.332307558772527</v>
      </c>
      <c r="W64" s="10"/>
      <c r="X64" s="10"/>
      <c r="Y64" s="7" t="str">
        <f t="shared" si="11"/>
        <v>Apply irrigation</v>
      </c>
      <c r="Z64" s="8">
        <f t="shared" si="16"/>
        <v>0</v>
      </c>
      <c r="AK64" s="55">
        <v>0.25369999999999998</v>
      </c>
    </row>
    <row r="65" spans="1:37" x14ac:dyDescent="0.45">
      <c r="A65" s="25">
        <f>'ETo Penman Montheit FAO 56'!A63</f>
        <v>45807</v>
      </c>
      <c r="B65" s="37">
        <v>60</v>
      </c>
      <c r="C65" s="18">
        <f t="shared" si="18"/>
        <v>28.3</v>
      </c>
      <c r="D65" s="18">
        <f t="shared" si="19"/>
        <v>13.6</v>
      </c>
      <c r="E65" s="7">
        <f t="shared" si="20"/>
        <v>14.700000000000001</v>
      </c>
      <c r="F65" s="54">
        <f t="shared" si="13"/>
        <v>0.51733512944446247</v>
      </c>
      <c r="G65" s="18">
        <f t="shared" si="14"/>
        <v>0.4</v>
      </c>
      <c r="H65" s="18">
        <f t="shared" si="21"/>
        <v>5.8800000000000008</v>
      </c>
      <c r="I65" s="18">
        <f t="shared" si="2"/>
        <v>30.419305611334398</v>
      </c>
      <c r="J65" s="18">
        <f t="shared" si="22"/>
        <v>22.42</v>
      </c>
      <c r="K65" s="8">
        <f t="shared" si="24"/>
        <v>13.657203692023641</v>
      </c>
      <c r="L65" s="8">
        <v>22</v>
      </c>
      <c r="M65" s="12">
        <f t="shared" si="5"/>
        <v>32.592113155001137</v>
      </c>
      <c r="N65" s="12" t="str">
        <f t="shared" si="6"/>
        <v>Yes</v>
      </c>
      <c r="O65" s="8">
        <f t="shared" si="23"/>
        <v>6.485679367759789E-3</v>
      </c>
      <c r="P65" s="82"/>
      <c r="Q65" s="38">
        <f>'Kc calculation'!D61</f>
        <v>1.1499999999999999</v>
      </c>
      <c r="R65" s="8">
        <f>'ETo Penman Montheit FAO 56'!AI63</f>
        <v>5.9008321717703263</v>
      </c>
      <c r="S65" s="12">
        <f t="shared" si="8"/>
        <v>6.7859569975358749</v>
      </c>
      <c r="T65" s="8">
        <f t="shared" si="17"/>
        <v>4.4011541289423591E-2</v>
      </c>
      <c r="U65" s="13">
        <f t="shared" si="9"/>
        <v>14.64279630797636</v>
      </c>
      <c r="V65" s="9">
        <f t="shared" si="10"/>
        <v>75.752329234158481</v>
      </c>
      <c r="W65" s="10"/>
      <c r="X65" s="10"/>
      <c r="Y65" s="7" t="str">
        <f t="shared" si="11"/>
        <v>Apply irrigation</v>
      </c>
      <c r="Z65" s="8">
        <f t="shared" si="16"/>
        <v>0</v>
      </c>
      <c r="AK65" s="55">
        <v>0.25799999999999995</v>
      </c>
    </row>
    <row r="66" spans="1:37" x14ac:dyDescent="0.45">
      <c r="A66" s="25">
        <f>'ETo Penman Montheit FAO 56'!A64</f>
        <v>45808</v>
      </c>
      <c r="B66" s="37">
        <v>61</v>
      </c>
      <c r="C66" s="18">
        <f t="shared" si="18"/>
        <v>28.3</v>
      </c>
      <c r="D66" s="18">
        <f t="shared" si="19"/>
        <v>13.6</v>
      </c>
      <c r="E66" s="7">
        <f t="shared" si="20"/>
        <v>14.700000000000001</v>
      </c>
      <c r="F66" s="54">
        <f t="shared" si="13"/>
        <v>0.51977799605560115</v>
      </c>
      <c r="G66" s="18">
        <f t="shared" si="14"/>
        <v>0.4</v>
      </c>
      <c r="H66" s="18">
        <f t="shared" si="21"/>
        <v>5.8800000000000008</v>
      </c>
      <c r="I66" s="18">
        <f t="shared" si="2"/>
        <v>30.562946168069352</v>
      </c>
      <c r="J66" s="18">
        <f t="shared" si="22"/>
        <v>22.42</v>
      </c>
      <c r="K66" s="8">
        <f t="shared" si="24"/>
        <v>13.648736319102238</v>
      </c>
      <c r="L66" s="8">
        <v>13</v>
      </c>
      <c r="M66" s="12">
        <f t="shared" si="5"/>
        <v>79.526033396506975</v>
      </c>
      <c r="N66" s="12" t="str">
        <f t="shared" si="6"/>
        <v>Yes</v>
      </c>
      <c r="O66" s="8">
        <f t="shared" si="23"/>
        <v>5.5256597621584636E-3</v>
      </c>
      <c r="P66" s="82"/>
      <c r="Q66" s="38">
        <f>'Kc calculation'!D62</f>
        <v>1.1499999999999999</v>
      </c>
      <c r="R66" s="8">
        <f>'ETo Penman Montheit FAO 56'!AI64</f>
        <v>5.9030343546654542</v>
      </c>
      <c r="S66" s="12">
        <f t="shared" si="8"/>
        <v>6.7884895078652718</v>
      </c>
      <c r="T66" s="8">
        <f t="shared" si="17"/>
        <v>3.7510883319446041E-2</v>
      </c>
      <c r="U66" s="13">
        <f t="shared" si="9"/>
        <v>14.651263680897763</v>
      </c>
      <c r="V66" s="9">
        <f t="shared" si="10"/>
        <v>76.154044757392498</v>
      </c>
      <c r="W66" s="10"/>
      <c r="X66" s="10"/>
      <c r="Y66" s="7" t="str">
        <f t="shared" si="11"/>
        <v>Apply irrigation</v>
      </c>
      <c r="Z66" s="8">
        <f t="shared" si="16"/>
        <v>0</v>
      </c>
      <c r="AK66" s="55">
        <v>0.26230000000000003</v>
      </c>
    </row>
    <row r="67" spans="1:37" x14ac:dyDescent="0.45">
      <c r="A67" s="25">
        <f>'ETo Penman Montheit FAO 56'!A65</f>
        <v>45809</v>
      </c>
      <c r="B67" s="37">
        <v>62</v>
      </c>
      <c r="C67" s="18">
        <f t="shared" ref="C67:C130" si="25">C66</f>
        <v>28.3</v>
      </c>
      <c r="D67" s="18">
        <f t="shared" ref="D67:D130" si="26">D66</f>
        <v>13.6</v>
      </c>
      <c r="E67" s="7">
        <f t="shared" si="20"/>
        <v>14.700000000000001</v>
      </c>
      <c r="F67" s="54">
        <f t="shared" si="13"/>
        <v>0.52214867242147944</v>
      </c>
      <c r="G67" s="18">
        <f t="shared" si="14"/>
        <v>0.4</v>
      </c>
      <c r="H67" s="18">
        <f t="shared" si="21"/>
        <v>5.8800000000000008</v>
      </c>
      <c r="I67" s="18">
        <f t="shared" si="2"/>
        <v>30.702341938382993</v>
      </c>
      <c r="J67" s="18">
        <f t="shared" si="22"/>
        <v>22.42</v>
      </c>
      <c r="K67" s="8">
        <f t="shared" si="24"/>
        <v>13.641552372211118</v>
      </c>
      <c r="L67" s="8">
        <v>12</v>
      </c>
      <c r="M67" s="12">
        <f t="shared" si="5"/>
        <v>85.110233604701165</v>
      </c>
      <c r="N67" s="12" t="str">
        <f t="shared" si="6"/>
        <v>Yes</v>
      </c>
      <c r="O67" s="8">
        <f t="shared" si="23"/>
        <v>4.7111533119181814E-3</v>
      </c>
      <c r="P67" s="82"/>
      <c r="Q67" s="38">
        <f>'Kc calculation'!D63</f>
        <v>1.1499999999999999</v>
      </c>
      <c r="R67" s="8">
        <f>'ETo Penman Montheit FAO 56'!AI65</f>
        <v>5.9051201289837536</v>
      </c>
      <c r="S67" s="12">
        <f t="shared" si="8"/>
        <v>6.7908881483313159</v>
      </c>
      <c r="T67" s="8">
        <f t="shared" si="17"/>
        <v>3.1992915190877005E-2</v>
      </c>
      <c r="U67" s="13">
        <f t="shared" si="9"/>
        <v>14.658447627788883</v>
      </c>
      <c r="V67" s="9">
        <f t="shared" si="10"/>
        <v>76.538889686097505</v>
      </c>
      <c r="W67" s="10"/>
      <c r="X67" s="10"/>
      <c r="Y67" s="7" t="str">
        <f t="shared" si="11"/>
        <v>Apply irrigation</v>
      </c>
      <c r="Z67" s="8">
        <f t="shared" si="16"/>
        <v>0</v>
      </c>
      <c r="AK67" s="55">
        <v>0.2666</v>
      </c>
    </row>
    <row r="68" spans="1:37" x14ac:dyDescent="0.45">
      <c r="A68" s="25">
        <f>'ETo Penman Montheit FAO 56'!A66</f>
        <v>45810</v>
      </c>
      <c r="B68" s="37">
        <v>63</v>
      </c>
      <c r="C68" s="18">
        <f t="shared" si="25"/>
        <v>28.3</v>
      </c>
      <c r="D68" s="18">
        <f t="shared" si="26"/>
        <v>13.6</v>
      </c>
      <c r="E68" s="7">
        <f t="shared" si="20"/>
        <v>14.700000000000001</v>
      </c>
      <c r="F68" s="54">
        <f t="shared" si="13"/>
        <v>0.52444929186836542</v>
      </c>
      <c r="G68" s="18">
        <f t="shared" si="14"/>
        <v>0.4</v>
      </c>
      <c r="H68" s="18">
        <f t="shared" si="21"/>
        <v>5.8800000000000008</v>
      </c>
      <c r="I68" s="18">
        <f t="shared" si="2"/>
        <v>30.837618361859889</v>
      </c>
      <c r="J68" s="18">
        <f t="shared" si="22"/>
        <v>22.42</v>
      </c>
      <c r="K68" s="8">
        <f t="shared" si="24"/>
        <v>13.635452084597629</v>
      </c>
      <c r="L68" s="8">
        <v>16</v>
      </c>
      <c r="M68" s="12">
        <f t="shared" si="5"/>
        <v>64.507262899808964</v>
      </c>
      <c r="N68" s="12" t="str">
        <f t="shared" si="6"/>
        <v>Yes</v>
      </c>
      <c r="O68" s="8">
        <f t="shared" si="23"/>
        <v>4.0195107253547802E-3</v>
      </c>
      <c r="P68" s="82"/>
      <c r="Q68" s="38">
        <f>'Kc calculation'!D64</f>
        <v>1.1499999999999999</v>
      </c>
      <c r="R68" s="8">
        <f>'ETo Penman Montheit FAO 56'!AI66</f>
        <v>5.9070905348118457</v>
      </c>
      <c r="S68" s="12">
        <f t="shared" si="8"/>
        <v>6.7931541150336221</v>
      </c>
      <c r="T68" s="8">
        <f t="shared" si="17"/>
        <v>2.7305155824365605E-2</v>
      </c>
      <c r="U68" s="13">
        <f t="shared" si="9"/>
        <v>14.664547915402371</v>
      </c>
      <c r="V68" s="9">
        <f t="shared" si="10"/>
        <v>76.908117698024867</v>
      </c>
      <c r="W68" s="10"/>
      <c r="X68" s="10"/>
      <c r="Y68" s="7" t="str">
        <f t="shared" si="11"/>
        <v>Apply irrigation</v>
      </c>
      <c r="Z68" s="8">
        <f t="shared" si="16"/>
        <v>0</v>
      </c>
      <c r="AK68" s="55">
        <v>0.27089999999999997</v>
      </c>
    </row>
    <row r="69" spans="1:37" x14ac:dyDescent="0.45">
      <c r="A69" s="25">
        <f>'ETo Penman Montheit FAO 56'!A67</f>
        <v>45811</v>
      </c>
      <c r="B69" s="37">
        <v>64</v>
      </c>
      <c r="C69" s="18">
        <f t="shared" si="25"/>
        <v>28.3</v>
      </c>
      <c r="D69" s="18">
        <f t="shared" si="26"/>
        <v>13.6</v>
      </c>
      <c r="E69" s="7">
        <f t="shared" si="20"/>
        <v>14.700000000000001</v>
      </c>
      <c r="F69" s="54">
        <f t="shared" si="13"/>
        <v>0.52668192467964714</v>
      </c>
      <c r="G69" s="18">
        <f t="shared" si="14"/>
        <v>0.4</v>
      </c>
      <c r="H69" s="18">
        <f t="shared" si="21"/>
        <v>5.8800000000000008</v>
      </c>
      <c r="I69" s="18">
        <f t="shared" si="2"/>
        <v>30.968897171163256</v>
      </c>
      <c r="J69" s="18">
        <f t="shared" si="22"/>
        <v>22.42</v>
      </c>
      <c r="K69" s="8">
        <f t="shared" si="24"/>
        <v>13.630267711535847</v>
      </c>
      <c r="L69" s="8">
        <v>18</v>
      </c>
      <c r="M69" s="12">
        <f t="shared" si="5"/>
        <v>54.248238242003659</v>
      </c>
      <c r="N69" s="12" t="str">
        <f t="shared" si="6"/>
        <v>Yes</v>
      </c>
      <c r="O69" s="8">
        <f t="shared" si="23"/>
        <v>3.4317133260598487E-3</v>
      </c>
      <c r="P69" s="82"/>
      <c r="Q69" s="38">
        <f>'Kc calculation'!D65</f>
        <v>1.1499999999999999</v>
      </c>
      <c r="R69" s="8">
        <f>'ETo Penman Montheit FAO 56'!AI67</f>
        <v>5.9089465586298777</v>
      </c>
      <c r="S69" s="12">
        <f t="shared" si="8"/>
        <v>6.795288542424359</v>
      </c>
      <c r="T69" s="8">
        <f t="shared" si="17"/>
        <v>2.3319482245459478E-2</v>
      </c>
      <c r="U69" s="13">
        <f t="shared" si="9"/>
        <v>14.669732288464154</v>
      </c>
      <c r="V69" s="9">
        <f t="shared" si="10"/>
        <v>77.262828362234657</v>
      </c>
      <c r="W69" s="10"/>
      <c r="X69" s="10"/>
      <c r="Y69" s="7" t="str">
        <f t="shared" si="11"/>
        <v>Apply irrigation</v>
      </c>
      <c r="Z69" s="8">
        <f t="shared" si="16"/>
        <v>0</v>
      </c>
      <c r="AK69" s="55">
        <v>0.27520000000000006</v>
      </c>
    </row>
    <row r="70" spans="1:37" x14ac:dyDescent="0.45">
      <c r="A70" s="25">
        <f>'ETo Penman Montheit FAO 56'!A68</f>
        <v>45812</v>
      </c>
      <c r="B70" s="37">
        <v>65</v>
      </c>
      <c r="C70" s="18">
        <f t="shared" si="25"/>
        <v>28.3</v>
      </c>
      <c r="D70" s="18">
        <f t="shared" si="26"/>
        <v>13.6</v>
      </c>
      <c r="E70" s="7">
        <f t="shared" si="20"/>
        <v>14.700000000000001</v>
      </c>
      <c r="F70" s="54">
        <f t="shared" si="13"/>
        <v>0.52884857995884105</v>
      </c>
      <c r="G70" s="18">
        <f t="shared" si="14"/>
        <v>0.4</v>
      </c>
      <c r="H70" s="18">
        <f t="shared" si="21"/>
        <v>5.8800000000000008</v>
      </c>
      <c r="I70" s="18">
        <f t="shared" si="2"/>
        <v>31.096296501579857</v>
      </c>
      <c r="J70" s="18">
        <f t="shared" si="22"/>
        <v>22.42</v>
      </c>
      <c r="K70" s="8">
        <f t="shared" si="24"/>
        <v>13.62585822966728</v>
      </c>
      <c r="L70" s="8">
        <v>18</v>
      </c>
      <c r="M70" s="12">
        <f t="shared" si="5"/>
        <v>54.471403735760632</v>
      </c>
      <c r="N70" s="12" t="str">
        <f t="shared" si="6"/>
        <v>Yes</v>
      </c>
      <c r="O70" s="8">
        <f t="shared" ref="O70:O100" si="27">IF(K70&gt;J70,1,(1-(J70-K70)/(J70-D70)))</f>
        <v>2.9317720711201645E-3</v>
      </c>
      <c r="P70" s="82"/>
      <c r="Q70" s="38">
        <f>'Kc calculation'!D66</f>
        <v>1.1499999999999999</v>
      </c>
      <c r="R70" s="8">
        <f>'ETo Penman Montheit FAO 56'!AI68</f>
        <v>5.9106891337952741</v>
      </c>
      <c r="S70" s="12">
        <f t="shared" si="8"/>
        <v>6.7972925038645648</v>
      </c>
      <c r="T70" s="8">
        <f t="shared" si="17"/>
        <v>1.9928112322064585E-2</v>
      </c>
      <c r="U70" s="13">
        <f t="shared" si="9"/>
        <v>14.674141770332721</v>
      </c>
      <c r="V70" s="9">
        <f t="shared" si="10"/>
        <v>77.603990373551724</v>
      </c>
      <c r="W70" s="10"/>
      <c r="X70" s="10"/>
      <c r="Y70" s="7" t="str">
        <f t="shared" si="11"/>
        <v>Apply irrigation</v>
      </c>
      <c r="Z70" s="8">
        <f t="shared" si="16"/>
        <v>0</v>
      </c>
      <c r="AK70" s="55">
        <v>0.27950000000000003</v>
      </c>
    </row>
    <row r="71" spans="1:37" x14ac:dyDescent="0.45">
      <c r="A71" s="25">
        <f>'ETo Penman Montheit FAO 56'!A69</f>
        <v>45813</v>
      </c>
      <c r="B71" s="37">
        <v>66</v>
      </c>
      <c r="C71" s="18">
        <f t="shared" si="25"/>
        <v>28.3</v>
      </c>
      <c r="D71" s="18">
        <f t="shared" si="26"/>
        <v>13.6</v>
      </c>
      <c r="E71" s="7">
        <f t="shared" si="20"/>
        <v>14.700000000000001</v>
      </c>
      <c r="F71" s="54">
        <f t="shared" si="13"/>
        <v>0.53095120743754576</v>
      </c>
      <c r="G71" s="18">
        <f t="shared" si="14"/>
        <v>0.4</v>
      </c>
      <c r="H71" s="18">
        <f t="shared" si="21"/>
        <v>5.8800000000000008</v>
      </c>
      <c r="I71" s="18">
        <f t="shared" ref="I71:I100" si="28">H71/100*F71*1000</f>
        <v>31.219930997327694</v>
      </c>
      <c r="J71" s="18">
        <f t="shared" si="22"/>
        <v>22.42</v>
      </c>
      <c r="K71" s="8">
        <f t="shared" si="24"/>
        <v>13.622104944611532</v>
      </c>
      <c r="L71" s="8">
        <v>28</v>
      </c>
      <c r="M71" s="12">
        <f t="shared" ref="M71:M100" si="29">(C71-L71)/100*F71*1000</f>
        <v>1.592853622312641</v>
      </c>
      <c r="N71" s="12" t="str">
        <f t="shared" ref="N71:N134" si="30">IF(ISBLANK(L71), "Please use climatic approach", IF(M71 &gt; I71, "Yes", "No"))</f>
        <v>No</v>
      </c>
      <c r="O71" s="8">
        <f t="shared" si="27"/>
        <v>2.5062295477927821E-3</v>
      </c>
      <c r="P71" s="82"/>
      <c r="Q71" s="38">
        <f>'Kc calculation'!D67</f>
        <v>1.1499999999999999</v>
      </c>
      <c r="R71" s="8">
        <f>'ETo Penman Montheit FAO 56'!AI69</f>
        <v>5.9123191410141809</v>
      </c>
      <c r="S71" s="12">
        <f t="shared" ref="S71:S100" si="31">Q71*R71</f>
        <v>6.7991670121663077</v>
      </c>
      <c r="T71" s="8">
        <f t="shared" si="17"/>
        <v>1.7040273266269168E-2</v>
      </c>
      <c r="U71" s="13">
        <f t="shared" ref="U71:U100" si="32">C71-K71</f>
        <v>14.677895055388468</v>
      </c>
      <c r="V71" s="9">
        <f t="shared" ref="V71:V100" si="33">IF(((U71/100)*F71*1000-(X71+W71))&gt;0,((U71/100)*F71*1000-(X71+W71)),0)</f>
        <v>77.932461023000897</v>
      </c>
      <c r="W71" s="10"/>
      <c r="X71" s="10"/>
      <c r="Y71" s="7" t="str">
        <f t="shared" ref="Y71:Y100" si="34">IF(K71&gt;J71,"Do not apply irrigation","Apply irrigation")</f>
        <v>Apply irrigation</v>
      </c>
      <c r="Z71" s="8">
        <f t="shared" si="16"/>
        <v>0</v>
      </c>
      <c r="AK71" s="55">
        <v>0.2838</v>
      </c>
    </row>
    <row r="72" spans="1:37" x14ac:dyDescent="0.45">
      <c r="A72" s="25">
        <f>'ETo Penman Montheit FAO 56'!A70</f>
        <v>45814</v>
      </c>
      <c r="B72" s="37">
        <v>67</v>
      </c>
      <c r="C72" s="18">
        <f t="shared" si="25"/>
        <v>28.3</v>
      </c>
      <c r="D72" s="18">
        <f t="shared" si="26"/>
        <v>13.6</v>
      </c>
      <c r="E72" s="7">
        <f t="shared" si="20"/>
        <v>14.700000000000001</v>
      </c>
      <c r="F72" s="54">
        <f t="shared" ref="F72:F135" si="35">$F$6+(0.6-$F$6)*(1-2.718^((-0.03*B72)))</f>
        <v>0.53299169922996847</v>
      </c>
      <c r="G72" s="18">
        <f t="shared" ref="G72:G135" si="36">G71</f>
        <v>0.4</v>
      </c>
      <c r="H72" s="18">
        <f t="shared" si="21"/>
        <v>5.8800000000000008</v>
      </c>
      <c r="I72" s="18">
        <f t="shared" si="28"/>
        <v>31.339911914722151</v>
      </c>
      <c r="J72" s="18">
        <f t="shared" si="22"/>
        <v>22.42</v>
      </c>
      <c r="K72" s="8">
        <f t="shared" ref="K72:K100" si="37">IF((K71-(T71*100/(F72*1000))+((W72+X72)*100)/(F72*1000))&gt;C71,C71,(K71-(T71*100/(F72*1000))+((W72+X72)*100)/(F72*1000)))</f>
        <v>13.618907845427644</v>
      </c>
      <c r="L72" s="8">
        <v>25</v>
      </c>
      <c r="M72" s="12">
        <f t="shared" si="29"/>
        <v>17.588726074588962</v>
      </c>
      <c r="N72" s="12" t="str">
        <f t="shared" si="30"/>
        <v>No</v>
      </c>
      <c r="O72" s="8">
        <f t="shared" si="27"/>
        <v>2.1437466471252442E-3</v>
      </c>
      <c r="P72" s="82"/>
      <c r="Q72" s="38">
        <f>'Kc calculation'!D68</f>
        <v>1.1499999999999999</v>
      </c>
      <c r="R72" s="8">
        <f>'ETo Penman Montheit FAO 56'!AI70</f>
        <v>5.9138374087988854</v>
      </c>
      <c r="S72" s="12">
        <f t="shared" si="31"/>
        <v>6.8009130201187178</v>
      </c>
      <c r="T72" s="8">
        <f t="shared" si="17"/>
        <v>1.457943448426992E-2</v>
      </c>
      <c r="U72" s="13">
        <f t="shared" si="32"/>
        <v>14.681092154572356</v>
      </c>
      <c r="V72" s="9">
        <f t="shared" si="33"/>
        <v>78.249002540172796</v>
      </c>
      <c r="W72" s="10"/>
      <c r="X72" s="10"/>
      <c r="Y72" s="7" t="str">
        <f t="shared" si="34"/>
        <v>Apply irrigation</v>
      </c>
      <c r="Z72" s="8">
        <f t="shared" ref="Z72:Z100" si="38">IF((K71-(T71*100/(F72*1000))+(W72+X72)*100/(F72*1000))&gt;C71,(K71-(T71*100/(F72*1000))+(W72+X72)*100/(F72*1000))-C72,0)</f>
        <v>0</v>
      </c>
      <c r="AK72" s="55">
        <v>0.28809999999999997</v>
      </c>
    </row>
    <row r="73" spans="1:37" x14ac:dyDescent="0.45">
      <c r="A73" s="25">
        <f>'ETo Penman Montheit FAO 56'!A71</f>
        <v>45815</v>
      </c>
      <c r="B73" s="37">
        <v>68</v>
      </c>
      <c r="C73" s="18">
        <f t="shared" si="25"/>
        <v>28.3</v>
      </c>
      <c r="D73" s="18">
        <f t="shared" si="26"/>
        <v>13.6</v>
      </c>
      <c r="E73" s="7">
        <f t="shared" si="20"/>
        <v>14.700000000000001</v>
      </c>
      <c r="F73" s="54">
        <f t="shared" si="35"/>
        <v>0.53497189153560165</v>
      </c>
      <c r="G73" s="18">
        <f t="shared" si="36"/>
        <v>0.4</v>
      </c>
      <c r="H73" s="18">
        <f t="shared" si="21"/>
        <v>5.8800000000000008</v>
      </c>
      <c r="I73" s="18">
        <f t="shared" si="28"/>
        <v>31.456347222293381</v>
      </c>
      <c r="J73" s="18">
        <f t="shared" si="22"/>
        <v>22.42</v>
      </c>
      <c r="K73" s="8">
        <f t="shared" si="37"/>
        <v>13.616182574303133</v>
      </c>
      <c r="L73" s="8">
        <v>28</v>
      </c>
      <c r="M73" s="12">
        <f t="shared" si="29"/>
        <v>1.6049156746068087</v>
      </c>
      <c r="N73" s="12" t="str">
        <f t="shared" si="30"/>
        <v>No</v>
      </c>
      <c r="O73" s="8">
        <f t="shared" si="27"/>
        <v>1.8347589912850459E-3</v>
      </c>
      <c r="P73" s="82"/>
      <c r="Q73" s="38">
        <f>'Kc calculation'!D69</f>
        <v>1.1499999999999999</v>
      </c>
      <c r="R73" s="8">
        <f>'ETo Penman Montheit FAO 56'!AI71</f>
        <v>5.9152447139094528</v>
      </c>
      <c r="S73" s="12">
        <f t="shared" si="31"/>
        <v>6.8025314209958703</v>
      </c>
      <c r="T73" s="8">
        <f t="shared" si="17"/>
        <v>1.2481005688171213E-2</v>
      </c>
      <c r="U73" s="13">
        <f t="shared" si="32"/>
        <v>14.683817425696867</v>
      </c>
      <c r="V73" s="9">
        <f t="shared" si="33"/>
        <v>78.554295831884815</v>
      </c>
      <c r="W73" s="10"/>
      <c r="X73" s="10"/>
      <c r="Y73" s="7" t="str">
        <f t="shared" si="34"/>
        <v>Apply irrigation</v>
      </c>
      <c r="Z73" s="8">
        <f t="shared" si="38"/>
        <v>0</v>
      </c>
      <c r="AK73" s="55">
        <v>0.29240000000000005</v>
      </c>
    </row>
    <row r="74" spans="1:37" x14ac:dyDescent="0.45">
      <c r="A74" s="25">
        <f>'ETo Penman Montheit FAO 56'!A72</f>
        <v>45816</v>
      </c>
      <c r="B74" s="37">
        <v>69</v>
      </c>
      <c r="C74" s="18">
        <f t="shared" si="25"/>
        <v>28.3</v>
      </c>
      <c r="D74" s="18">
        <f t="shared" si="26"/>
        <v>13.6</v>
      </c>
      <c r="E74" s="7">
        <f t="shared" si="20"/>
        <v>14.700000000000001</v>
      </c>
      <c r="F74" s="54">
        <f t="shared" si="35"/>
        <v>0.53689356629158469</v>
      </c>
      <c r="G74" s="18">
        <f t="shared" si="36"/>
        <v>0.4</v>
      </c>
      <c r="H74" s="18">
        <f t="shared" si="21"/>
        <v>5.8800000000000008</v>
      </c>
      <c r="I74" s="18">
        <f t="shared" si="28"/>
        <v>31.56934169794518</v>
      </c>
      <c r="J74" s="18">
        <f t="shared" si="22"/>
        <v>22.42</v>
      </c>
      <c r="K74" s="8">
        <f t="shared" si="37"/>
        <v>13.613857903926771</v>
      </c>
      <c r="L74" s="8">
        <v>23</v>
      </c>
      <c r="M74" s="12">
        <f t="shared" si="29"/>
        <v>28.45535901345399</v>
      </c>
      <c r="N74" s="12" t="str">
        <f t="shared" si="30"/>
        <v>No</v>
      </c>
      <c r="O74" s="8">
        <f t="shared" si="27"/>
        <v>1.5711909214026765E-3</v>
      </c>
      <c r="P74" s="82"/>
      <c r="Q74" s="38">
        <f>'Kc calculation'!D70</f>
        <v>1.1499999999999999</v>
      </c>
      <c r="R74" s="8">
        <f>'ETo Penman Montheit FAO 56'!AI72</f>
        <v>5.9165417817779078</v>
      </c>
      <c r="S74" s="12">
        <f t="shared" si="31"/>
        <v>6.8040230490445932</v>
      </c>
      <c r="T74" s="8">
        <f t="shared" si="17"/>
        <v>1.0690419243673423E-2</v>
      </c>
      <c r="U74" s="13">
        <f t="shared" si="32"/>
        <v>14.68614209607323</v>
      </c>
      <c r="V74" s="9">
        <f t="shared" si="33"/>
        <v>78.848952050257239</v>
      </c>
      <c r="W74" s="10"/>
      <c r="X74" s="10"/>
      <c r="Y74" s="7" t="str">
        <f t="shared" si="34"/>
        <v>Apply irrigation</v>
      </c>
      <c r="Z74" s="8">
        <f t="shared" si="38"/>
        <v>0</v>
      </c>
      <c r="AK74" s="55">
        <v>0.29670000000000002</v>
      </c>
    </row>
    <row r="75" spans="1:37" x14ac:dyDescent="0.45">
      <c r="A75" s="25">
        <f>'ETo Penman Montheit FAO 56'!A73</f>
        <v>45817</v>
      </c>
      <c r="B75" s="37">
        <v>70</v>
      </c>
      <c r="C75" s="18">
        <f t="shared" si="25"/>
        <v>28.3</v>
      </c>
      <c r="D75" s="18">
        <f t="shared" si="26"/>
        <v>13.6</v>
      </c>
      <c r="E75" s="7">
        <f t="shared" si="20"/>
        <v>14.700000000000001</v>
      </c>
      <c r="F75" s="54">
        <f t="shared" si="35"/>
        <v>0.53875845277623413</v>
      </c>
      <c r="G75" s="18">
        <f t="shared" si="36"/>
        <v>0.4</v>
      </c>
      <c r="H75" s="18">
        <f t="shared" si="21"/>
        <v>5.8800000000000008</v>
      </c>
      <c r="I75" s="18">
        <f t="shared" si="28"/>
        <v>31.678997023242569</v>
      </c>
      <c r="J75" s="18">
        <f t="shared" si="22"/>
        <v>22.42</v>
      </c>
      <c r="K75" s="8">
        <f t="shared" si="37"/>
        <v>13.61187363450351</v>
      </c>
      <c r="L75" s="8">
        <v>27</v>
      </c>
      <c r="M75" s="12">
        <f t="shared" si="29"/>
        <v>7.003859886091047</v>
      </c>
      <c r="N75" s="12" t="str">
        <f t="shared" si="30"/>
        <v>No</v>
      </c>
      <c r="O75" s="8">
        <f t="shared" si="27"/>
        <v>1.3462170638900428E-3</v>
      </c>
      <c r="P75" s="82"/>
      <c r="Q75" s="38">
        <f>'Kc calculation'!D71</f>
        <v>1.1499999999999999</v>
      </c>
      <c r="R75" s="8">
        <f>'ETo Penman Montheit FAO 56'!AI73</f>
        <v>5.9177292869132794</v>
      </c>
      <c r="S75" s="12">
        <f t="shared" si="31"/>
        <v>6.805388679950271</v>
      </c>
      <c r="T75" s="8">
        <f t="shared" si="17"/>
        <v>9.1615303673531889E-3</v>
      </c>
      <c r="U75" s="13">
        <f t="shared" si="32"/>
        <v>14.68812636549649</v>
      </c>
      <c r="V75" s="9">
        <f t="shared" si="33"/>
        <v>79.133522348567013</v>
      </c>
      <c r="W75" s="10"/>
      <c r="X75" s="10"/>
      <c r="Y75" s="7" t="str">
        <f t="shared" si="34"/>
        <v>Apply irrigation</v>
      </c>
      <c r="Z75" s="8">
        <f t="shared" si="38"/>
        <v>0</v>
      </c>
      <c r="AK75" s="55">
        <v>0.30099999999999999</v>
      </c>
    </row>
    <row r="76" spans="1:37" x14ac:dyDescent="0.45">
      <c r="A76" s="25">
        <f>'ETo Penman Montheit FAO 56'!A74</f>
        <v>45818</v>
      </c>
      <c r="B76" s="37">
        <v>71</v>
      </c>
      <c r="C76" s="18">
        <f t="shared" si="25"/>
        <v>28.3</v>
      </c>
      <c r="D76" s="18">
        <f t="shared" si="26"/>
        <v>13.6</v>
      </c>
      <c r="E76" s="7">
        <f t="shared" si="20"/>
        <v>14.700000000000001</v>
      </c>
      <c r="F76" s="54">
        <f t="shared" si="35"/>
        <v>0.54056822916518876</v>
      </c>
      <c r="G76" s="18">
        <f t="shared" si="36"/>
        <v>0.4</v>
      </c>
      <c r="H76" s="18">
        <f t="shared" si="21"/>
        <v>5.8800000000000008</v>
      </c>
      <c r="I76" s="18">
        <f t="shared" si="28"/>
        <v>31.785411874913098</v>
      </c>
      <c r="J76" s="18">
        <f t="shared" si="22"/>
        <v>22.42</v>
      </c>
      <c r="K76" s="8">
        <f t="shared" si="37"/>
        <v>13.610178838199721</v>
      </c>
      <c r="L76" s="8">
        <v>16</v>
      </c>
      <c r="M76" s="12">
        <f t="shared" si="29"/>
        <v>66.489892187318219</v>
      </c>
      <c r="N76" s="12" t="str">
        <f t="shared" si="30"/>
        <v>Yes</v>
      </c>
      <c r="O76" s="8">
        <f t="shared" si="27"/>
        <v>1.1540632879502022E-3</v>
      </c>
      <c r="P76" s="82"/>
      <c r="Q76" s="38">
        <f>'Kc calculation'!D72</f>
        <v>1.1499999999999999</v>
      </c>
      <c r="R76" s="8">
        <f>'ETo Penman Montheit FAO 56'!AI74</f>
        <v>5.9188078532859212</v>
      </c>
      <c r="S76" s="12">
        <f t="shared" si="31"/>
        <v>6.8066290312788089</v>
      </c>
      <c r="T76" s="8">
        <f t="shared" si="17"/>
        <v>7.8552806796949211E-3</v>
      </c>
      <c r="U76" s="13">
        <f t="shared" si="32"/>
        <v>14.68982116180028</v>
      </c>
      <c r="V76" s="9">
        <f t="shared" si="33"/>
        <v>79.408506121876925</v>
      </c>
      <c r="W76" s="10"/>
      <c r="X76" s="10"/>
      <c r="Y76" s="7" t="str">
        <f t="shared" si="34"/>
        <v>Apply irrigation</v>
      </c>
      <c r="Z76" s="8">
        <f t="shared" si="38"/>
        <v>0</v>
      </c>
      <c r="AK76" s="55">
        <v>0.30529999999999996</v>
      </c>
    </row>
    <row r="77" spans="1:37" x14ac:dyDescent="0.45">
      <c r="A77" s="25">
        <f>'ETo Penman Montheit FAO 56'!A75</f>
        <v>45819</v>
      </c>
      <c r="B77" s="37">
        <v>72</v>
      </c>
      <c r="C77" s="18">
        <f t="shared" si="25"/>
        <v>28.3</v>
      </c>
      <c r="D77" s="18">
        <f t="shared" si="26"/>
        <v>13.6</v>
      </c>
      <c r="E77" s="7">
        <f t="shared" si="20"/>
        <v>14.700000000000001</v>
      </c>
      <c r="F77" s="54">
        <f t="shared" si="35"/>
        <v>0.54232452404156761</v>
      </c>
      <c r="G77" s="18">
        <f t="shared" si="36"/>
        <v>0.4</v>
      </c>
      <c r="H77" s="18">
        <f t="shared" si="21"/>
        <v>5.8800000000000008</v>
      </c>
      <c r="I77" s="18">
        <f t="shared" si="28"/>
        <v>31.888682013644178</v>
      </c>
      <c r="J77" s="18">
        <f t="shared" si="22"/>
        <v>22.42</v>
      </c>
      <c r="K77" s="8">
        <f t="shared" si="37"/>
        <v>13.60873039168265</v>
      </c>
      <c r="L77" s="8">
        <v>15</v>
      </c>
      <c r="M77" s="12">
        <f t="shared" si="29"/>
        <v>72.129161697528488</v>
      </c>
      <c r="N77" s="12" t="str">
        <f t="shared" si="30"/>
        <v>Yes</v>
      </c>
      <c r="O77" s="8">
        <f t="shared" si="27"/>
        <v>9.8984032683113732E-4</v>
      </c>
      <c r="P77" s="82"/>
      <c r="Q77" s="38">
        <f>'Kc calculation'!D73</f>
        <v>1.1499999999999999</v>
      </c>
      <c r="R77" s="8">
        <f>'ETo Penman Montheit FAO 56'!AI75</f>
        <v>5.9197780546895729</v>
      </c>
      <c r="S77" s="12">
        <f t="shared" si="31"/>
        <v>6.8077447628930079</v>
      </c>
      <c r="T77" s="8">
        <f t="shared" si="17"/>
        <v>6.7385803010849782E-3</v>
      </c>
      <c r="U77" s="13">
        <f t="shared" si="32"/>
        <v>14.69126960831735</v>
      </c>
      <c r="V77" s="9">
        <f t="shared" si="33"/>
        <v>79.674357978970548</v>
      </c>
      <c r="W77" s="10"/>
      <c r="X77" s="10"/>
      <c r="Y77" s="7" t="str">
        <f t="shared" si="34"/>
        <v>Apply irrigation</v>
      </c>
      <c r="Z77" s="8">
        <f t="shared" si="38"/>
        <v>0</v>
      </c>
      <c r="AK77" s="55">
        <v>0.30960000000000004</v>
      </c>
    </row>
    <row r="78" spans="1:37" x14ac:dyDescent="0.45">
      <c r="A78" s="25">
        <f>'ETo Penman Montheit FAO 56'!A76</f>
        <v>45820</v>
      </c>
      <c r="B78" s="37">
        <v>73</v>
      </c>
      <c r="C78" s="18">
        <f t="shared" si="25"/>
        <v>28.3</v>
      </c>
      <c r="D78" s="18">
        <f t="shared" si="26"/>
        <v>13.6</v>
      </c>
      <c r="E78" s="7">
        <f t="shared" si="20"/>
        <v>14.700000000000001</v>
      </c>
      <c r="F78" s="54">
        <f t="shared" si="35"/>
        <v>0.54402891786150009</v>
      </c>
      <c r="G78" s="18">
        <f t="shared" si="36"/>
        <v>0.4</v>
      </c>
      <c r="H78" s="18">
        <f t="shared" si="21"/>
        <v>5.8800000000000008</v>
      </c>
      <c r="I78" s="18">
        <f t="shared" si="28"/>
        <v>31.988900370256207</v>
      </c>
      <c r="J78" s="18">
        <f t="shared" si="22"/>
        <v>22.42</v>
      </c>
      <c r="K78" s="8">
        <f t="shared" si="37"/>
        <v>13.6074917479121</v>
      </c>
      <c r="L78" s="8">
        <v>14</v>
      </c>
      <c r="M78" s="12">
        <f t="shared" si="29"/>
        <v>77.796135254194525</v>
      </c>
      <c r="N78" s="12" t="str">
        <f t="shared" si="30"/>
        <v>Yes</v>
      </c>
      <c r="O78" s="8">
        <f t="shared" si="27"/>
        <v>8.4940452518145193E-4</v>
      </c>
      <c r="P78" s="82"/>
      <c r="Q78" s="38">
        <f>'Kc calculation'!D74</f>
        <v>1.1499999999999999</v>
      </c>
      <c r="R78" s="8">
        <f>'ETo Penman Montheit FAO 56'!AI76</f>
        <v>5.9206404150796557</v>
      </c>
      <c r="S78" s="12">
        <f t="shared" si="31"/>
        <v>6.8087364773416033</v>
      </c>
      <c r="T78" s="8">
        <f t="shared" si="17"/>
        <v>5.7833715746219766E-3</v>
      </c>
      <c r="U78" s="13">
        <f t="shared" si="32"/>
        <v>14.692508252087901</v>
      </c>
      <c r="V78" s="9">
        <f t="shared" si="33"/>
        <v>79.93149365054542</v>
      </c>
      <c r="W78" s="10"/>
      <c r="X78" s="10"/>
      <c r="Y78" s="7" t="str">
        <f t="shared" si="34"/>
        <v>Apply irrigation</v>
      </c>
      <c r="Z78" s="8">
        <f t="shared" si="38"/>
        <v>0</v>
      </c>
      <c r="AK78" s="55">
        <v>0.31390000000000001</v>
      </c>
    </row>
    <row r="79" spans="1:37" x14ac:dyDescent="0.45">
      <c r="A79" s="25">
        <f>'ETo Penman Montheit FAO 56'!A77</f>
        <v>45821</v>
      </c>
      <c r="B79" s="37">
        <v>74</v>
      </c>
      <c r="C79" s="18">
        <f t="shared" si="25"/>
        <v>28.3</v>
      </c>
      <c r="D79" s="18">
        <f t="shared" si="26"/>
        <v>13.6</v>
      </c>
      <c r="E79" s="7">
        <f t="shared" si="20"/>
        <v>14.700000000000001</v>
      </c>
      <c r="F79" s="54">
        <f t="shared" si="35"/>
        <v>0.54568294437634934</v>
      </c>
      <c r="G79" s="18">
        <f t="shared" si="36"/>
        <v>0.4</v>
      </c>
      <c r="H79" s="18">
        <f t="shared" si="21"/>
        <v>5.8800000000000008</v>
      </c>
      <c r="I79" s="18">
        <f t="shared" si="28"/>
        <v>32.086157129329344</v>
      </c>
      <c r="J79" s="18">
        <f t="shared" si="22"/>
        <v>22.42</v>
      </c>
      <c r="K79" s="8">
        <f t="shared" si="37"/>
        <v>13.606431906912078</v>
      </c>
      <c r="L79" s="8">
        <v>14</v>
      </c>
      <c r="M79" s="12">
        <f t="shared" si="29"/>
        <v>78.03266104581796</v>
      </c>
      <c r="N79" s="12" t="str">
        <f t="shared" si="30"/>
        <v>Yes</v>
      </c>
      <c r="O79" s="8">
        <f t="shared" si="27"/>
        <v>7.2924114649419725E-4</v>
      </c>
      <c r="P79" s="82"/>
      <c r="Q79" s="38">
        <f>'Kc calculation'!D75</f>
        <v>1.1499999999999999</v>
      </c>
      <c r="R79" s="8">
        <f>'ETo Penman Montheit FAO 56'!AI77</f>
        <v>5.921395408886422</v>
      </c>
      <c r="S79" s="12">
        <f t="shared" si="31"/>
        <v>6.8096047202193848</v>
      </c>
      <c r="T79" s="8">
        <f t="shared" si="17"/>
        <v>4.965843953345081E-3</v>
      </c>
      <c r="U79" s="13">
        <f t="shared" si="32"/>
        <v>14.693568093087922</v>
      </c>
      <c r="V79" s="9">
        <f t="shared" si="33"/>
        <v>80.180295004305989</v>
      </c>
      <c r="W79" s="10"/>
      <c r="X79" s="10"/>
      <c r="Y79" s="7" t="str">
        <f t="shared" si="34"/>
        <v>Apply irrigation</v>
      </c>
      <c r="Z79" s="8">
        <f t="shared" si="38"/>
        <v>0</v>
      </c>
      <c r="AK79" s="55">
        <v>0.31819999999999998</v>
      </c>
    </row>
    <row r="80" spans="1:37" x14ac:dyDescent="0.45">
      <c r="A80" s="25">
        <f>'ETo Penman Montheit FAO 56'!A78</f>
        <v>45822</v>
      </c>
      <c r="B80" s="37">
        <v>75</v>
      </c>
      <c r="C80" s="18">
        <f t="shared" si="25"/>
        <v>28.3</v>
      </c>
      <c r="D80" s="18">
        <f t="shared" si="26"/>
        <v>13.6</v>
      </c>
      <c r="E80" s="7">
        <f t="shared" si="20"/>
        <v>14.700000000000001</v>
      </c>
      <c r="F80" s="54">
        <f t="shared" si="35"/>
        <v>0.54728809201290463</v>
      </c>
      <c r="G80" s="18">
        <f t="shared" si="36"/>
        <v>0.4</v>
      </c>
      <c r="H80" s="18">
        <f t="shared" si="21"/>
        <v>5.8800000000000008</v>
      </c>
      <c r="I80" s="18">
        <f t="shared" si="28"/>
        <v>32.180539810358795</v>
      </c>
      <c r="J80" s="18">
        <f t="shared" si="22"/>
        <v>22.42</v>
      </c>
      <c r="K80" s="8">
        <f t="shared" si="37"/>
        <v>13.605524552261791</v>
      </c>
      <c r="L80" s="8">
        <v>14</v>
      </c>
      <c r="M80" s="12">
        <f t="shared" si="29"/>
        <v>78.262197157845364</v>
      </c>
      <c r="N80" s="12" t="str">
        <f t="shared" si="30"/>
        <v>Yes</v>
      </c>
      <c r="O80" s="8">
        <f t="shared" si="27"/>
        <v>6.263664695908E-4</v>
      </c>
      <c r="P80" s="82"/>
      <c r="Q80" s="38">
        <f>'Kc calculation'!D76</f>
        <v>1.1499999999999999</v>
      </c>
      <c r="R80" s="8">
        <f>'ETo Penman Montheit FAO 56'!AI78</f>
        <v>5.9220434613016586</v>
      </c>
      <c r="S80" s="12">
        <f t="shared" si="31"/>
        <v>6.8103499804969072</v>
      </c>
      <c r="T80" s="8">
        <f t="shared" si="17"/>
        <v>4.2657748739616218E-3</v>
      </c>
      <c r="U80" s="13">
        <f t="shared" si="32"/>
        <v>14.69447544773821</v>
      </c>
      <c r="V80" s="9">
        <f t="shared" si="33"/>
        <v>80.421114309231172</v>
      </c>
      <c r="W80" s="10"/>
      <c r="X80" s="10"/>
      <c r="Y80" s="7" t="str">
        <f t="shared" si="34"/>
        <v>Apply irrigation</v>
      </c>
      <c r="Z80" s="8">
        <f t="shared" si="38"/>
        <v>0</v>
      </c>
      <c r="AK80" s="55">
        <v>0.32249999999999995</v>
      </c>
    </row>
    <row r="81" spans="1:37" x14ac:dyDescent="0.45">
      <c r="A81" s="25">
        <f>'ETo Penman Montheit FAO 56'!A79</f>
        <v>45823</v>
      </c>
      <c r="B81" s="37">
        <v>76</v>
      </c>
      <c r="C81" s="18">
        <f t="shared" si="25"/>
        <v>28.3</v>
      </c>
      <c r="D81" s="18">
        <f t="shared" si="26"/>
        <v>13.6</v>
      </c>
      <c r="E81" s="7">
        <f t="shared" si="20"/>
        <v>14.700000000000001</v>
      </c>
      <c r="F81" s="54">
        <f t="shared" si="35"/>
        <v>0.54884580521278892</v>
      </c>
      <c r="G81" s="18">
        <f t="shared" si="36"/>
        <v>0.4</v>
      </c>
      <c r="H81" s="18">
        <f t="shared" si="21"/>
        <v>5.8800000000000008</v>
      </c>
      <c r="I81" s="18">
        <f t="shared" si="28"/>
        <v>32.272133346511993</v>
      </c>
      <c r="J81" s="18">
        <f t="shared" si="22"/>
        <v>22.42</v>
      </c>
      <c r="K81" s="8">
        <f t="shared" si="37"/>
        <v>13.604747325792454</v>
      </c>
      <c r="L81" s="8">
        <v>25</v>
      </c>
      <c r="M81" s="12">
        <f t="shared" si="29"/>
        <v>18.111911572022038</v>
      </c>
      <c r="N81" s="12" t="str">
        <f t="shared" si="30"/>
        <v>No</v>
      </c>
      <c r="O81" s="8">
        <f t="shared" si="27"/>
        <v>5.3824555470005642E-4</v>
      </c>
      <c r="P81" s="82"/>
      <c r="Q81" s="38">
        <f>'Kc calculation'!D77</f>
        <v>1.1499999999999999</v>
      </c>
      <c r="R81" s="8">
        <f>'ETo Penman Montheit FAO 56'!AI79</f>
        <v>5.9225849485377138</v>
      </c>
      <c r="S81" s="12">
        <f t="shared" si="31"/>
        <v>6.8109726908183701</v>
      </c>
      <c r="T81" s="8">
        <f t="shared" si="17"/>
        <v>3.6659757740164695E-3</v>
      </c>
      <c r="U81" s="13">
        <f t="shared" si="32"/>
        <v>14.695252674207547</v>
      </c>
      <c r="V81" s="9">
        <f t="shared" si="33"/>
        <v>80.65427786780829</v>
      </c>
      <c r="W81" s="10"/>
      <c r="X81" s="10"/>
      <c r="Y81" s="7" t="str">
        <f t="shared" si="34"/>
        <v>Apply irrigation</v>
      </c>
      <c r="Z81" s="8">
        <f t="shared" si="38"/>
        <v>0</v>
      </c>
      <c r="AK81" s="55">
        <v>0.32680000000000003</v>
      </c>
    </row>
    <row r="82" spans="1:37" x14ac:dyDescent="0.45">
      <c r="A82" s="25">
        <f>'ETo Penman Montheit FAO 56'!A80</f>
        <v>45824</v>
      </c>
      <c r="B82" s="37">
        <v>77</v>
      </c>
      <c r="C82" s="18">
        <f t="shared" si="25"/>
        <v>28.3</v>
      </c>
      <c r="D82" s="18">
        <f t="shared" si="26"/>
        <v>13.6</v>
      </c>
      <c r="E82" s="7">
        <f t="shared" si="20"/>
        <v>14.700000000000001</v>
      </c>
      <c r="F82" s="54">
        <f t="shared" si="35"/>
        <v>0.5503574857322836</v>
      </c>
      <c r="G82" s="18">
        <f t="shared" si="36"/>
        <v>0.4</v>
      </c>
      <c r="H82" s="18">
        <f t="shared" si="21"/>
        <v>5.8800000000000008</v>
      </c>
      <c r="I82" s="18">
        <f t="shared" si="28"/>
        <v>32.361020161058285</v>
      </c>
      <c r="J82" s="18">
        <f t="shared" si="22"/>
        <v>22.42</v>
      </c>
      <c r="K82" s="8">
        <f t="shared" si="37"/>
        <v>13.604081217695617</v>
      </c>
      <c r="L82" s="8">
        <v>18</v>
      </c>
      <c r="M82" s="12">
        <f t="shared" si="29"/>
        <v>56.686821030425214</v>
      </c>
      <c r="N82" s="12" t="str">
        <f t="shared" si="30"/>
        <v>Yes</v>
      </c>
      <c r="O82" s="8">
        <f t="shared" si="27"/>
        <v>4.6272309474115758E-4</v>
      </c>
      <c r="P82" s="82"/>
      <c r="Q82" s="38">
        <f>'Kc calculation'!D78</f>
        <v>1.1499999999999999</v>
      </c>
      <c r="R82" s="8">
        <f>'ETo Penman Montheit FAO 56'!AI80</f>
        <v>5.9230201980577233</v>
      </c>
      <c r="S82" s="12">
        <f t="shared" si="31"/>
        <v>6.8114732277663812</v>
      </c>
      <c r="T82" s="8">
        <f t="shared" si="17"/>
        <v>3.1518259716986018E-3</v>
      </c>
      <c r="U82" s="13">
        <f t="shared" si="32"/>
        <v>14.695918782304384</v>
      </c>
      <c r="V82" s="9">
        <f t="shared" si="33"/>
        <v>80.880089115548842</v>
      </c>
      <c r="W82" s="10"/>
      <c r="X82" s="10"/>
      <c r="Y82" s="7" t="str">
        <f t="shared" si="34"/>
        <v>Apply irrigation</v>
      </c>
      <c r="Z82" s="8">
        <f t="shared" si="38"/>
        <v>0</v>
      </c>
      <c r="AK82" s="55">
        <v>0.33110000000000001</v>
      </c>
    </row>
    <row r="83" spans="1:37" x14ac:dyDescent="0.45">
      <c r="A83" s="25">
        <f>'ETo Penman Montheit FAO 56'!A81</f>
        <v>45825</v>
      </c>
      <c r="B83" s="37">
        <v>78</v>
      </c>
      <c r="C83" s="18">
        <f t="shared" si="25"/>
        <v>28.3</v>
      </c>
      <c r="D83" s="18">
        <f t="shared" si="26"/>
        <v>13.6</v>
      </c>
      <c r="E83" s="7">
        <f t="shared" si="20"/>
        <v>14.700000000000001</v>
      </c>
      <c r="F83" s="54">
        <f t="shared" si="35"/>
        <v>0.55182449390374266</v>
      </c>
      <c r="G83" s="18">
        <f t="shared" si="36"/>
        <v>0.4</v>
      </c>
      <c r="H83" s="18">
        <f t="shared" si="21"/>
        <v>5.8800000000000008</v>
      </c>
      <c r="I83" s="18">
        <f t="shared" si="28"/>
        <v>32.447280241540078</v>
      </c>
      <c r="J83" s="18">
        <f t="shared" si="22"/>
        <v>22.42</v>
      </c>
      <c r="K83" s="8">
        <f t="shared" si="37"/>
        <v>13.603510053130339</v>
      </c>
      <c r="L83" s="8">
        <v>15</v>
      </c>
      <c r="M83" s="12">
        <f t="shared" si="29"/>
        <v>73.392657689197776</v>
      </c>
      <c r="N83" s="12" t="str">
        <f t="shared" si="30"/>
        <v>Yes</v>
      </c>
      <c r="O83" s="8">
        <f t="shared" si="27"/>
        <v>3.979652075214446E-4</v>
      </c>
      <c r="P83" s="82"/>
      <c r="Q83" s="38">
        <f>'Kc calculation'!D79</f>
        <v>1.1499999999999999</v>
      </c>
      <c r="R83" s="8">
        <f>'ETo Penman Montheit FAO 56'!AI81</f>
        <v>5.9233494887760738</v>
      </c>
      <c r="S83" s="12">
        <f t="shared" si="31"/>
        <v>6.8118519120924841</v>
      </c>
      <c r="T83" s="8">
        <f t="shared" si="17"/>
        <v>2.7108800598012344E-3</v>
      </c>
      <c r="U83" s="13">
        <f t="shared" si="32"/>
        <v>14.696489946869661</v>
      </c>
      <c r="V83" s="9">
        <f t="shared" si="33"/>
        <v>81.098831270927931</v>
      </c>
      <c r="W83" s="10"/>
      <c r="X83" s="10"/>
      <c r="Y83" s="7" t="str">
        <f t="shared" si="34"/>
        <v>Apply irrigation</v>
      </c>
      <c r="Z83" s="8">
        <f t="shared" si="38"/>
        <v>0</v>
      </c>
      <c r="AK83" s="55">
        <v>0.33539999999999998</v>
      </c>
    </row>
    <row r="84" spans="1:37" x14ac:dyDescent="0.45">
      <c r="A84" s="25">
        <f>'ETo Penman Montheit FAO 56'!A82</f>
        <v>45826</v>
      </c>
      <c r="B84" s="37">
        <v>79</v>
      </c>
      <c r="C84" s="18">
        <f t="shared" si="25"/>
        <v>28.3</v>
      </c>
      <c r="D84" s="18">
        <f t="shared" si="26"/>
        <v>13.6</v>
      </c>
      <c r="E84" s="7">
        <f t="shared" si="20"/>
        <v>14.700000000000001</v>
      </c>
      <c r="F84" s="54">
        <f t="shared" si="35"/>
        <v>0.55324814985972925</v>
      </c>
      <c r="G84" s="18">
        <f t="shared" si="36"/>
        <v>0.4</v>
      </c>
      <c r="H84" s="18">
        <f t="shared" si="21"/>
        <v>5.8800000000000008</v>
      </c>
      <c r="I84" s="18">
        <f t="shared" si="28"/>
        <v>32.530991211752081</v>
      </c>
      <c r="J84" s="18">
        <f t="shared" si="22"/>
        <v>22.42</v>
      </c>
      <c r="K84" s="8">
        <f t="shared" si="37"/>
        <v>13.603020059614684</v>
      </c>
      <c r="L84" s="8">
        <v>26</v>
      </c>
      <c r="M84" s="12">
        <f t="shared" si="29"/>
        <v>12.724707446773776</v>
      </c>
      <c r="N84" s="12" t="str">
        <f t="shared" si="30"/>
        <v>No</v>
      </c>
      <c r="O84" s="8">
        <f t="shared" si="27"/>
        <v>3.4241038715243644E-4</v>
      </c>
      <c r="P84" s="82"/>
      <c r="Q84" s="38">
        <f>'Kc calculation'!D80</f>
        <v>1.1499999999999999</v>
      </c>
      <c r="R84" s="8">
        <f>'ETo Penman Montheit FAO 56'!AI82</f>
        <v>5.9235730512281899</v>
      </c>
      <c r="S84" s="12">
        <f t="shared" si="31"/>
        <v>6.8121090089124179</v>
      </c>
      <c r="T84" s="8">
        <f t="shared" si="17"/>
        <v>2.3325368830663011E-3</v>
      </c>
      <c r="U84" s="13">
        <f t="shared" si="32"/>
        <v>14.696979940385317</v>
      </c>
      <c r="V84" s="9">
        <f t="shared" si="33"/>
        <v>81.310769605437301</v>
      </c>
      <c r="W84" s="10"/>
      <c r="X84" s="10"/>
      <c r="Y84" s="7" t="str">
        <f t="shared" si="34"/>
        <v>Apply irrigation</v>
      </c>
      <c r="Z84" s="8">
        <f t="shared" si="38"/>
        <v>0</v>
      </c>
      <c r="AK84" s="55">
        <v>0.33969999999999995</v>
      </c>
    </row>
    <row r="85" spans="1:37" x14ac:dyDescent="0.45">
      <c r="A85" s="25">
        <f>'ETo Penman Montheit FAO 56'!A83</f>
        <v>45827</v>
      </c>
      <c r="B85" s="37">
        <v>80</v>
      </c>
      <c r="C85" s="18">
        <f t="shared" si="25"/>
        <v>28.3</v>
      </c>
      <c r="D85" s="18">
        <f t="shared" si="26"/>
        <v>13.6</v>
      </c>
      <c r="E85" s="7">
        <f t="shared" si="20"/>
        <v>14.700000000000001</v>
      </c>
      <c r="F85" s="54">
        <f t="shared" si="35"/>
        <v>0.5546297347209781</v>
      </c>
      <c r="G85" s="18">
        <f t="shared" si="36"/>
        <v>0.4</v>
      </c>
      <c r="H85" s="18">
        <f t="shared" si="21"/>
        <v>5.8800000000000008</v>
      </c>
      <c r="I85" s="18">
        <f t="shared" si="28"/>
        <v>32.612228401593512</v>
      </c>
      <c r="J85" s="18">
        <f t="shared" si="22"/>
        <v>22.42</v>
      </c>
      <c r="K85" s="8">
        <f t="shared" si="37"/>
        <v>13.602599502126139</v>
      </c>
      <c r="L85" s="8">
        <v>22</v>
      </c>
      <c r="M85" s="12">
        <f t="shared" si="29"/>
        <v>34.941673287421622</v>
      </c>
      <c r="N85" s="12" t="str">
        <f t="shared" si="30"/>
        <v>Yes</v>
      </c>
      <c r="O85" s="8">
        <f t="shared" si="27"/>
        <v>2.9472813221542715E-4</v>
      </c>
      <c r="P85" s="82"/>
      <c r="Q85" s="38">
        <f>'Kc calculation'!D81</f>
        <v>1.1499999999999999</v>
      </c>
      <c r="R85" s="8">
        <f>'ETo Penman Montheit FAO 56'!AI83</f>
        <v>5.9236910677089059</v>
      </c>
      <c r="S85" s="12">
        <f t="shared" si="31"/>
        <v>6.8122447278652416</v>
      </c>
      <c r="T85" s="8">
        <f t="shared" si="17"/>
        <v>2.0077601648381136E-3</v>
      </c>
      <c r="U85" s="13">
        <f t="shared" si="32"/>
        <v>14.697400497873861</v>
      </c>
      <c r="V85" s="9">
        <f t="shared" si="33"/>
        <v>81.516153392237513</v>
      </c>
      <c r="W85" s="10"/>
      <c r="X85" s="10"/>
      <c r="Y85" s="7" t="str">
        <f t="shared" si="34"/>
        <v>Apply irrigation</v>
      </c>
      <c r="Z85" s="8">
        <f t="shared" si="38"/>
        <v>0</v>
      </c>
      <c r="AK85" s="55">
        <v>0.34400000000000003</v>
      </c>
    </row>
    <row r="86" spans="1:37" x14ac:dyDescent="0.45">
      <c r="A86" s="25">
        <f>'ETo Penman Montheit FAO 56'!A84</f>
        <v>45828</v>
      </c>
      <c r="B86" s="37">
        <v>81</v>
      </c>
      <c r="C86" s="18">
        <f t="shared" si="25"/>
        <v>28.3</v>
      </c>
      <c r="D86" s="18">
        <f t="shared" si="26"/>
        <v>13.6</v>
      </c>
      <c r="E86" s="7">
        <f t="shared" si="20"/>
        <v>14.700000000000001</v>
      </c>
      <c r="F86" s="54">
        <f t="shared" si="35"/>
        <v>0.55597049174925117</v>
      </c>
      <c r="G86" s="18">
        <f t="shared" si="36"/>
        <v>0.4</v>
      </c>
      <c r="H86" s="18">
        <f t="shared" si="21"/>
        <v>5.8800000000000008</v>
      </c>
      <c r="I86" s="18">
        <f t="shared" si="28"/>
        <v>32.691064914855971</v>
      </c>
      <c r="J86" s="18">
        <f t="shared" si="22"/>
        <v>22.42</v>
      </c>
      <c r="K86" s="8">
        <f t="shared" si="37"/>
        <v>13.602238375016944</v>
      </c>
      <c r="L86" s="8">
        <v>23</v>
      </c>
      <c r="M86" s="12">
        <f t="shared" si="29"/>
        <v>29.466436062710315</v>
      </c>
      <c r="N86" s="12" t="str">
        <f t="shared" si="30"/>
        <v>No</v>
      </c>
      <c r="O86" s="8">
        <f t="shared" si="27"/>
        <v>2.5378401552655916E-4</v>
      </c>
      <c r="P86" s="82"/>
      <c r="Q86" s="38">
        <f>'Kc calculation'!D82</f>
        <v>1.1499999999999999</v>
      </c>
      <c r="R86" s="8">
        <f>'ETo Penman Montheit FAO 56'!AI84</f>
        <v>5.9237036723787897</v>
      </c>
      <c r="S86" s="12">
        <f t="shared" si="31"/>
        <v>6.8122592232356078</v>
      </c>
      <c r="T86" s="8">
        <f t="shared" si="17"/>
        <v>1.7288425004805712E-3</v>
      </c>
      <c r="U86" s="13">
        <f t="shared" si="32"/>
        <v>14.697761624983057</v>
      </c>
      <c r="V86" s="9">
        <f t="shared" si="33"/>
        <v>81.715217582551048</v>
      </c>
      <c r="W86" s="10"/>
      <c r="X86" s="10"/>
      <c r="Y86" s="7" t="str">
        <f t="shared" si="34"/>
        <v>Apply irrigation</v>
      </c>
      <c r="Z86" s="8">
        <f t="shared" si="38"/>
        <v>0</v>
      </c>
      <c r="AK86" s="55">
        <v>0.3483</v>
      </c>
    </row>
    <row r="87" spans="1:37" x14ac:dyDescent="0.45">
      <c r="A87" s="25">
        <f>'ETo Penman Montheit FAO 56'!A85</f>
        <v>45829</v>
      </c>
      <c r="B87" s="37">
        <v>82</v>
      </c>
      <c r="C87" s="18">
        <f t="shared" si="25"/>
        <v>28.3</v>
      </c>
      <c r="D87" s="18">
        <f t="shared" si="26"/>
        <v>13.6</v>
      </c>
      <c r="E87" s="7">
        <f t="shared" si="20"/>
        <v>14.700000000000001</v>
      </c>
      <c r="F87" s="54">
        <f t="shared" si="35"/>
        <v>0.55727162746612557</v>
      </c>
      <c r="G87" s="18">
        <f t="shared" si="36"/>
        <v>0.4</v>
      </c>
      <c r="H87" s="18">
        <f t="shared" si="21"/>
        <v>5.8800000000000008</v>
      </c>
      <c r="I87" s="18">
        <f t="shared" si="28"/>
        <v>32.767571695008186</v>
      </c>
      <c r="J87" s="18">
        <f t="shared" si="22"/>
        <v>22.42</v>
      </c>
      <c r="K87" s="8">
        <f t="shared" si="37"/>
        <v>13.601928141655819</v>
      </c>
      <c r="L87" s="8">
        <v>15</v>
      </c>
      <c r="M87" s="12">
        <f t="shared" si="29"/>
        <v>74.117126452994697</v>
      </c>
      <c r="N87" s="12" t="str">
        <f t="shared" si="30"/>
        <v>Yes</v>
      </c>
      <c r="O87" s="8">
        <f t="shared" si="27"/>
        <v>2.1861016505886344E-4</v>
      </c>
      <c r="P87" s="82"/>
      <c r="Q87" s="38">
        <f>'Kc calculation'!D83</f>
        <v>1.1499999999999999</v>
      </c>
      <c r="R87" s="8">
        <f>'ETo Penman Montheit FAO 56'!AI85</f>
        <v>5.9236109513379693</v>
      </c>
      <c r="S87" s="12">
        <f t="shared" si="31"/>
        <v>6.8121525940386638</v>
      </c>
      <c r="T87" s="8">
        <f t="shared" si="17"/>
        <v>1.489205802988957E-3</v>
      </c>
      <c r="U87" s="13">
        <f t="shared" si="32"/>
        <v>14.698071858344182</v>
      </c>
      <c r="V87" s="9">
        <f t="shared" si="33"/>
        <v>81.908184251135239</v>
      </c>
      <c r="W87" s="10"/>
      <c r="X87" s="10"/>
      <c r="Y87" s="7" t="str">
        <f t="shared" si="34"/>
        <v>Apply irrigation</v>
      </c>
      <c r="Z87" s="8">
        <f t="shared" si="38"/>
        <v>0</v>
      </c>
      <c r="AK87" s="55">
        <v>0.35259999999999997</v>
      </c>
    </row>
    <row r="88" spans="1:37" x14ac:dyDescent="0.45">
      <c r="A88" s="25">
        <f>'ETo Penman Montheit FAO 56'!A86</f>
        <v>45830</v>
      </c>
      <c r="B88" s="37">
        <v>83</v>
      </c>
      <c r="C88" s="18">
        <f t="shared" si="25"/>
        <v>28.3</v>
      </c>
      <c r="D88" s="18">
        <f t="shared" si="26"/>
        <v>13.6</v>
      </c>
      <c r="E88" s="7">
        <f t="shared" si="20"/>
        <v>14.700000000000001</v>
      </c>
      <c r="F88" s="54">
        <f t="shared" si="35"/>
        <v>0.55853431273871867</v>
      </c>
      <c r="G88" s="18">
        <f t="shared" si="36"/>
        <v>0.4</v>
      </c>
      <c r="H88" s="18">
        <f t="shared" si="21"/>
        <v>5.8800000000000008</v>
      </c>
      <c r="I88" s="18">
        <f t="shared" si="28"/>
        <v>32.841817589036665</v>
      </c>
      <c r="J88" s="18">
        <f t="shared" si="22"/>
        <v>22.42</v>
      </c>
      <c r="K88" s="8">
        <f t="shared" si="37"/>
        <v>13.601661514204466</v>
      </c>
      <c r="L88" s="8">
        <v>20</v>
      </c>
      <c r="M88" s="12">
        <f t="shared" si="29"/>
        <v>46.358347957313654</v>
      </c>
      <c r="N88" s="12" t="str">
        <f t="shared" si="30"/>
        <v>Yes</v>
      </c>
      <c r="O88" s="8">
        <f t="shared" si="27"/>
        <v>1.8838029529089084E-4</v>
      </c>
      <c r="P88" s="82"/>
      <c r="Q88" s="38">
        <f>'Kc calculation'!D84</f>
        <v>1.1499999999999999</v>
      </c>
      <c r="R88" s="8">
        <f>'ETo Penman Montheit FAO 56'!AI86</f>
        <v>5.9234129426670412</v>
      </c>
      <c r="S88" s="12">
        <f t="shared" si="31"/>
        <v>6.8119248840670972</v>
      </c>
      <c r="T88" s="8">
        <f t="shared" si="17"/>
        <v>1.2832324211599271E-3</v>
      </c>
      <c r="U88" s="13">
        <f t="shared" si="32"/>
        <v>14.698338485795535</v>
      </c>
      <c r="V88" s="9">
        <f t="shared" si="33"/>
        <v>82.095263845648674</v>
      </c>
      <c r="W88" s="10"/>
      <c r="X88" s="10"/>
      <c r="Y88" s="7" t="str">
        <f t="shared" si="34"/>
        <v>Apply irrigation</v>
      </c>
      <c r="Z88" s="8">
        <f t="shared" si="38"/>
        <v>0</v>
      </c>
      <c r="AK88" s="55">
        <v>0.35690000000000005</v>
      </c>
    </row>
    <row r="89" spans="1:37" x14ac:dyDescent="0.45">
      <c r="A89" s="25">
        <f>'ETo Penman Montheit FAO 56'!A87</f>
        <v>45831</v>
      </c>
      <c r="B89" s="37">
        <v>84</v>
      </c>
      <c r="C89" s="18">
        <f t="shared" si="25"/>
        <v>28.3</v>
      </c>
      <c r="D89" s="18">
        <f t="shared" si="26"/>
        <v>13.6</v>
      </c>
      <c r="E89" s="7">
        <f t="shared" si="20"/>
        <v>14.700000000000001</v>
      </c>
      <c r="F89" s="54">
        <f t="shared" si="35"/>
        <v>0.55975968383332952</v>
      </c>
      <c r="G89" s="18">
        <f t="shared" si="36"/>
        <v>0.4</v>
      </c>
      <c r="H89" s="18">
        <f t="shared" si="21"/>
        <v>5.8800000000000008</v>
      </c>
      <c r="I89" s="18">
        <f t="shared" si="28"/>
        <v>32.91386940939978</v>
      </c>
      <c r="J89" s="18">
        <f t="shared" si="22"/>
        <v>22.42</v>
      </c>
      <c r="K89" s="8">
        <f t="shared" si="37"/>
        <v>13.601432267179677</v>
      </c>
      <c r="L89" s="8">
        <v>12</v>
      </c>
      <c r="M89" s="12">
        <f t="shared" si="29"/>
        <v>91.240828464832717</v>
      </c>
      <c r="N89" s="12" t="str">
        <f t="shared" si="30"/>
        <v>Yes</v>
      </c>
      <c r="O89" s="8">
        <f t="shared" si="27"/>
        <v>1.6238856912431654E-4</v>
      </c>
      <c r="P89" s="82"/>
      <c r="Q89" s="38">
        <f>'Kc calculation'!D85</f>
        <v>1.1499999999999999</v>
      </c>
      <c r="R89" s="8">
        <f>'ETo Penman Montheit FAO 56'!AI87</f>
        <v>5.9231096364349467</v>
      </c>
      <c r="S89" s="12">
        <f t="shared" si="31"/>
        <v>6.8115760819001885</v>
      </c>
      <c r="T89" s="8">
        <f t="shared" si="17"/>
        <v>1.10612209342119E-3</v>
      </c>
      <c r="U89" s="13">
        <f t="shared" si="32"/>
        <v>14.698567732820324</v>
      </c>
      <c r="V89" s="9">
        <f t="shared" si="33"/>
        <v>82.276656269262844</v>
      </c>
      <c r="W89" s="10"/>
      <c r="X89" s="10"/>
      <c r="Y89" s="7" t="str">
        <f t="shared" si="34"/>
        <v>Apply irrigation</v>
      </c>
      <c r="Z89" s="8">
        <f t="shared" si="38"/>
        <v>0</v>
      </c>
      <c r="AK89" s="55">
        <v>0.36120000000000002</v>
      </c>
    </row>
    <row r="90" spans="1:37" x14ac:dyDescent="0.45">
      <c r="A90" s="25">
        <f>'ETo Penman Montheit FAO 56'!A88</f>
        <v>45832</v>
      </c>
      <c r="B90" s="37">
        <v>85</v>
      </c>
      <c r="C90" s="18">
        <f t="shared" si="25"/>
        <v>28.3</v>
      </c>
      <c r="D90" s="18">
        <f t="shared" si="26"/>
        <v>13.6</v>
      </c>
      <c r="E90" s="7">
        <f t="shared" si="20"/>
        <v>14.700000000000001</v>
      </c>
      <c r="F90" s="54">
        <f t="shared" si="35"/>
        <v>0.5609488434379426</v>
      </c>
      <c r="G90" s="18">
        <f t="shared" si="36"/>
        <v>0.4</v>
      </c>
      <c r="H90" s="18">
        <f t="shared" si="21"/>
        <v>5.8800000000000008</v>
      </c>
      <c r="I90" s="18">
        <f t="shared" si="28"/>
        <v>32.983791994151034</v>
      </c>
      <c r="J90" s="18">
        <f t="shared" si="22"/>
        <v>22.42</v>
      </c>
      <c r="K90" s="8">
        <f t="shared" si="37"/>
        <v>13.601235079484869</v>
      </c>
      <c r="L90" s="8">
        <v>19</v>
      </c>
      <c r="M90" s="12">
        <f t="shared" si="29"/>
        <v>52.168242439728665</v>
      </c>
      <c r="N90" s="12" t="str">
        <f t="shared" si="30"/>
        <v>Yes</v>
      </c>
      <c r="O90" s="8">
        <f t="shared" si="27"/>
        <v>1.400316876269958E-4</v>
      </c>
      <c r="P90" s="82"/>
      <c r="Q90" s="38">
        <f>'Kc calculation'!D86</f>
        <v>1.1499999999999999</v>
      </c>
      <c r="R90" s="8">
        <f>'ETo Penman Montheit FAO 56'!AI88</f>
        <v>5.9227009746736909</v>
      </c>
      <c r="S90" s="12">
        <f t="shared" si="31"/>
        <v>6.8111061208747437</v>
      </c>
      <c r="T90" s="8">
        <f t="shared" si="17"/>
        <v>9.5377068471265121E-4</v>
      </c>
      <c r="U90" s="13">
        <f t="shared" si="32"/>
        <v>14.698764920515131</v>
      </c>
      <c r="V90" s="9">
        <f t="shared" si="33"/>
        <v>82.45255182129165</v>
      </c>
      <c r="W90" s="10"/>
      <c r="X90" s="10"/>
      <c r="Y90" s="7" t="str">
        <f t="shared" si="34"/>
        <v>Apply irrigation</v>
      </c>
      <c r="Z90" s="8">
        <f t="shared" si="38"/>
        <v>0</v>
      </c>
      <c r="AK90" s="55">
        <v>0.36549999999999999</v>
      </c>
    </row>
    <row r="91" spans="1:37" x14ac:dyDescent="0.45">
      <c r="A91" s="25">
        <f>'ETo Penman Montheit FAO 56'!A89</f>
        <v>45833</v>
      </c>
      <c r="B91" s="37">
        <v>86</v>
      </c>
      <c r="C91" s="18">
        <f t="shared" si="25"/>
        <v>28.3</v>
      </c>
      <c r="D91" s="18">
        <f t="shared" si="26"/>
        <v>13.6</v>
      </c>
      <c r="E91" s="7">
        <f t="shared" si="20"/>
        <v>14.700000000000001</v>
      </c>
      <c r="F91" s="54">
        <f t="shared" si="35"/>
        <v>0.56210286165451628</v>
      </c>
      <c r="G91" s="18">
        <f t="shared" si="36"/>
        <v>0.4</v>
      </c>
      <c r="H91" s="18">
        <f t="shared" si="21"/>
        <v>5.8800000000000008</v>
      </c>
      <c r="I91" s="18">
        <f t="shared" si="28"/>
        <v>33.051648265285557</v>
      </c>
      <c r="J91" s="18">
        <f t="shared" si="22"/>
        <v>22.42</v>
      </c>
      <c r="K91" s="8">
        <f t="shared" si="37"/>
        <v>13.60106540045461</v>
      </c>
      <c r="L91" s="8">
        <v>16</v>
      </c>
      <c r="M91" s="12">
        <f t="shared" si="29"/>
        <v>69.138651983505511</v>
      </c>
      <c r="N91" s="12" t="str">
        <f t="shared" si="30"/>
        <v>Yes</v>
      </c>
      <c r="O91" s="8">
        <f t="shared" si="27"/>
        <v>1.2079370233675224E-4</v>
      </c>
      <c r="P91" s="82"/>
      <c r="Q91" s="38">
        <f>'Kc calculation'!D87</f>
        <v>1.1499999999999999</v>
      </c>
      <c r="R91" s="8">
        <f>'ETo Penman Montheit FAO 56'!AI89</f>
        <v>5.9221868513200322</v>
      </c>
      <c r="S91" s="12">
        <f t="shared" si="31"/>
        <v>6.8105148790180365</v>
      </c>
      <c r="T91" s="8">
        <f t="shared" si="17"/>
        <v>8.2266730705612685E-4</v>
      </c>
      <c r="U91" s="13">
        <f t="shared" si="32"/>
        <v>14.698934599545391</v>
      </c>
      <c r="V91" s="9">
        <f t="shared" si="33"/>
        <v>82.623132016770441</v>
      </c>
      <c r="W91" s="10"/>
      <c r="X91" s="10"/>
      <c r="Y91" s="7" t="str">
        <f t="shared" si="34"/>
        <v>Apply irrigation</v>
      </c>
      <c r="Z91" s="8">
        <f t="shared" si="38"/>
        <v>0</v>
      </c>
      <c r="AK91" s="55">
        <v>0.36979999999999996</v>
      </c>
    </row>
    <row r="92" spans="1:37" x14ac:dyDescent="0.45">
      <c r="A92" s="25">
        <f>'ETo Penman Montheit FAO 56'!A90</f>
        <v>45834</v>
      </c>
      <c r="B92" s="37">
        <v>87</v>
      </c>
      <c r="C92" s="18">
        <f t="shared" si="25"/>
        <v>28.3</v>
      </c>
      <c r="D92" s="18">
        <f t="shared" si="26"/>
        <v>13.6</v>
      </c>
      <c r="E92" s="7">
        <f t="shared" si="20"/>
        <v>14.700000000000001</v>
      </c>
      <c r="F92" s="54">
        <f t="shared" si="35"/>
        <v>0.56322277696194656</v>
      </c>
      <c r="G92" s="18">
        <f t="shared" si="36"/>
        <v>0.4</v>
      </c>
      <c r="H92" s="18">
        <f t="shared" si="21"/>
        <v>5.8800000000000008</v>
      </c>
      <c r="I92" s="18">
        <f t="shared" si="28"/>
        <v>33.117499285362456</v>
      </c>
      <c r="J92" s="18">
        <f t="shared" si="22"/>
        <v>22.42</v>
      </c>
      <c r="K92" s="8">
        <f t="shared" si="37"/>
        <v>13.600919336172286</v>
      </c>
      <c r="L92" s="8">
        <v>12</v>
      </c>
      <c r="M92" s="12">
        <f t="shared" si="29"/>
        <v>91.805312644797297</v>
      </c>
      <c r="N92" s="12" t="str">
        <f t="shared" si="30"/>
        <v>Yes</v>
      </c>
      <c r="O92" s="8">
        <f t="shared" si="27"/>
        <v>1.0423312610952085E-4</v>
      </c>
      <c r="P92" s="82"/>
      <c r="Q92" s="38">
        <f>'Kc calculation'!D88</f>
        <v>1.1499999999999999</v>
      </c>
      <c r="R92" s="8">
        <f>'ETo Penman Montheit FAO 56'!AI90</f>
        <v>5.9215671121243583</v>
      </c>
      <c r="S92" s="12">
        <f t="shared" si="31"/>
        <v>6.8098021789430119</v>
      </c>
      <c r="T92" s="8">
        <f t="shared" ref="T92:T100" si="39">S92*O92</f>
        <v>7.0980696929865675E-4</v>
      </c>
      <c r="U92" s="13">
        <f t="shared" si="32"/>
        <v>14.699080663827715</v>
      </c>
      <c r="V92" s="9">
        <f t="shared" si="33"/>
        <v>82.788570302686992</v>
      </c>
      <c r="W92" s="10"/>
      <c r="X92" s="10"/>
      <c r="Y92" s="7" t="str">
        <f t="shared" si="34"/>
        <v>Apply irrigation</v>
      </c>
      <c r="Z92" s="8">
        <f t="shared" si="38"/>
        <v>0</v>
      </c>
      <c r="AK92" s="55">
        <v>0.37410000000000004</v>
      </c>
    </row>
    <row r="93" spans="1:37" x14ac:dyDescent="0.45">
      <c r="A93" s="25">
        <f>'ETo Penman Montheit FAO 56'!A91</f>
        <v>45835</v>
      </c>
      <c r="B93" s="37">
        <v>88</v>
      </c>
      <c r="C93" s="18">
        <f t="shared" si="25"/>
        <v>28.3</v>
      </c>
      <c r="D93" s="18">
        <f t="shared" si="26"/>
        <v>13.6</v>
      </c>
      <c r="E93" s="7">
        <f t="shared" si="20"/>
        <v>14.700000000000001</v>
      </c>
      <c r="F93" s="54">
        <f t="shared" si="35"/>
        <v>0.56430959715057427</v>
      </c>
      <c r="G93" s="18">
        <f t="shared" si="36"/>
        <v>0.4</v>
      </c>
      <c r="H93" s="18">
        <f t="shared" si="21"/>
        <v>5.8800000000000008</v>
      </c>
      <c r="I93" s="18">
        <f t="shared" si="28"/>
        <v>33.181404312453772</v>
      </c>
      <c r="J93" s="18">
        <f t="shared" si="22"/>
        <v>22.42</v>
      </c>
      <c r="K93" s="8">
        <f t="shared" si="37"/>
        <v>13.600793552919107</v>
      </c>
      <c r="L93" s="8">
        <v>20</v>
      </c>
      <c r="M93" s="12">
        <f t="shared" si="29"/>
        <v>46.837696563497673</v>
      </c>
      <c r="N93" s="12" t="str">
        <f t="shared" si="30"/>
        <v>Yes</v>
      </c>
      <c r="O93" s="8">
        <f t="shared" si="27"/>
        <v>8.9971986293346795E-5</v>
      </c>
      <c r="P93" s="82"/>
      <c r="Q93" s="38">
        <f>'Kc calculation'!D89</f>
        <v>1.1499999999999999</v>
      </c>
      <c r="R93" s="8">
        <f>'ETo Penman Montheit FAO 56'!AI91</f>
        <v>5.9208415545271285</v>
      </c>
      <c r="S93" s="12">
        <f t="shared" si="31"/>
        <v>6.8089677877061972</v>
      </c>
      <c r="T93" s="8">
        <f t="shared" si="39"/>
        <v>6.1261635646734183E-4</v>
      </c>
      <c r="U93" s="13">
        <f t="shared" si="32"/>
        <v>14.699206447080893</v>
      </c>
      <c r="V93" s="9">
        <f t="shared" si="33"/>
        <v>82.949032685853425</v>
      </c>
      <c r="W93" s="10"/>
      <c r="X93" s="10"/>
      <c r="Y93" s="7" t="str">
        <f t="shared" si="34"/>
        <v>Apply irrigation</v>
      </c>
      <c r="Z93" s="8">
        <f t="shared" si="38"/>
        <v>0</v>
      </c>
      <c r="AK93" s="55">
        <v>0.37840000000000001</v>
      </c>
    </row>
    <row r="94" spans="1:37" x14ac:dyDescent="0.45">
      <c r="A94" s="25">
        <f>'ETo Penman Montheit FAO 56'!A92</f>
        <v>45836</v>
      </c>
      <c r="B94" s="37">
        <v>89</v>
      </c>
      <c r="C94" s="18">
        <f t="shared" si="25"/>
        <v>28.3</v>
      </c>
      <c r="D94" s="18">
        <f t="shared" si="26"/>
        <v>13.6</v>
      </c>
      <c r="E94" s="7">
        <f t="shared" si="20"/>
        <v>14.700000000000001</v>
      </c>
      <c r="F94" s="54">
        <f t="shared" si="35"/>
        <v>0.56536430022907691</v>
      </c>
      <c r="G94" s="18">
        <f t="shared" si="36"/>
        <v>0.4</v>
      </c>
      <c r="H94" s="18">
        <f t="shared" si="21"/>
        <v>5.8800000000000008</v>
      </c>
      <c r="I94" s="18">
        <f t="shared" si="28"/>
        <v>33.243420853469729</v>
      </c>
      <c r="J94" s="18">
        <f t="shared" si="22"/>
        <v>22.42</v>
      </c>
      <c r="K94" s="8">
        <f t="shared" si="37"/>
        <v>13.600685195112252</v>
      </c>
      <c r="L94" s="8">
        <v>26</v>
      </c>
      <c r="M94" s="12">
        <f t="shared" si="29"/>
        <v>13.003378905268773</v>
      </c>
      <c r="N94" s="12" t="str">
        <f t="shared" si="30"/>
        <v>No</v>
      </c>
      <c r="O94" s="8">
        <f t="shared" si="27"/>
        <v>7.7686520663533543E-5</v>
      </c>
      <c r="P94" s="82"/>
      <c r="Q94" s="38">
        <f>'Kc calculation'!D90</f>
        <v>1.1499999999999999</v>
      </c>
      <c r="R94" s="8">
        <f>'ETo Penman Montheit FAO 56'!AI92</f>
        <v>5.9200099275034068</v>
      </c>
      <c r="S94" s="12">
        <f t="shared" si="31"/>
        <v>6.8080114166289176</v>
      </c>
      <c r="T94" s="8">
        <f t="shared" si="39"/>
        <v>5.2889071959551465E-4</v>
      </c>
      <c r="U94" s="13">
        <f t="shared" si="32"/>
        <v>14.699314804887749</v>
      </c>
      <c r="V94" s="9">
        <f t="shared" si="33"/>
        <v>83.104678285122716</v>
      </c>
      <c r="W94" s="10"/>
      <c r="X94" s="10"/>
      <c r="Y94" s="7" t="str">
        <f t="shared" si="34"/>
        <v>Apply irrigation</v>
      </c>
      <c r="Z94" s="8">
        <f t="shared" si="38"/>
        <v>0</v>
      </c>
      <c r="AK94" s="55">
        <v>0.38269999999999998</v>
      </c>
    </row>
    <row r="95" spans="1:37" x14ac:dyDescent="0.45">
      <c r="A95" s="25">
        <f>'ETo Penman Montheit FAO 56'!A93</f>
        <v>45837</v>
      </c>
      <c r="B95" s="37">
        <v>90</v>
      </c>
      <c r="C95" s="18">
        <f t="shared" si="25"/>
        <v>28.3</v>
      </c>
      <c r="D95" s="18">
        <f t="shared" si="26"/>
        <v>13.6</v>
      </c>
      <c r="E95" s="7">
        <f t="shared" si="20"/>
        <v>14.700000000000001</v>
      </c>
      <c r="F95" s="54">
        <f t="shared" si="35"/>
        <v>0.56638783530455938</v>
      </c>
      <c r="G95" s="18">
        <f t="shared" si="36"/>
        <v>0.4</v>
      </c>
      <c r="H95" s="18">
        <f t="shared" si="21"/>
        <v>5.8800000000000008</v>
      </c>
      <c r="I95" s="18">
        <f t="shared" si="28"/>
        <v>33.303604715908094</v>
      </c>
      <c r="J95" s="18">
        <f t="shared" si="22"/>
        <v>22.42</v>
      </c>
      <c r="K95" s="8">
        <f t="shared" si="37"/>
        <v>13.600591815507919</v>
      </c>
      <c r="L95" s="8">
        <v>18</v>
      </c>
      <c r="M95" s="12">
        <f t="shared" si="29"/>
        <v>58.337947036369627</v>
      </c>
      <c r="N95" s="12" t="str">
        <f t="shared" si="30"/>
        <v>Yes</v>
      </c>
      <c r="O95" s="8">
        <f t="shared" si="27"/>
        <v>6.7099263936443165E-5</v>
      </c>
      <c r="P95" s="82"/>
      <c r="Q95" s="38">
        <f>'Kc calculation'!D91</f>
        <v>1.1499999999999999</v>
      </c>
      <c r="R95" s="8">
        <f>'ETo Penman Montheit FAO 56'!AI93</f>
        <v>5.9190719313761351</v>
      </c>
      <c r="S95" s="12">
        <f t="shared" si="31"/>
        <v>6.8069327210825552</v>
      </c>
      <c r="T95" s="8">
        <f t="shared" si="39"/>
        <v>4.5674017524952964E-4</v>
      </c>
      <c r="U95" s="13">
        <f t="shared" si="32"/>
        <v>14.699408184492082</v>
      </c>
      <c r="V95" s="9">
        <f t="shared" si="33"/>
        <v>83.255659818725945</v>
      </c>
      <c r="W95" s="10"/>
      <c r="X95" s="10"/>
      <c r="Y95" s="7" t="str">
        <f t="shared" si="34"/>
        <v>Apply irrigation</v>
      </c>
      <c r="Z95" s="8">
        <f t="shared" si="38"/>
        <v>0</v>
      </c>
      <c r="AK95" s="55">
        <v>0.38699999999999996</v>
      </c>
    </row>
    <row r="96" spans="1:37" x14ac:dyDescent="0.45">
      <c r="A96" s="25">
        <f>'ETo Penman Montheit FAO 56'!A94</f>
        <v>45838</v>
      </c>
      <c r="B96" s="37">
        <v>91</v>
      </c>
      <c r="C96" s="18">
        <f t="shared" si="25"/>
        <v>28.3</v>
      </c>
      <c r="D96" s="18">
        <f t="shared" si="26"/>
        <v>13.6</v>
      </c>
      <c r="E96" s="7">
        <f t="shared" si="20"/>
        <v>14.700000000000001</v>
      </c>
      <c r="F96" s="54">
        <f t="shared" si="35"/>
        <v>0.56738112343663749</v>
      </c>
      <c r="G96" s="18">
        <f t="shared" si="36"/>
        <v>0.4</v>
      </c>
      <c r="H96" s="18">
        <f t="shared" si="21"/>
        <v>5.8800000000000008</v>
      </c>
      <c r="I96" s="18">
        <f t="shared" si="28"/>
        <v>33.362010058074283</v>
      </c>
      <c r="J96" s="18">
        <f t="shared" si="22"/>
        <v>22.42</v>
      </c>
      <c r="K96" s="8">
        <f t="shared" si="37"/>
        <v>13.600511315795048</v>
      </c>
      <c r="L96" s="8">
        <v>23</v>
      </c>
      <c r="M96" s="12">
        <f t="shared" si="29"/>
        <v>30.071199542141791</v>
      </c>
      <c r="N96" s="12" t="str">
        <f t="shared" si="30"/>
        <v>No</v>
      </c>
      <c r="O96" s="8">
        <f t="shared" si="27"/>
        <v>5.7972312363707701E-5</v>
      </c>
      <c r="P96" s="82"/>
      <c r="Q96" s="38">
        <f>'Kc calculation'!D92</f>
        <v>1.1499999999999999</v>
      </c>
      <c r="R96" s="8">
        <f>'ETo Penman Montheit FAO 56'!AI94</f>
        <v>5.9180272175989517</v>
      </c>
      <c r="S96" s="12">
        <f t="shared" si="31"/>
        <v>6.8057313002387936</v>
      </c>
      <c r="T96" s="8">
        <f t="shared" si="39"/>
        <v>3.945439808009059E-4</v>
      </c>
      <c r="U96" s="13">
        <f t="shared" si="32"/>
        <v>14.699488684204953</v>
      </c>
      <c r="V96" s="9">
        <f t="shared" si="33"/>
        <v>83.402124035883475</v>
      </c>
      <c r="W96" s="10"/>
      <c r="X96" s="10"/>
      <c r="Y96" s="7" t="str">
        <f t="shared" si="34"/>
        <v>Apply irrigation</v>
      </c>
      <c r="Z96" s="8">
        <f t="shared" si="38"/>
        <v>0</v>
      </c>
      <c r="AK96" s="55">
        <v>0.39130000000000004</v>
      </c>
    </row>
    <row r="97" spans="1:37" x14ac:dyDescent="0.45">
      <c r="A97" s="25">
        <f>'ETo Penman Montheit FAO 56'!A95</f>
        <v>45839</v>
      </c>
      <c r="B97" s="37">
        <v>92</v>
      </c>
      <c r="C97" s="18">
        <f t="shared" si="25"/>
        <v>28.3</v>
      </c>
      <c r="D97" s="18">
        <f t="shared" si="26"/>
        <v>13.6</v>
      </c>
      <c r="E97" s="7">
        <f t="shared" si="20"/>
        <v>14.700000000000001</v>
      </c>
      <c r="F97" s="54">
        <f t="shared" si="35"/>
        <v>0.56834505846628169</v>
      </c>
      <c r="G97" s="18">
        <f t="shared" si="36"/>
        <v>0.4</v>
      </c>
      <c r="H97" s="18">
        <f t="shared" si="21"/>
        <v>5.8800000000000008</v>
      </c>
      <c r="I97" s="18">
        <f t="shared" si="28"/>
        <v>33.41868943781737</v>
      </c>
      <c r="J97" s="18">
        <f t="shared" si="22"/>
        <v>22.42</v>
      </c>
      <c r="K97" s="8">
        <f t="shared" si="37"/>
        <v>13.600441895998935</v>
      </c>
      <c r="L97" s="8">
        <v>25</v>
      </c>
      <c r="M97" s="12">
        <f t="shared" si="29"/>
        <v>18.755386929387303</v>
      </c>
      <c r="N97" s="12" t="str">
        <f t="shared" si="30"/>
        <v>No</v>
      </c>
      <c r="O97" s="8">
        <f t="shared" si="27"/>
        <v>5.0101587180884088E-5</v>
      </c>
      <c r="P97" s="82"/>
      <c r="Q97" s="38">
        <f>'Kc calculation'!D93</f>
        <v>1.1499999999999999</v>
      </c>
      <c r="R97" s="8">
        <f>'ETo Penman Montheit FAO 56'!AI95</f>
        <v>5.9168753885094443</v>
      </c>
      <c r="S97" s="12">
        <f t="shared" si="31"/>
        <v>6.8044066967858603</v>
      </c>
      <c r="T97" s="8">
        <f t="shared" si="39"/>
        <v>3.4091157533320832E-4</v>
      </c>
      <c r="U97" s="13">
        <f t="shared" si="32"/>
        <v>14.699558104001065</v>
      </c>
      <c r="V97" s="9">
        <f t="shared" si="33"/>
        <v>83.544212100469906</v>
      </c>
      <c r="W97" s="10"/>
      <c r="X97" s="10"/>
      <c r="Y97" s="7" t="str">
        <f t="shared" si="34"/>
        <v>Apply irrigation</v>
      </c>
      <c r="Z97" s="8">
        <f t="shared" si="38"/>
        <v>0</v>
      </c>
      <c r="AK97" s="55">
        <v>0.39560000000000001</v>
      </c>
    </row>
    <row r="98" spans="1:37" x14ac:dyDescent="0.45">
      <c r="A98" s="25">
        <f>'ETo Penman Montheit FAO 56'!A96</f>
        <v>45840</v>
      </c>
      <c r="B98" s="37">
        <v>93</v>
      </c>
      <c r="C98" s="18">
        <f t="shared" si="25"/>
        <v>28.3</v>
      </c>
      <c r="D98" s="18">
        <f t="shared" si="26"/>
        <v>13.6</v>
      </c>
      <c r="E98" s="7">
        <f t="shared" si="20"/>
        <v>14.700000000000001</v>
      </c>
      <c r="F98" s="54">
        <f t="shared" si="35"/>
        <v>0.56928050782016792</v>
      </c>
      <c r="G98" s="18">
        <f t="shared" si="36"/>
        <v>0.4</v>
      </c>
      <c r="H98" s="18">
        <f t="shared" si="21"/>
        <v>5.8800000000000008</v>
      </c>
      <c r="I98" s="18">
        <f t="shared" si="28"/>
        <v>33.473693859825879</v>
      </c>
      <c r="J98" s="18">
        <f t="shared" si="22"/>
        <v>22.42</v>
      </c>
      <c r="K98" s="8">
        <f t="shared" si="37"/>
        <v>13.60038201136023</v>
      </c>
      <c r="L98" s="8">
        <v>14</v>
      </c>
      <c r="M98" s="12">
        <f t="shared" si="29"/>
        <v>81.407112618284032</v>
      </c>
      <c r="N98" s="12" t="str">
        <f t="shared" si="30"/>
        <v>Yes</v>
      </c>
      <c r="O98" s="8">
        <f t="shared" si="27"/>
        <v>4.3311945604362911E-5</v>
      </c>
      <c r="P98" s="82"/>
      <c r="Q98" s="38">
        <f>'Kc calculation'!D94</f>
        <v>1.1499999999999999</v>
      </c>
      <c r="R98" s="8">
        <f>'ETo Penman Montheit FAO 56'!AI96</f>
        <v>5.9156159970539095</v>
      </c>
      <c r="S98" s="12">
        <f t="shared" si="31"/>
        <v>6.8029583966119951</v>
      </c>
      <c r="T98" s="8">
        <f t="shared" si="39"/>
        <v>2.9464936402280264E-4</v>
      </c>
      <c r="U98" s="13">
        <f t="shared" si="32"/>
        <v>14.699617988639771</v>
      </c>
      <c r="V98" s="9">
        <f t="shared" si="33"/>
        <v>83.682059933353244</v>
      </c>
      <c r="W98" s="10"/>
      <c r="X98" s="10"/>
      <c r="Y98" s="7" t="str">
        <f t="shared" si="34"/>
        <v>Apply irrigation</v>
      </c>
      <c r="Z98" s="8">
        <f t="shared" si="38"/>
        <v>0</v>
      </c>
      <c r="AK98" s="55">
        <v>0.39989999999999998</v>
      </c>
    </row>
    <row r="99" spans="1:37" x14ac:dyDescent="0.45">
      <c r="A99" s="25">
        <f>'ETo Penman Montheit FAO 56'!A97</f>
        <v>45841</v>
      </c>
      <c r="B99" s="37">
        <v>94</v>
      </c>
      <c r="C99" s="18">
        <f t="shared" si="25"/>
        <v>28.3</v>
      </c>
      <c r="D99" s="18">
        <f t="shared" si="26"/>
        <v>13.6</v>
      </c>
      <c r="E99" s="7">
        <f t="shared" ref="E99:E100" si="40">C99-D99</f>
        <v>14.700000000000001</v>
      </c>
      <c r="F99" s="54">
        <f t="shared" si="35"/>
        <v>0.57018831329125763</v>
      </c>
      <c r="G99" s="18">
        <f t="shared" si="36"/>
        <v>0.4</v>
      </c>
      <c r="H99" s="18">
        <f t="shared" ref="H99:H100" si="41">E99*G99</f>
        <v>5.8800000000000008</v>
      </c>
      <c r="I99" s="18">
        <f t="shared" si="28"/>
        <v>33.527072821525948</v>
      </c>
      <c r="J99" s="18">
        <f t="shared" ref="J99:J100" si="42">C99-E99*G99</f>
        <v>22.42</v>
      </c>
      <c r="K99" s="8">
        <f t="shared" si="37"/>
        <v>13.600330335561699</v>
      </c>
      <c r="L99" s="8">
        <v>25</v>
      </c>
      <c r="M99" s="12">
        <f t="shared" si="29"/>
        <v>18.816214338611509</v>
      </c>
      <c r="N99" s="12" t="str">
        <f t="shared" si="30"/>
        <v>No</v>
      </c>
      <c r="O99" s="8">
        <f t="shared" si="27"/>
        <v>3.7453011530574898E-5</v>
      </c>
      <c r="P99" s="82"/>
      <c r="Q99" s="38">
        <f>'Kc calculation'!D95</f>
        <v>1.1499999999999999</v>
      </c>
      <c r="R99" s="8">
        <f>'ETo Penman Montheit FAO 56'!AI97</f>
        <v>5.9142485464847487</v>
      </c>
      <c r="S99" s="12">
        <f t="shared" si="31"/>
        <v>6.8013858284574606</v>
      </c>
      <c r="T99" s="8">
        <f t="shared" si="39"/>
        <v>2.5473238185710597E-4</v>
      </c>
      <c r="U99" s="13">
        <f t="shared" si="32"/>
        <v>14.699669664438302</v>
      </c>
      <c r="V99" s="9">
        <f t="shared" si="33"/>
        <v>83.815798519047434</v>
      </c>
      <c r="W99" s="10"/>
      <c r="X99" s="10"/>
      <c r="Y99" s="7" t="str">
        <f t="shared" si="34"/>
        <v>Apply irrigation</v>
      </c>
      <c r="Z99" s="8">
        <f t="shared" si="38"/>
        <v>0</v>
      </c>
      <c r="AK99" s="55">
        <v>0.40419999999999995</v>
      </c>
    </row>
    <row r="100" spans="1:37" x14ac:dyDescent="0.45">
      <c r="A100" s="25">
        <f>'ETo Penman Montheit FAO 56'!A98</f>
        <v>45842</v>
      </c>
      <c r="B100" s="37">
        <v>95</v>
      </c>
      <c r="C100" s="18">
        <f t="shared" si="25"/>
        <v>28.3</v>
      </c>
      <c r="D100" s="18">
        <f t="shared" si="26"/>
        <v>13.6</v>
      </c>
      <c r="E100" s="7">
        <f t="shared" si="40"/>
        <v>14.700000000000001</v>
      </c>
      <c r="F100" s="54">
        <f t="shared" si="35"/>
        <v>0.57106929179631183</v>
      </c>
      <c r="G100" s="18">
        <f t="shared" si="36"/>
        <v>0.4</v>
      </c>
      <c r="H100" s="18">
        <f t="shared" si="41"/>
        <v>5.8800000000000008</v>
      </c>
      <c r="I100" s="18">
        <f t="shared" si="28"/>
        <v>33.578874357623143</v>
      </c>
      <c r="J100" s="18">
        <f t="shared" si="42"/>
        <v>22.42</v>
      </c>
      <c r="K100" s="8">
        <f t="shared" si="37"/>
        <v>13.600285729349192</v>
      </c>
      <c r="L100" s="8">
        <v>24</v>
      </c>
      <c r="M100" s="12">
        <f t="shared" si="29"/>
        <v>24.555979547241414</v>
      </c>
      <c r="N100" s="12" t="str">
        <f t="shared" si="30"/>
        <v>No</v>
      </c>
      <c r="O100" s="8">
        <f t="shared" si="27"/>
        <v>3.2395617822311706E-5</v>
      </c>
      <c r="P100" s="82"/>
      <c r="Q100" s="38">
        <f>'Kc calculation'!D96</f>
        <v>1.1499999999999999</v>
      </c>
      <c r="R100" s="8">
        <f>'ETo Penman Montheit FAO 56'!AI98</f>
        <v>5.9127724900317737</v>
      </c>
      <c r="S100" s="12">
        <f t="shared" si="31"/>
        <v>6.7996883635365393</v>
      </c>
      <c r="T100" s="8">
        <f t="shared" si="39"/>
        <v>2.2028010553594982E-4</v>
      </c>
      <c r="U100" s="13">
        <f t="shared" si="32"/>
        <v>14.699714270650809</v>
      </c>
      <c r="V100" s="9">
        <f t="shared" si="33"/>
        <v>83.945554181486969</v>
      </c>
      <c r="W100" s="10"/>
      <c r="X100" s="10"/>
      <c r="Y100" s="7" t="str">
        <f t="shared" si="34"/>
        <v>Apply irrigation</v>
      </c>
      <c r="Z100" s="8">
        <f t="shared" si="38"/>
        <v>0</v>
      </c>
      <c r="AK100" s="55">
        <v>-0.2</v>
      </c>
    </row>
    <row r="101" spans="1:37" x14ac:dyDescent="0.45">
      <c r="A101" s="25">
        <f>'ETo Penman Montheit FAO 56'!A99</f>
        <v>45843</v>
      </c>
      <c r="B101" s="37">
        <v>96</v>
      </c>
      <c r="C101" s="18">
        <f t="shared" si="25"/>
        <v>28.3</v>
      </c>
      <c r="D101" s="18">
        <f t="shared" si="26"/>
        <v>13.6</v>
      </c>
      <c r="E101" s="7">
        <f t="shared" ref="E101:E136" si="43">C101-D101</f>
        <v>14.700000000000001</v>
      </c>
      <c r="F101" s="54">
        <f t="shared" si="35"/>
        <v>0.57192423611101806</v>
      </c>
      <c r="G101" s="18">
        <f t="shared" si="36"/>
        <v>0.4</v>
      </c>
      <c r="H101" s="18">
        <f>E101*G101</f>
        <v>5.8800000000000008</v>
      </c>
      <c r="I101" s="18">
        <f>H101/100*F101*1000</f>
        <v>33.629145083327863</v>
      </c>
      <c r="J101" s="18">
        <f>C101-E101*G101</f>
        <v>22.42</v>
      </c>
      <c r="K101" s="8">
        <f>IF((K100-(T100*100/(F101*1000))+((W101+X101)*100)/(F101*1000))&gt;C100,C100,(K100-(T100*100/(F101*1000))+((W101+X101)*100)/(F101*1000)))</f>
        <v>13.600247213739671</v>
      </c>
      <c r="L101" s="8">
        <v>25</v>
      </c>
      <c r="M101" s="12">
        <f t="shared" ref="M101:M136" si="44">(C101-L101)/100*F101*1000</f>
        <v>18.873499791663601</v>
      </c>
      <c r="N101" s="12" t="str">
        <f t="shared" si="30"/>
        <v>No</v>
      </c>
      <c r="O101" s="8">
        <f t="shared" ref="O101:O136" si="45">IF(K101&gt;J101,1,(1-(J101-K101)/(J101-D101)))</f>
        <v>2.8028768670251836E-5</v>
      </c>
      <c r="P101" s="82"/>
      <c r="Q101" s="38">
        <f>'Kc calculation'!D97</f>
        <v>1.1499999999999999</v>
      </c>
      <c r="R101" s="8">
        <f>'ETo Penman Montheit FAO 56'!AI99</f>
        <v>5.9111872305487756</v>
      </c>
      <c r="S101" s="12">
        <f t="shared" ref="S101:S125" si="46">Q101*R101</f>
        <v>6.7978653151310917</v>
      </c>
      <c r="T101" s="8">
        <f t="shared" ref="T101:T125" si="47">S101*O101</f>
        <v>1.9053579436933797E-4</v>
      </c>
      <c r="U101" s="13">
        <f t="shared" ref="U101:U125" si="48">C101-K101</f>
        <v>14.69975278626033</v>
      </c>
      <c r="V101" s="9">
        <f t="shared" ref="V101:V125" si="49">IF(((U101/100)*F101*1000-(X101+W101))&gt;0,((U101/100)*F101*1000-(X101+W101)),0)</f>
        <v>84.071448833027489</v>
      </c>
      <c r="W101" s="10"/>
      <c r="X101" s="10"/>
      <c r="Y101" s="7" t="str">
        <f t="shared" ref="Y101:Y125" si="50">IF(K101&gt;J101,"Do not apply irrigation","Apply irrigation")</f>
        <v>Apply irrigation</v>
      </c>
      <c r="Z101" s="8">
        <f t="shared" ref="Z101:Z125" si="51">IF((K100-(T100*100/(F101*1000))+(W101+X101)*100/(F101*1000))&gt;C100,(K100-(T100*100/(F101*1000))+(W101+X101)*100/(F101*1000))-C101,0)</f>
        <v>0</v>
      </c>
    </row>
    <row r="102" spans="1:37" x14ac:dyDescent="0.45">
      <c r="A102" s="25">
        <f>'ETo Penman Montheit FAO 56'!A100</f>
        <v>45844</v>
      </c>
      <c r="B102" s="37">
        <v>97</v>
      </c>
      <c r="C102" s="18">
        <f t="shared" si="25"/>
        <v>28.3</v>
      </c>
      <c r="D102" s="18">
        <f t="shared" si="26"/>
        <v>13.6</v>
      </c>
      <c r="E102" s="7">
        <f t="shared" si="43"/>
        <v>14.700000000000001</v>
      </c>
      <c r="F102" s="54">
        <f t="shared" si="35"/>
        <v>0.57275391558339472</v>
      </c>
      <c r="G102" s="18">
        <f t="shared" si="36"/>
        <v>0.4</v>
      </c>
      <c r="H102" s="18">
        <f t="shared" ref="H102:H136" si="52">E102*G102</f>
        <v>5.8800000000000008</v>
      </c>
      <c r="I102" s="18">
        <f t="shared" ref="I102:I136" si="53">H102/100*F102*1000</f>
        <v>33.677930236303609</v>
      </c>
      <c r="J102" s="18">
        <f t="shared" ref="J102:J136" si="54">C102-E102*G102</f>
        <v>22.42</v>
      </c>
      <c r="K102" s="8">
        <f t="shared" ref="K102:K136" si="55">IF((K101-(T101*100/(F102*1000))+((W102+X102)*100)/(F102*1000))&gt;C101,C101,(K101-(T101*100/(F102*1000))+((W102+X102)*100)/(F102*1000)))</f>
        <v>13.600213947132637</v>
      </c>
      <c r="L102" s="8">
        <v>26</v>
      </c>
      <c r="M102" s="12">
        <f t="shared" si="44"/>
        <v>13.173340058418081</v>
      </c>
      <c r="N102" s="12" t="str">
        <f t="shared" si="30"/>
        <v>No</v>
      </c>
      <c r="O102" s="8">
        <f t="shared" si="45"/>
        <v>2.4257044516695636E-5</v>
      </c>
      <c r="P102" s="82"/>
      <c r="Q102" s="38">
        <f>'Kc calculation'!D98</f>
        <v>1.1499999999999999</v>
      </c>
      <c r="R102" s="8">
        <f>'ETo Penman Montheit FAO 56'!AI100</f>
        <v>5.9094921201367985</v>
      </c>
      <c r="S102" s="12">
        <f t="shared" si="46"/>
        <v>6.795915938157318</v>
      </c>
      <c r="T102" s="8">
        <f t="shared" si="47"/>
        <v>1.6484883544360345E-4</v>
      </c>
      <c r="U102" s="13">
        <f t="shared" si="48"/>
        <v>14.699786052867363</v>
      </c>
      <c r="V102" s="9">
        <f t="shared" si="49"/>
        <v>84.193600200179574</v>
      </c>
      <c r="W102" s="10"/>
      <c r="X102" s="10"/>
      <c r="Y102" s="7" t="str">
        <f t="shared" si="50"/>
        <v>Apply irrigation</v>
      </c>
      <c r="Z102" s="8">
        <f t="shared" si="51"/>
        <v>0</v>
      </c>
    </row>
    <row r="103" spans="1:37" x14ac:dyDescent="0.45">
      <c r="A103" s="25">
        <f>'ETo Penman Montheit FAO 56'!A101</f>
        <v>45845</v>
      </c>
      <c r="B103" s="37">
        <v>98</v>
      </c>
      <c r="C103" s="18">
        <f t="shared" si="25"/>
        <v>28.3</v>
      </c>
      <c r="D103" s="18">
        <f t="shared" si="26"/>
        <v>13.6</v>
      </c>
      <c r="E103" s="7">
        <f t="shared" si="43"/>
        <v>14.700000000000001</v>
      </c>
      <c r="F103" s="54">
        <f t="shared" si="35"/>
        <v>0.5735590768261124</v>
      </c>
      <c r="G103" s="18">
        <f t="shared" si="36"/>
        <v>0.4</v>
      </c>
      <c r="H103" s="18">
        <f t="shared" si="52"/>
        <v>5.8800000000000008</v>
      </c>
      <c r="I103" s="18">
        <f t="shared" si="53"/>
        <v>33.725273717375408</v>
      </c>
      <c r="J103" s="18">
        <f t="shared" si="54"/>
        <v>22.42</v>
      </c>
      <c r="K103" s="8">
        <f t="shared" si="55"/>
        <v>13.600185205745376</v>
      </c>
      <c r="L103" s="8">
        <v>27</v>
      </c>
      <c r="M103" s="12">
        <f t="shared" si="44"/>
        <v>7.4562679987394649</v>
      </c>
      <c r="N103" s="12" t="str">
        <f t="shared" si="30"/>
        <v>No</v>
      </c>
      <c r="O103" s="8">
        <f t="shared" si="45"/>
        <v>2.0998383829518019E-5</v>
      </c>
      <c r="P103" s="82"/>
      <c r="Q103" s="38">
        <f>'Kc calculation'!D99</f>
        <v>1.1499999999999999</v>
      </c>
      <c r="R103" s="8">
        <f>'ETo Penman Montheit FAO 56'!AI101</f>
        <v>5.9076864597456691</v>
      </c>
      <c r="S103" s="12">
        <f t="shared" si="46"/>
        <v>6.7938394287075186</v>
      </c>
      <c r="T103" s="8">
        <f t="shared" si="47"/>
        <v>1.4265964800011389E-4</v>
      </c>
      <c r="U103" s="13">
        <f t="shared" si="48"/>
        <v>14.699814794254625</v>
      </c>
      <c r="V103" s="9">
        <f t="shared" si="49"/>
        <v>84.312122029075127</v>
      </c>
      <c r="W103" s="10"/>
      <c r="X103" s="10"/>
      <c r="Y103" s="7" t="str">
        <f t="shared" si="50"/>
        <v>Apply irrigation</v>
      </c>
      <c r="Z103" s="8">
        <f t="shared" si="51"/>
        <v>0</v>
      </c>
    </row>
    <row r="104" spans="1:37" x14ac:dyDescent="0.45">
      <c r="A104" s="25">
        <f>'ETo Penman Montheit FAO 56'!A102</f>
        <v>45846</v>
      </c>
      <c r="B104" s="37">
        <v>99</v>
      </c>
      <c r="C104" s="18">
        <f t="shared" si="25"/>
        <v>28.3</v>
      </c>
      <c r="D104" s="18">
        <f t="shared" si="26"/>
        <v>13.6</v>
      </c>
      <c r="E104" s="7">
        <f t="shared" si="43"/>
        <v>14.700000000000001</v>
      </c>
      <c r="F104" s="54">
        <f t="shared" si="35"/>
        <v>0.57434044438835608</v>
      </c>
      <c r="G104" s="18">
        <f t="shared" si="36"/>
        <v>0.4</v>
      </c>
      <c r="H104" s="18">
        <f t="shared" si="52"/>
        <v>5.8800000000000008</v>
      </c>
      <c r="I104" s="18">
        <f t="shared" si="53"/>
        <v>33.771218130035344</v>
      </c>
      <c r="J104" s="18">
        <f t="shared" si="54"/>
        <v>22.42</v>
      </c>
      <c r="K104" s="8">
        <f t="shared" si="55"/>
        <v>13.60016036688031</v>
      </c>
      <c r="L104" s="8">
        <v>28</v>
      </c>
      <c r="M104" s="12">
        <f t="shared" si="44"/>
        <v>1.7230213331650723</v>
      </c>
      <c r="N104" s="12" t="str">
        <f t="shared" si="30"/>
        <v>No</v>
      </c>
      <c r="O104" s="8">
        <f t="shared" si="45"/>
        <v>1.818218597626764E-5</v>
      </c>
      <c r="P104" s="82"/>
      <c r="Q104" s="38">
        <f>'Kc calculation'!D100</f>
        <v>1.1499999999999999</v>
      </c>
      <c r="R104" s="8">
        <f>'ETo Penman Montheit FAO 56'!AI102</f>
        <v>5.9057694987553608</v>
      </c>
      <c r="S104" s="12">
        <f t="shared" si="46"/>
        <v>6.7916349235686644</v>
      </c>
      <c r="T104" s="8">
        <f t="shared" si="47"/>
        <v>1.2348676926323971E-4</v>
      </c>
      <c r="U104" s="13">
        <f t="shared" si="48"/>
        <v>14.699839633119691</v>
      </c>
      <c r="V104" s="9">
        <f t="shared" si="49"/>
        <v>84.427124273235336</v>
      </c>
      <c r="W104" s="10"/>
      <c r="X104" s="10"/>
      <c r="Y104" s="7" t="str">
        <f t="shared" si="50"/>
        <v>Apply irrigation</v>
      </c>
      <c r="Z104" s="8">
        <f t="shared" si="51"/>
        <v>0</v>
      </c>
    </row>
    <row r="105" spans="1:37" x14ac:dyDescent="0.45">
      <c r="A105" s="25">
        <f>'ETo Penman Montheit FAO 56'!A103</f>
        <v>45847</v>
      </c>
      <c r="B105" s="37">
        <v>100</v>
      </c>
      <c r="C105" s="18">
        <f t="shared" si="25"/>
        <v>28.3</v>
      </c>
      <c r="D105" s="18">
        <f t="shared" si="26"/>
        <v>13.6</v>
      </c>
      <c r="E105" s="7">
        <f t="shared" si="43"/>
        <v>14.700000000000001</v>
      </c>
      <c r="F105" s="54">
        <f t="shared" si="35"/>
        <v>0.57509872140783347</v>
      </c>
      <c r="G105" s="18">
        <f t="shared" si="36"/>
        <v>0.4</v>
      </c>
      <c r="H105" s="18">
        <f t="shared" si="52"/>
        <v>5.8800000000000008</v>
      </c>
      <c r="I105" s="18">
        <f t="shared" si="53"/>
        <v>33.815804818780613</v>
      </c>
      <c r="J105" s="18">
        <f t="shared" si="54"/>
        <v>22.42</v>
      </c>
      <c r="K105" s="8">
        <f t="shared" si="55"/>
        <v>13.600138894606999</v>
      </c>
      <c r="L105" s="8">
        <v>29</v>
      </c>
      <c r="M105" s="12">
        <f t="shared" si="44"/>
        <v>-4.0256910498548297</v>
      </c>
      <c r="N105" s="12" t="str">
        <f t="shared" si="30"/>
        <v>No</v>
      </c>
      <c r="O105" s="8">
        <f t="shared" si="45"/>
        <v>1.5747687868494786E-5</v>
      </c>
      <c r="P105" s="82"/>
      <c r="Q105" s="38">
        <f>'Kc calculation'!D101</f>
        <v>1.1499999999999999</v>
      </c>
      <c r="R105" s="8">
        <f>'ETo Penman Montheit FAO 56'!AI103</f>
        <v>5.9037404345388582</v>
      </c>
      <c r="S105" s="12">
        <f t="shared" si="46"/>
        <v>6.7893014997196861</v>
      </c>
      <c r="T105" s="8">
        <f t="shared" si="47"/>
        <v>1.0691580086268916E-4</v>
      </c>
      <c r="U105" s="13">
        <f t="shared" si="48"/>
        <v>14.699861105393001</v>
      </c>
      <c r="V105" s="9">
        <f t="shared" si="49"/>
        <v>84.53871326584256</v>
      </c>
      <c r="W105" s="10"/>
      <c r="X105" s="10"/>
      <c r="Y105" s="7" t="str">
        <f t="shared" si="50"/>
        <v>Apply irrigation</v>
      </c>
      <c r="Z105" s="8">
        <f t="shared" si="51"/>
        <v>0</v>
      </c>
    </row>
    <row r="106" spans="1:37" x14ac:dyDescent="0.45">
      <c r="A106" s="25">
        <f>'ETo Penman Montheit FAO 56'!A104</f>
        <v>45848</v>
      </c>
      <c r="B106" s="37">
        <v>101</v>
      </c>
      <c r="C106" s="18">
        <f t="shared" si="25"/>
        <v>28.3</v>
      </c>
      <c r="D106" s="18">
        <f t="shared" si="26"/>
        <v>13.6</v>
      </c>
      <c r="E106" s="7">
        <f t="shared" si="43"/>
        <v>14.700000000000001</v>
      </c>
      <c r="F106" s="54">
        <f t="shared" si="35"/>
        <v>0.57583459024351491</v>
      </c>
      <c r="G106" s="18">
        <f t="shared" si="36"/>
        <v>0.4</v>
      </c>
      <c r="H106" s="18">
        <f t="shared" si="52"/>
        <v>5.8800000000000008</v>
      </c>
      <c r="I106" s="18">
        <f t="shared" si="53"/>
        <v>33.859073906318677</v>
      </c>
      <c r="J106" s="18">
        <f t="shared" si="54"/>
        <v>22.42</v>
      </c>
      <c r="K106" s="8">
        <f t="shared" si="55"/>
        <v>13.600120327504106</v>
      </c>
      <c r="L106" s="8">
        <v>30</v>
      </c>
      <c r="M106" s="12">
        <f t="shared" si="44"/>
        <v>-9.7891880341397517</v>
      </c>
      <c r="N106" s="12" t="str">
        <f t="shared" si="30"/>
        <v>No</v>
      </c>
      <c r="O106" s="8">
        <f t="shared" si="45"/>
        <v>1.3642574161698562E-5</v>
      </c>
      <c r="P106" s="82" t="s">
        <v>63</v>
      </c>
      <c r="Q106" s="38">
        <f>'Kc calculation'!D102</f>
        <v>1.1374000000000002</v>
      </c>
      <c r="R106" s="8">
        <f>'ETo Penman Montheit FAO 56'!AI104</f>
        <v>5.9015984120082647</v>
      </c>
      <c r="S106" s="12">
        <f t="shared" si="46"/>
        <v>6.7124780338182015</v>
      </c>
      <c r="T106" s="8">
        <f t="shared" si="47"/>
        <v>9.1575479385137357E-5</v>
      </c>
      <c r="U106" s="13">
        <f t="shared" si="48"/>
        <v>14.699879672495895</v>
      </c>
      <c r="V106" s="9">
        <f t="shared" si="49"/>
        <v>84.646991878406482</v>
      </c>
      <c r="W106" s="10"/>
      <c r="X106" s="10"/>
      <c r="Y106" s="7" t="str">
        <f t="shared" si="50"/>
        <v>Apply irrigation</v>
      </c>
      <c r="Z106" s="8">
        <f t="shared" si="51"/>
        <v>0</v>
      </c>
    </row>
    <row r="107" spans="1:37" x14ac:dyDescent="0.45">
      <c r="A107" s="25">
        <f>'ETo Penman Montheit FAO 56'!A105</f>
        <v>45849</v>
      </c>
      <c r="B107" s="37">
        <v>102</v>
      </c>
      <c r="C107" s="18">
        <f t="shared" si="25"/>
        <v>28.3</v>
      </c>
      <c r="D107" s="18">
        <f t="shared" si="26"/>
        <v>13.6</v>
      </c>
      <c r="E107" s="7">
        <f t="shared" si="43"/>
        <v>14.700000000000001</v>
      </c>
      <c r="F107" s="54">
        <f t="shared" si="35"/>
        <v>0.57654871308967537</v>
      </c>
      <c r="G107" s="18">
        <f t="shared" si="36"/>
        <v>0.4</v>
      </c>
      <c r="H107" s="18">
        <f t="shared" si="52"/>
        <v>5.8800000000000008</v>
      </c>
      <c r="I107" s="18">
        <f t="shared" si="53"/>
        <v>33.901064329672913</v>
      </c>
      <c r="J107" s="18">
        <f t="shared" si="54"/>
        <v>22.42</v>
      </c>
      <c r="K107" s="8">
        <f t="shared" si="55"/>
        <v>13.600104444114324</v>
      </c>
      <c r="L107" s="8">
        <v>31</v>
      </c>
      <c r="M107" s="12">
        <f t="shared" si="44"/>
        <v>-15.566815253421231</v>
      </c>
      <c r="N107" s="12" t="str">
        <f t="shared" si="30"/>
        <v>No</v>
      </c>
      <c r="O107" s="8">
        <f t="shared" si="45"/>
        <v>1.184173631796348E-5</v>
      </c>
      <c r="P107" s="82"/>
      <c r="Q107" s="38">
        <f>'Kc calculation'!D103</f>
        <v>1.1245000000000001</v>
      </c>
      <c r="R107" s="8">
        <f>'ETo Penman Montheit FAO 56'!AI105</f>
        <v>5.8993425231458785</v>
      </c>
      <c r="S107" s="12">
        <f t="shared" si="46"/>
        <v>6.6338106672775403</v>
      </c>
      <c r="T107" s="8">
        <f t="shared" si="47"/>
        <v>7.8555836705194003E-5</v>
      </c>
      <c r="U107" s="13">
        <f t="shared" si="48"/>
        <v>14.699895555885677</v>
      </c>
      <c r="V107" s="9">
        <f t="shared" si="49"/>
        <v>84.752058652985255</v>
      </c>
      <c r="W107" s="10"/>
      <c r="X107" s="10"/>
      <c r="Y107" s="7" t="str">
        <f t="shared" si="50"/>
        <v>Apply irrigation</v>
      </c>
      <c r="Z107" s="8">
        <f t="shared" si="51"/>
        <v>0</v>
      </c>
    </row>
    <row r="108" spans="1:37" x14ac:dyDescent="0.45">
      <c r="A108" s="25">
        <f>'ETo Penman Montheit FAO 56'!A106</f>
        <v>45850</v>
      </c>
      <c r="B108" s="37">
        <v>103</v>
      </c>
      <c r="C108" s="18">
        <f t="shared" si="25"/>
        <v>28.3</v>
      </c>
      <c r="D108" s="18">
        <f t="shared" si="26"/>
        <v>13.6</v>
      </c>
      <c r="E108" s="7">
        <f t="shared" si="43"/>
        <v>14.700000000000001</v>
      </c>
      <c r="F108" s="54">
        <f t="shared" si="35"/>
        <v>0.5772417325717899</v>
      </c>
      <c r="G108" s="18">
        <f t="shared" si="36"/>
        <v>0.4</v>
      </c>
      <c r="H108" s="18">
        <f t="shared" si="52"/>
        <v>5.8800000000000008</v>
      </c>
      <c r="I108" s="18">
        <f t="shared" si="53"/>
        <v>33.94181387522125</v>
      </c>
      <c r="J108" s="18">
        <f t="shared" si="54"/>
        <v>22.42</v>
      </c>
      <c r="K108" s="8">
        <f t="shared" si="55"/>
        <v>13.600090835285947</v>
      </c>
      <c r="L108" s="8">
        <v>32</v>
      </c>
      <c r="M108" s="12">
        <f t="shared" si="44"/>
        <v>-21.357944105156221</v>
      </c>
      <c r="N108" s="12" t="str">
        <f t="shared" si="30"/>
        <v>No</v>
      </c>
      <c r="O108" s="8">
        <f t="shared" si="45"/>
        <v>1.0298785254825304E-5</v>
      </c>
      <c r="P108" s="82"/>
      <c r="Q108" s="38">
        <f>'Kc calculation'!D104</f>
        <v>1.1116000000000001</v>
      </c>
      <c r="R108" s="8">
        <f>'ETo Penman Montheit FAO 56'!AI106</f>
        <v>5.8969718065220604</v>
      </c>
      <c r="S108" s="12">
        <f t="shared" si="46"/>
        <v>6.555073860129923</v>
      </c>
      <c r="T108" s="8">
        <f t="shared" si="47"/>
        <v>6.7509298014996842E-5</v>
      </c>
      <c r="U108" s="13">
        <f t="shared" si="48"/>
        <v>14.699909164714054</v>
      </c>
      <c r="V108" s="9">
        <f t="shared" si="49"/>
        <v>84.854010348874723</v>
      </c>
      <c r="W108" s="10"/>
      <c r="X108" s="10"/>
      <c r="Y108" s="7" t="str">
        <f t="shared" si="50"/>
        <v>Apply irrigation</v>
      </c>
      <c r="Z108" s="8">
        <f t="shared" si="51"/>
        <v>0</v>
      </c>
    </row>
    <row r="109" spans="1:37" x14ac:dyDescent="0.45">
      <c r="A109" s="25">
        <f>'ETo Penman Montheit FAO 56'!A107</f>
        <v>45851</v>
      </c>
      <c r="B109" s="37">
        <v>104</v>
      </c>
      <c r="C109" s="18">
        <f t="shared" si="25"/>
        <v>28.3</v>
      </c>
      <c r="D109" s="18">
        <f t="shared" si="26"/>
        <v>13.6</v>
      </c>
      <c r="E109" s="7">
        <f t="shared" si="43"/>
        <v>14.700000000000001</v>
      </c>
      <c r="F109" s="54">
        <f t="shared" si="35"/>
        <v>0.57791427232482062</v>
      </c>
      <c r="G109" s="18">
        <f t="shared" si="36"/>
        <v>0.4</v>
      </c>
      <c r="H109" s="18">
        <f t="shared" si="52"/>
        <v>5.8800000000000008</v>
      </c>
      <c r="I109" s="18">
        <f t="shared" si="53"/>
        <v>33.981359212699459</v>
      </c>
      <c r="J109" s="18">
        <f t="shared" si="54"/>
        <v>22.42</v>
      </c>
      <c r="K109" s="8">
        <f t="shared" si="55"/>
        <v>13.600079153744021</v>
      </c>
      <c r="L109" s="8">
        <v>33</v>
      </c>
      <c r="M109" s="12">
        <f t="shared" si="44"/>
        <v>-27.161970799266566</v>
      </c>
      <c r="N109" s="12" t="str">
        <f t="shared" si="30"/>
        <v>No</v>
      </c>
      <c r="O109" s="8">
        <f t="shared" si="45"/>
        <v>8.97434739477454E-6</v>
      </c>
      <c r="P109" s="82"/>
      <c r="Q109" s="38">
        <f>'Kc calculation'!D105</f>
        <v>1.0987000000000002</v>
      </c>
      <c r="R109" s="8">
        <f>'ETo Penman Montheit FAO 56'!AI107</f>
        <v>5.8944852468017102</v>
      </c>
      <c r="S109" s="12">
        <f t="shared" si="46"/>
        <v>6.4762709406610401</v>
      </c>
      <c r="T109" s="8">
        <f t="shared" si="47"/>
        <v>5.8120305244175469E-5</v>
      </c>
      <c r="U109" s="13">
        <f t="shared" si="48"/>
        <v>14.69992084625598</v>
      </c>
      <c r="V109" s="9">
        <f t="shared" si="49"/>
        <v>84.952940590964857</v>
      </c>
      <c r="W109" s="10"/>
      <c r="X109" s="10"/>
      <c r="Y109" s="7" t="str">
        <f t="shared" si="50"/>
        <v>Apply irrigation</v>
      </c>
      <c r="Z109" s="8">
        <f t="shared" si="51"/>
        <v>0</v>
      </c>
    </row>
    <row r="110" spans="1:37" x14ac:dyDescent="0.45">
      <c r="A110" s="25">
        <f>'ETo Penman Montheit FAO 56'!A108</f>
        <v>45852</v>
      </c>
      <c r="B110" s="37">
        <v>105</v>
      </c>
      <c r="C110" s="18">
        <f t="shared" si="25"/>
        <v>28.3</v>
      </c>
      <c r="D110" s="18">
        <f t="shared" si="26"/>
        <v>13.6</v>
      </c>
      <c r="E110" s="7">
        <f t="shared" si="43"/>
        <v>14.700000000000001</v>
      </c>
      <c r="F110" s="54">
        <f t="shared" si="35"/>
        <v>0.57856693755441346</v>
      </c>
      <c r="G110" s="18">
        <f t="shared" si="36"/>
        <v>0.4</v>
      </c>
      <c r="H110" s="18">
        <f t="shared" si="52"/>
        <v>5.8800000000000008</v>
      </c>
      <c r="I110" s="18">
        <f t="shared" si="53"/>
        <v>34.019735928199509</v>
      </c>
      <c r="J110" s="18">
        <f t="shared" si="54"/>
        <v>22.42</v>
      </c>
      <c r="K110" s="8">
        <f t="shared" si="55"/>
        <v>13.600069108181188</v>
      </c>
      <c r="L110" s="8">
        <v>34</v>
      </c>
      <c r="M110" s="12">
        <f t="shared" si="44"/>
        <v>-32.978315440601563</v>
      </c>
      <c r="N110" s="12" t="str">
        <f t="shared" si="30"/>
        <v>No</v>
      </c>
      <c r="O110" s="8">
        <f t="shared" si="45"/>
        <v>7.8353946925124873E-6</v>
      </c>
      <c r="P110" s="82"/>
      <c r="Q110" s="38">
        <f>'Kc calculation'!D106</f>
        <v>1.0858000000000001</v>
      </c>
      <c r="R110" s="8">
        <f>'ETo Penman Montheit FAO 56'!AI108</f>
        <v>5.8918817742411944</v>
      </c>
      <c r="S110" s="12">
        <f t="shared" si="46"/>
        <v>6.3974052304710893</v>
      </c>
      <c r="T110" s="8">
        <f t="shared" si="47"/>
        <v>5.01261949886848E-5</v>
      </c>
      <c r="U110" s="13">
        <f t="shared" si="48"/>
        <v>14.699930891818813</v>
      </c>
      <c r="V110" s="9">
        <f t="shared" si="49"/>
        <v>85.048939983411287</v>
      </c>
      <c r="W110" s="10"/>
      <c r="X110" s="10"/>
      <c r="Y110" s="7" t="str">
        <f t="shared" si="50"/>
        <v>Apply irrigation</v>
      </c>
      <c r="Z110" s="8">
        <f t="shared" si="51"/>
        <v>0</v>
      </c>
    </row>
    <row r="111" spans="1:37" x14ac:dyDescent="0.45">
      <c r="A111" s="25">
        <f>'ETo Penman Montheit FAO 56'!A109</f>
        <v>45853</v>
      </c>
      <c r="B111" s="37">
        <v>106</v>
      </c>
      <c r="C111" s="18">
        <f t="shared" si="25"/>
        <v>28.3</v>
      </c>
      <c r="D111" s="18">
        <f t="shared" si="26"/>
        <v>13.6</v>
      </c>
      <c r="E111" s="7">
        <f t="shared" si="43"/>
        <v>14.700000000000001</v>
      </c>
      <c r="F111" s="54">
        <f t="shared" si="35"/>
        <v>0.57920031558151142</v>
      </c>
      <c r="G111" s="18">
        <f t="shared" si="36"/>
        <v>0.4</v>
      </c>
      <c r="H111" s="18">
        <f t="shared" si="52"/>
        <v>5.8800000000000008</v>
      </c>
      <c r="I111" s="18">
        <f t="shared" si="53"/>
        <v>34.056978556192874</v>
      </c>
      <c r="J111" s="18">
        <f t="shared" si="54"/>
        <v>22.42</v>
      </c>
      <c r="K111" s="8">
        <f t="shared" si="55"/>
        <v>13.60006045380141</v>
      </c>
      <c r="L111" s="8">
        <v>35</v>
      </c>
      <c r="M111" s="12">
        <f t="shared" si="44"/>
        <v>-38.806421143961259</v>
      </c>
      <c r="N111" s="12" t="str">
        <f t="shared" si="30"/>
        <v>No</v>
      </c>
      <c r="O111" s="8">
        <f t="shared" si="45"/>
        <v>6.8541724954629402E-6</v>
      </c>
      <c r="P111" s="82"/>
      <c r="Q111" s="38">
        <f>'Kc calculation'!D107</f>
        <v>1.0729000000000002</v>
      </c>
      <c r="R111" s="8">
        <f>'ETo Penman Montheit FAO 56'!AI109</f>
        <v>5.8891602641775966</v>
      </c>
      <c r="S111" s="12">
        <f t="shared" si="46"/>
        <v>6.3184800474361449</v>
      </c>
      <c r="T111" s="8">
        <f t="shared" si="47"/>
        <v>4.3307952154268194E-5</v>
      </c>
      <c r="U111" s="13">
        <f t="shared" si="48"/>
        <v>14.699939546198591</v>
      </c>
      <c r="V111" s="9">
        <f t="shared" si="49"/>
        <v>85.142096241873631</v>
      </c>
      <c r="W111" s="10"/>
      <c r="X111" s="10"/>
      <c r="Y111" s="7" t="str">
        <f t="shared" si="50"/>
        <v>Apply irrigation</v>
      </c>
      <c r="Z111" s="8">
        <f t="shared" si="51"/>
        <v>0</v>
      </c>
    </row>
    <row r="112" spans="1:37" x14ac:dyDescent="0.45">
      <c r="A112" s="25">
        <f>'ETo Penman Montheit FAO 56'!A110</f>
        <v>45854</v>
      </c>
      <c r="B112" s="37">
        <v>107</v>
      </c>
      <c r="C112" s="18">
        <f t="shared" si="25"/>
        <v>28.3</v>
      </c>
      <c r="D112" s="18">
        <f t="shared" si="26"/>
        <v>13.6</v>
      </c>
      <c r="E112" s="7">
        <f t="shared" si="43"/>
        <v>14.700000000000001</v>
      </c>
      <c r="F112" s="54">
        <f t="shared" si="35"/>
        <v>0.57981497637087309</v>
      </c>
      <c r="G112" s="18">
        <f t="shared" si="36"/>
        <v>0.4</v>
      </c>
      <c r="H112" s="18">
        <f t="shared" si="52"/>
        <v>5.8800000000000008</v>
      </c>
      <c r="I112" s="18">
        <f t="shared" si="53"/>
        <v>34.093120610607343</v>
      </c>
      <c r="J112" s="18">
        <f t="shared" si="54"/>
        <v>22.42</v>
      </c>
      <c r="K112" s="8">
        <f t="shared" si="55"/>
        <v>13.600052984530363</v>
      </c>
      <c r="L112" s="8">
        <v>36</v>
      </c>
      <c r="M112" s="12">
        <f t="shared" si="44"/>
        <v>-44.645753180557229</v>
      </c>
      <c r="N112" s="12" t="str">
        <f t="shared" si="30"/>
        <v>No</v>
      </c>
      <c r="O112" s="8">
        <f t="shared" si="45"/>
        <v>6.0073163676843677E-6</v>
      </c>
      <c r="P112" s="82"/>
      <c r="Q112" s="38">
        <f>'Kc calculation'!D108</f>
        <v>1.06</v>
      </c>
      <c r="R112" s="8">
        <f>'ETo Penman Montheit FAO 56'!AI110</f>
        <v>5.8863195365121408</v>
      </c>
      <c r="S112" s="12">
        <f t="shared" si="46"/>
        <v>6.2394987087028699</v>
      </c>
      <c r="T112" s="8">
        <f t="shared" si="47"/>
        <v>3.748264271893623E-5</v>
      </c>
      <c r="U112" s="13">
        <f t="shared" si="48"/>
        <v>14.699947015469638</v>
      </c>
      <c r="V112" s="9">
        <f t="shared" si="49"/>
        <v>85.232494314276153</v>
      </c>
      <c r="W112" s="10"/>
      <c r="X112" s="10"/>
      <c r="Y112" s="7" t="str">
        <f t="shared" si="50"/>
        <v>Apply irrigation</v>
      </c>
      <c r="Z112" s="8">
        <f t="shared" si="51"/>
        <v>0</v>
      </c>
    </row>
    <row r="113" spans="1:26" x14ac:dyDescent="0.45">
      <c r="A113" s="25">
        <f>'ETo Penman Montheit FAO 56'!A111</f>
        <v>45855</v>
      </c>
      <c r="B113" s="37">
        <v>108</v>
      </c>
      <c r="C113" s="18">
        <f t="shared" si="25"/>
        <v>28.3</v>
      </c>
      <c r="D113" s="18">
        <f t="shared" si="26"/>
        <v>13.6</v>
      </c>
      <c r="E113" s="7">
        <f t="shared" si="43"/>
        <v>14.700000000000001</v>
      </c>
      <c r="F113" s="54">
        <f t="shared" si="35"/>
        <v>0.58041147304397334</v>
      </c>
      <c r="G113" s="18">
        <f t="shared" si="36"/>
        <v>0.4</v>
      </c>
      <c r="H113" s="18">
        <f t="shared" si="52"/>
        <v>5.8800000000000008</v>
      </c>
      <c r="I113" s="18">
        <f t="shared" si="53"/>
        <v>34.128194614985631</v>
      </c>
      <c r="J113" s="18">
        <f t="shared" si="54"/>
        <v>22.42</v>
      </c>
      <c r="K113" s="8">
        <f t="shared" si="55"/>
        <v>13.600046526587255</v>
      </c>
      <c r="L113" s="8">
        <v>37</v>
      </c>
      <c r="M113" s="12">
        <f t="shared" si="44"/>
        <v>-50.495798154825671</v>
      </c>
      <c r="N113" s="12" t="str">
        <f t="shared" si="30"/>
        <v>No</v>
      </c>
      <c r="O113" s="8">
        <f t="shared" si="45"/>
        <v>5.2751232715309015E-6</v>
      </c>
      <c r="P113" s="82"/>
      <c r="Q113" s="38">
        <f>'Kc calculation'!D109</f>
        <v>1.0471000000000001</v>
      </c>
      <c r="R113" s="8">
        <f>'ETo Penman Montheit FAO 56'!AI111</f>
        <v>5.8833583551896727</v>
      </c>
      <c r="S113" s="12">
        <f t="shared" si="46"/>
        <v>6.1604645337191073</v>
      </c>
      <c r="T113" s="8">
        <f t="shared" si="47"/>
        <v>3.2497209825262428E-5</v>
      </c>
      <c r="U113" s="13">
        <f t="shared" si="48"/>
        <v>14.699953473412746</v>
      </c>
      <c r="V113" s="9">
        <f t="shared" si="49"/>
        <v>85.320216491813653</v>
      </c>
      <c r="W113" s="10"/>
      <c r="X113" s="10"/>
      <c r="Y113" s="7" t="str">
        <f t="shared" si="50"/>
        <v>Apply irrigation</v>
      </c>
      <c r="Z113" s="8">
        <f t="shared" si="51"/>
        <v>0</v>
      </c>
    </row>
    <row r="114" spans="1:26" x14ac:dyDescent="0.45">
      <c r="A114" s="25">
        <f>'ETo Penman Montheit FAO 56'!A112</f>
        <v>45856</v>
      </c>
      <c r="B114" s="37">
        <v>109</v>
      </c>
      <c r="C114" s="18">
        <f t="shared" si="25"/>
        <v>28.3</v>
      </c>
      <c r="D114" s="18">
        <f t="shared" si="26"/>
        <v>13.6</v>
      </c>
      <c r="E114" s="7">
        <f t="shared" si="43"/>
        <v>14.700000000000001</v>
      </c>
      <c r="F114" s="54">
        <f t="shared" si="35"/>
        <v>0.58099034237674652</v>
      </c>
      <c r="G114" s="18">
        <f t="shared" si="36"/>
        <v>0.4</v>
      </c>
      <c r="H114" s="18">
        <f t="shared" si="52"/>
        <v>5.8800000000000008</v>
      </c>
      <c r="I114" s="18">
        <f t="shared" si="53"/>
        <v>34.162232131752702</v>
      </c>
      <c r="J114" s="18">
        <f t="shared" si="54"/>
        <v>22.42</v>
      </c>
      <c r="K114" s="8">
        <f t="shared" si="55"/>
        <v>13.600040933170728</v>
      </c>
      <c r="L114" s="8">
        <v>38</v>
      </c>
      <c r="M114" s="12">
        <f t="shared" si="44"/>
        <v>-56.356063210544406</v>
      </c>
      <c r="N114" s="12" t="str">
        <f t="shared" si="30"/>
        <v>No</v>
      </c>
      <c r="O114" s="8">
        <f t="shared" si="45"/>
        <v>4.6409490621623917E-6</v>
      </c>
      <c r="P114" s="82"/>
      <c r="Q114" s="38">
        <f>'Kc calculation'!D110</f>
        <v>1.0342000000000002</v>
      </c>
      <c r="R114" s="8">
        <f>'ETo Penman Montheit FAO 56'!AI112</f>
        <v>5.8802754276760387</v>
      </c>
      <c r="S114" s="12">
        <f t="shared" si="46"/>
        <v>6.0813808473025608</v>
      </c>
      <c r="T114" s="8">
        <f t="shared" si="47"/>
        <v>2.822337873994115E-5</v>
      </c>
      <c r="U114" s="13">
        <f t="shared" si="48"/>
        <v>14.699959066829273</v>
      </c>
      <c r="V114" s="9">
        <f t="shared" si="49"/>
        <v>85.405342511612972</v>
      </c>
      <c r="W114" s="10"/>
      <c r="X114" s="10"/>
      <c r="Y114" s="7" t="str">
        <f t="shared" si="50"/>
        <v>Apply irrigation</v>
      </c>
      <c r="Z114" s="8">
        <f t="shared" si="51"/>
        <v>0</v>
      </c>
    </row>
    <row r="115" spans="1:26" x14ac:dyDescent="0.45">
      <c r="A115" s="25">
        <f>'ETo Penman Montheit FAO 56'!A113</f>
        <v>45857</v>
      </c>
      <c r="B115" s="37">
        <v>110</v>
      </c>
      <c r="C115" s="18">
        <f t="shared" si="25"/>
        <v>28.3</v>
      </c>
      <c r="D115" s="18">
        <f t="shared" si="26"/>
        <v>13.6</v>
      </c>
      <c r="E115" s="7">
        <f t="shared" si="43"/>
        <v>14.700000000000001</v>
      </c>
      <c r="F115" s="54">
        <f t="shared" si="35"/>
        <v>0.58155210528262102</v>
      </c>
      <c r="G115" s="18">
        <f t="shared" si="36"/>
        <v>0.4</v>
      </c>
      <c r="H115" s="18">
        <f t="shared" si="52"/>
        <v>5.8800000000000008</v>
      </c>
      <c r="I115" s="18">
        <f t="shared" si="53"/>
        <v>34.195263790618114</v>
      </c>
      <c r="J115" s="18">
        <f t="shared" si="54"/>
        <v>22.42</v>
      </c>
      <c r="K115" s="8">
        <f t="shared" si="55"/>
        <v>13.600036080058086</v>
      </c>
      <c r="L115" s="8">
        <v>39</v>
      </c>
      <c r="M115" s="12">
        <f t="shared" si="44"/>
        <v>-62.226075265240446</v>
      </c>
      <c r="N115" s="12" t="str">
        <f t="shared" si="30"/>
        <v>No</v>
      </c>
      <c r="O115" s="8">
        <f t="shared" si="45"/>
        <v>4.0907095335551702E-6</v>
      </c>
      <c r="P115" s="82"/>
      <c r="Q115" s="38">
        <f>'Kc calculation'!D111</f>
        <v>1.0213000000000001</v>
      </c>
      <c r="R115" s="8">
        <f>'ETo Penman Montheit FAO 56'!AI113</f>
        <v>5.8770694044352627</v>
      </c>
      <c r="S115" s="12">
        <f t="shared" si="46"/>
        <v>6.0022509827497341</v>
      </c>
      <c r="T115" s="8">
        <f t="shared" si="47"/>
        <v>2.4553465317925227E-5</v>
      </c>
      <c r="U115" s="13">
        <f t="shared" si="48"/>
        <v>14.699963919941915</v>
      </c>
      <c r="V115" s="9">
        <f t="shared" si="49"/>
        <v>85.487949652207917</v>
      </c>
      <c r="W115" s="10"/>
      <c r="X115" s="10"/>
      <c r="Y115" s="7" t="str">
        <f t="shared" si="50"/>
        <v>Apply irrigation</v>
      </c>
      <c r="Z115" s="8">
        <f t="shared" si="51"/>
        <v>0</v>
      </c>
    </row>
    <row r="116" spans="1:26" x14ac:dyDescent="0.45">
      <c r="A116" s="25">
        <f>'ETo Penman Montheit FAO 56'!A114</f>
        <v>45858</v>
      </c>
      <c r="B116" s="37">
        <v>111</v>
      </c>
      <c r="C116" s="18">
        <f t="shared" si="25"/>
        <v>28.3</v>
      </c>
      <c r="D116" s="18">
        <f t="shared" si="26"/>
        <v>13.6</v>
      </c>
      <c r="E116" s="7">
        <f t="shared" si="43"/>
        <v>14.700000000000001</v>
      </c>
      <c r="F116" s="54">
        <f t="shared" si="35"/>
        <v>0.58209726728127931</v>
      </c>
      <c r="G116" s="18">
        <f t="shared" si="36"/>
        <v>0.4</v>
      </c>
      <c r="H116" s="18">
        <f t="shared" si="52"/>
        <v>5.8800000000000008</v>
      </c>
      <c r="I116" s="18">
        <f t="shared" si="53"/>
        <v>34.227319316139223</v>
      </c>
      <c r="J116" s="18">
        <f t="shared" si="54"/>
        <v>22.42</v>
      </c>
      <c r="K116" s="8">
        <f t="shared" si="55"/>
        <v>13.600031861954566</v>
      </c>
      <c r="L116" s="8">
        <v>40</v>
      </c>
      <c r="M116" s="12">
        <f t="shared" si="44"/>
        <v>-68.105380271909667</v>
      </c>
      <c r="N116" s="12" t="str">
        <f t="shared" si="30"/>
        <v>No</v>
      </c>
      <c r="O116" s="8">
        <f t="shared" si="45"/>
        <v>3.6124665041548099E-6</v>
      </c>
      <c r="P116" s="82"/>
      <c r="Q116" s="38">
        <f>'Kc calculation'!D112</f>
        <v>1.0084000000000002</v>
      </c>
      <c r="R116" s="8">
        <f>'ETo Penman Montheit FAO 56'!AI114</f>
        <v>5.8737388784083207</v>
      </c>
      <c r="S116" s="12">
        <f t="shared" si="46"/>
        <v>5.9230782849869517</v>
      </c>
      <c r="T116" s="8">
        <f t="shared" si="47"/>
        <v>2.1396921906002079E-5</v>
      </c>
      <c r="U116" s="13">
        <f t="shared" si="48"/>
        <v>14.699968138045435</v>
      </c>
      <c r="V116" s="9">
        <f t="shared" si="49"/>
        <v>85.568112822781231</v>
      </c>
      <c r="W116" s="10"/>
      <c r="X116" s="10"/>
      <c r="Y116" s="7" t="str">
        <f t="shared" si="50"/>
        <v>Apply irrigation</v>
      </c>
      <c r="Z116" s="8">
        <f t="shared" si="51"/>
        <v>0</v>
      </c>
    </row>
    <row r="117" spans="1:26" x14ac:dyDescent="0.45">
      <c r="A117" s="25">
        <f>'ETo Penman Montheit FAO 56'!A115</f>
        <v>45859</v>
      </c>
      <c r="B117" s="37">
        <v>112</v>
      </c>
      <c r="C117" s="18">
        <f t="shared" si="25"/>
        <v>28.3</v>
      </c>
      <c r="D117" s="18">
        <f t="shared" si="26"/>
        <v>13.6</v>
      </c>
      <c r="E117" s="7">
        <f t="shared" si="43"/>
        <v>14.700000000000001</v>
      </c>
      <c r="F117" s="54">
        <f t="shared" si="35"/>
        <v>0.5826263189535652</v>
      </c>
      <c r="G117" s="18">
        <f t="shared" si="36"/>
        <v>0.4</v>
      </c>
      <c r="H117" s="18">
        <f t="shared" si="52"/>
        <v>5.8800000000000008</v>
      </c>
      <c r="I117" s="18">
        <f t="shared" si="53"/>
        <v>34.258427554469641</v>
      </c>
      <c r="J117" s="18">
        <f t="shared" si="54"/>
        <v>22.42</v>
      </c>
      <c r="K117" s="8">
        <f t="shared" si="55"/>
        <v>13.600028189459657</v>
      </c>
      <c r="L117" s="8">
        <v>41</v>
      </c>
      <c r="M117" s="12">
        <f t="shared" si="44"/>
        <v>-73.993542507102788</v>
      </c>
      <c r="N117" s="12" t="str">
        <f t="shared" si="30"/>
        <v>No</v>
      </c>
      <c r="O117" s="8">
        <f t="shared" si="45"/>
        <v>3.1960838613454001E-6</v>
      </c>
      <c r="P117" s="82"/>
      <c r="Q117" s="38">
        <f>'Kc calculation'!D113</f>
        <v>0.99550000000000005</v>
      </c>
      <c r="R117" s="8">
        <f>'ETo Penman Montheit FAO 56'!AI115</f>
        <v>5.870282384495404</v>
      </c>
      <c r="S117" s="12">
        <f t="shared" si="46"/>
        <v>5.8438661137651753</v>
      </c>
      <c r="T117" s="8">
        <f t="shared" si="47"/>
        <v>1.8677486174068137E-5</v>
      </c>
      <c r="U117" s="13">
        <f t="shared" si="48"/>
        <v>14.699971810540344</v>
      </c>
      <c r="V117" s="9">
        <f t="shared" si="49"/>
        <v>85.645904646962947</v>
      </c>
      <c r="W117" s="10"/>
      <c r="X117" s="10"/>
      <c r="Y117" s="7" t="str">
        <f t="shared" si="50"/>
        <v>Apply irrigation</v>
      </c>
      <c r="Z117" s="8">
        <f t="shared" si="51"/>
        <v>0</v>
      </c>
    </row>
    <row r="118" spans="1:26" x14ac:dyDescent="0.45">
      <c r="A118" s="25">
        <f>'ETo Penman Montheit FAO 56'!A116</f>
        <v>45860</v>
      </c>
      <c r="B118" s="37">
        <v>113</v>
      </c>
      <c r="C118" s="18">
        <f t="shared" si="25"/>
        <v>28.3</v>
      </c>
      <c r="D118" s="18">
        <f t="shared" si="26"/>
        <v>13.6</v>
      </c>
      <c r="E118" s="7">
        <f t="shared" si="43"/>
        <v>14.700000000000001</v>
      </c>
      <c r="F118" s="54">
        <f t="shared" si="35"/>
        <v>0.58313973638294825</v>
      </c>
      <c r="G118" s="18">
        <f t="shared" si="36"/>
        <v>0.4</v>
      </c>
      <c r="H118" s="18">
        <f t="shared" si="52"/>
        <v>5.8800000000000008</v>
      </c>
      <c r="I118" s="18">
        <f t="shared" si="53"/>
        <v>34.288616499317357</v>
      </c>
      <c r="J118" s="18">
        <f t="shared" si="54"/>
        <v>22.42</v>
      </c>
      <c r="K118" s="8">
        <f t="shared" si="55"/>
        <v>13.600024986541898</v>
      </c>
      <c r="L118" s="8">
        <v>42</v>
      </c>
      <c r="M118" s="12">
        <f t="shared" si="44"/>
        <v>-79.890143884463896</v>
      </c>
      <c r="N118" s="12" t="str">
        <f t="shared" si="30"/>
        <v>No</v>
      </c>
      <c r="O118" s="8">
        <f t="shared" si="45"/>
        <v>2.8329412583572022E-6</v>
      </c>
      <c r="P118" s="82"/>
      <c r="Q118" s="38">
        <f>'Kc calculation'!D114</f>
        <v>0.98260000000000014</v>
      </c>
      <c r="R118" s="8">
        <f>'ETo Penman Montheit FAO 56'!AI116</f>
        <v>5.8672184638494684</v>
      </c>
      <c r="S118" s="12">
        <f t="shared" si="46"/>
        <v>5.7651288625784884</v>
      </c>
      <c r="T118" s="8">
        <f t="shared" si="47"/>
        <v>1.6332271414544528E-5</v>
      </c>
      <c r="U118" s="13">
        <f t="shared" si="48"/>
        <v>14.699975013458102</v>
      </c>
      <c r="V118" s="9">
        <f t="shared" si="49"/>
        <v>85.721395541838845</v>
      </c>
      <c r="W118" s="10"/>
      <c r="X118" s="10"/>
      <c r="Y118" s="7" t="str">
        <f t="shared" si="50"/>
        <v>Apply irrigation</v>
      </c>
      <c r="Z118" s="8">
        <f t="shared" si="51"/>
        <v>0</v>
      </c>
    </row>
    <row r="119" spans="1:26" x14ac:dyDescent="0.45">
      <c r="A119" s="25">
        <f>'ETo Penman Montheit FAO 56'!A117</f>
        <v>45861</v>
      </c>
      <c r="B119" s="37">
        <v>114</v>
      </c>
      <c r="C119" s="18">
        <f t="shared" si="25"/>
        <v>28.3</v>
      </c>
      <c r="D119" s="18">
        <f t="shared" si="26"/>
        <v>13.6</v>
      </c>
      <c r="E119" s="7">
        <f t="shared" si="43"/>
        <v>14.700000000000001</v>
      </c>
      <c r="F119" s="54">
        <f t="shared" si="35"/>
        <v>0.58363798158394231</v>
      </c>
      <c r="G119" s="18">
        <f t="shared" si="36"/>
        <v>0.4</v>
      </c>
      <c r="H119" s="18">
        <f t="shared" si="52"/>
        <v>5.8800000000000008</v>
      </c>
      <c r="I119" s="18">
        <f t="shared" si="53"/>
        <v>34.317913317135812</v>
      </c>
      <c r="J119" s="18">
        <f t="shared" si="54"/>
        <v>22.42</v>
      </c>
      <c r="K119" s="8">
        <f t="shared" si="55"/>
        <v>13.600022188185395</v>
      </c>
      <c r="L119" s="8">
        <v>43</v>
      </c>
      <c r="M119" s="12">
        <f t="shared" si="44"/>
        <v>-85.794783292839512</v>
      </c>
      <c r="N119" s="12" t="str">
        <f t="shared" si="30"/>
        <v>No</v>
      </c>
      <c r="O119" s="8">
        <f t="shared" si="45"/>
        <v>2.5156672783799294E-6</v>
      </c>
      <c r="P119" s="82"/>
      <c r="Q119" s="38">
        <f>'Kc calculation'!D115</f>
        <v>0.96970000000000023</v>
      </c>
      <c r="R119" s="8">
        <f>'ETo Penman Montheit FAO 56'!AI117</f>
        <v>5.8672184638494684</v>
      </c>
      <c r="S119" s="12">
        <f t="shared" si="46"/>
        <v>5.6894417443948306</v>
      </c>
      <c r="T119" s="8">
        <f t="shared" si="47"/>
        <v>1.4312742428622902E-5</v>
      </c>
      <c r="U119" s="13">
        <f t="shared" si="48"/>
        <v>14.699977811814605</v>
      </c>
      <c r="V119" s="9">
        <f t="shared" si="49"/>
        <v>85.79465379416213</v>
      </c>
      <c r="W119" s="10"/>
      <c r="X119" s="10"/>
      <c r="Y119" s="7" t="str">
        <f t="shared" si="50"/>
        <v>Apply irrigation</v>
      </c>
      <c r="Z119" s="8">
        <f t="shared" si="51"/>
        <v>0</v>
      </c>
    </row>
    <row r="120" spans="1:26" x14ac:dyDescent="0.45">
      <c r="A120" s="25">
        <f>'ETo Penman Montheit FAO 56'!A118</f>
        <v>45862</v>
      </c>
      <c r="B120" s="37">
        <v>115</v>
      </c>
      <c r="C120" s="18">
        <f t="shared" si="25"/>
        <v>28.3</v>
      </c>
      <c r="D120" s="18">
        <f t="shared" si="26"/>
        <v>13.6</v>
      </c>
      <c r="E120" s="7">
        <f t="shared" si="43"/>
        <v>14.700000000000001</v>
      </c>
      <c r="F120" s="54">
        <f t="shared" si="35"/>
        <v>0.58412150291786336</v>
      </c>
      <c r="G120" s="18">
        <f t="shared" si="36"/>
        <v>0.4</v>
      </c>
      <c r="H120" s="18">
        <f t="shared" si="52"/>
        <v>5.8800000000000008</v>
      </c>
      <c r="I120" s="18">
        <f t="shared" si="53"/>
        <v>34.346344371570368</v>
      </c>
      <c r="J120" s="18">
        <f t="shared" si="54"/>
        <v>22.42</v>
      </c>
      <c r="K120" s="8">
        <f t="shared" si="55"/>
        <v>13.600019737883128</v>
      </c>
      <c r="L120" s="8">
        <v>44</v>
      </c>
      <c r="M120" s="12">
        <f t="shared" si="44"/>
        <v>-91.707075958104554</v>
      </c>
      <c r="N120" s="12" t="str">
        <f t="shared" si="30"/>
        <v>No</v>
      </c>
      <c r="O120" s="8">
        <f t="shared" si="45"/>
        <v>2.2378552300139631E-6</v>
      </c>
      <c r="P120" s="82"/>
      <c r="Q120" s="38">
        <f>'Kc calculation'!D116</f>
        <v>0.95680000000000009</v>
      </c>
      <c r="R120" s="8">
        <f>'ETo Penman Montheit FAO 56'!AI118</f>
        <v>5.8672184638494684</v>
      </c>
      <c r="S120" s="12">
        <f t="shared" si="46"/>
        <v>5.6137546262111719</v>
      </c>
      <c r="T120" s="8">
        <f t="shared" si="47"/>
        <v>1.2562770150281752E-5</v>
      </c>
      <c r="U120" s="13">
        <f t="shared" si="48"/>
        <v>14.699980262116872</v>
      </c>
      <c r="V120" s="9">
        <f t="shared" si="49"/>
        <v>85.865745635706347</v>
      </c>
      <c r="W120" s="10"/>
      <c r="X120" s="10"/>
      <c r="Y120" s="7" t="str">
        <f t="shared" si="50"/>
        <v>Apply irrigation</v>
      </c>
      <c r="Z120" s="8">
        <f t="shared" si="51"/>
        <v>0</v>
      </c>
    </row>
    <row r="121" spans="1:26" x14ac:dyDescent="0.45">
      <c r="A121" s="25">
        <f>'ETo Penman Montheit FAO 56'!A119</f>
        <v>45863</v>
      </c>
      <c r="B121" s="37">
        <v>116</v>
      </c>
      <c r="C121" s="18">
        <f t="shared" si="25"/>
        <v>28.3</v>
      </c>
      <c r="D121" s="18">
        <f t="shared" si="26"/>
        <v>13.6</v>
      </c>
      <c r="E121" s="7">
        <f t="shared" si="43"/>
        <v>14.700000000000001</v>
      </c>
      <c r="F121" s="54">
        <f t="shared" si="35"/>
        <v>0.58459073549630125</v>
      </c>
      <c r="G121" s="18">
        <f t="shared" si="36"/>
        <v>0.4</v>
      </c>
      <c r="H121" s="18">
        <f t="shared" si="52"/>
        <v>5.8800000000000008</v>
      </c>
      <c r="I121" s="18">
        <f t="shared" si="53"/>
        <v>34.373935247182516</v>
      </c>
      <c r="J121" s="18">
        <f t="shared" si="54"/>
        <v>22.42</v>
      </c>
      <c r="K121" s="8">
        <f t="shared" si="55"/>
        <v>13.600017588897627</v>
      </c>
      <c r="L121" s="8">
        <v>45</v>
      </c>
      <c r="M121" s="12">
        <f t="shared" si="44"/>
        <v>-97.626652827882296</v>
      </c>
      <c r="N121" s="12" t="str">
        <f t="shared" si="30"/>
        <v>No</v>
      </c>
      <c r="O121" s="8">
        <f t="shared" si="45"/>
        <v>1.9942060801581007E-6</v>
      </c>
      <c r="P121" s="82"/>
      <c r="Q121" s="38">
        <f>'Kc calculation'!D117</f>
        <v>0.94390000000000018</v>
      </c>
      <c r="R121" s="8">
        <f>'ETo Penman Montheit FAO 56'!AI119</f>
        <v>5.8672184638494684</v>
      </c>
      <c r="S121" s="12">
        <f t="shared" si="46"/>
        <v>5.5380675080275141</v>
      </c>
      <c r="T121" s="8">
        <f t="shared" si="47"/>
        <v>1.104404789683449E-5</v>
      </c>
      <c r="U121" s="13">
        <f t="shared" si="48"/>
        <v>14.699982411102374</v>
      </c>
      <c r="V121" s="9">
        <f t="shared" si="49"/>
        <v>85.934735294890288</v>
      </c>
      <c r="W121" s="10"/>
      <c r="X121" s="10"/>
      <c r="Y121" s="7" t="str">
        <f t="shared" si="50"/>
        <v>Apply irrigation</v>
      </c>
      <c r="Z121" s="8">
        <f t="shared" si="51"/>
        <v>0</v>
      </c>
    </row>
    <row r="122" spans="1:26" x14ac:dyDescent="0.45">
      <c r="A122" s="25">
        <f>'ETo Penman Montheit FAO 56'!A120</f>
        <v>45864</v>
      </c>
      <c r="B122" s="37">
        <v>117</v>
      </c>
      <c r="C122" s="18">
        <f t="shared" si="25"/>
        <v>28.3</v>
      </c>
      <c r="D122" s="18">
        <f t="shared" si="26"/>
        <v>13.6</v>
      </c>
      <c r="E122" s="7">
        <f t="shared" si="43"/>
        <v>14.700000000000001</v>
      </c>
      <c r="F122" s="54">
        <f t="shared" si="35"/>
        <v>0.58504610157266856</v>
      </c>
      <c r="G122" s="18">
        <f t="shared" si="36"/>
        <v>0.4</v>
      </c>
      <c r="H122" s="18">
        <f t="shared" si="52"/>
        <v>5.8800000000000008</v>
      </c>
      <c r="I122" s="18">
        <f t="shared" si="53"/>
        <v>34.400710772472912</v>
      </c>
      <c r="J122" s="18">
        <f t="shared" si="54"/>
        <v>22.42</v>
      </c>
      <c r="K122" s="8">
        <f t="shared" si="55"/>
        <v>13.600015701174955</v>
      </c>
      <c r="L122" s="8">
        <v>46</v>
      </c>
      <c r="M122" s="12">
        <f t="shared" si="44"/>
        <v>-103.55315997836233</v>
      </c>
      <c r="N122" s="12" t="str">
        <f t="shared" si="30"/>
        <v>No</v>
      </c>
      <c r="O122" s="8">
        <f t="shared" si="45"/>
        <v>1.7801785664461889E-6</v>
      </c>
      <c r="P122" s="82"/>
      <c r="Q122" s="38">
        <f>'Kc calculation'!D118</f>
        <v>0.93100000000000005</v>
      </c>
      <c r="R122" s="8">
        <f>'ETo Penman Montheit FAO 56'!AI120</f>
        <v>5.8672184638494684</v>
      </c>
      <c r="S122" s="12">
        <f t="shared" si="46"/>
        <v>5.4623803898438554</v>
      </c>
      <c r="T122" s="8">
        <f t="shared" si="47"/>
        <v>9.7240124917760093E-6</v>
      </c>
      <c r="U122" s="13">
        <f t="shared" si="48"/>
        <v>14.699984298825045</v>
      </c>
      <c r="V122" s="9">
        <f t="shared" si="49"/>
        <v>86.001685072070302</v>
      </c>
      <c r="W122" s="10"/>
      <c r="X122" s="10"/>
      <c r="Y122" s="7" t="str">
        <f t="shared" si="50"/>
        <v>Apply irrigation</v>
      </c>
      <c r="Z122" s="8">
        <f t="shared" si="51"/>
        <v>0</v>
      </c>
    </row>
    <row r="123" spans="1:26" x14ac:dyDescent="0.45">
      <c r="A123" s="25">
        <f>'ETo Penman Montheit FAO 56'!A121</f>
        <v>45865</v>
      </c>
      <c r="B123" s="37">
        <v>118</v>
      </c>
      <c r="C123" s="18">
        <f t="shared" si="25"/>
        <v>28.3</v>
      </c>
      <c r="D123" s="18">
        <f t="shared" si="26"/>
        <v>13.6</v>
      </c>
      <c r="E123" s="7">
        <f t="shared" si="43"/>
        <v>14.700000000000001</v>
      </c>
      <c r="F123" s="54">
        <f t="shared" si="35"/>
        <v>0.58548801092217817</v>
      </c>
      <c r="G123" s="18">
        <f t="shared" si="36"/>
        <v>0.4</v>
      </c>
      <c r="H123" s="18">
        <f t="shared" si="52"/>
        <v>5.8800000000000008</v>
      </c>
      <c r="I123" s="18">
        <f t="shared" si="53"/>
        <v>34.426695042224075</v>
      </c>
      <c r="J123" s="18">
        <f t="shared" si="54"/>
        <v>22.42</v>
      </c>
      <c r="K123" s="8">
        <f t="shared" si="55"/>
        <v>13.600014040336081</v>
      </c>
      <c r="L123" s="8">
        <v>47</v>
      </c>
      <c r="M123" s="12">
        <f t="shared" si="44"/>
        <v>-109.48625804244732</v>
      </c>
      <c r="N123" s="12" t="str">
        <f t="shared" si="30"/>
        <v>No</v>
      </c>
      <c r="O123" s="8">
        <f t="shared" si="45"/>
        <v>1.5918748391685611E-6</v>
      </c>
      <c r="P123" s="82"/>
      <c r="Q123" s="38">
        <f>'Kc calculation'!D119</f>
        <v>0.91810000000000014</v>
      </c>
      <c r="R123" s="8">
        <f>'ETo Penman Montheit FAO 56'!AI121</f>
        <v>5.8672184638494684</v>
      </c>
      <c r="S123" s="12">
        <f t="shared" si="46"/>
        <v>5.3866932716601976</v>
      </c>
      <c r="T123" s="8">
        <f t="shared" si="47"/>
        <v>8.5749414854744472E-6</v>
      </c>
      <c r="U123" s="13">
        <f t="shared" si="48"/>
        <v>14.69998595966392</v>
      </c>
      <c r="V123" s="9">
        <f t="shared" si="49"/>
        <v>86.066655401075749</v>
      </c>
      <c r="W123" s="10"/>
      <c r="X123" s="10"/>
      <c r="Y123" s="7" t="str">
        <f t="shared" si="50"/>
        <v>Apply irrigation</v>
      </c>
      <c r="Z123" s="8">
        <f t="shared" si="51"/>
        <v>0</v>
      </c>
    </row>
    <row r="124" spans="1:26" x14ac:dyDescent="0.45">
      <c r="A124" s="25">
        <f>'ETo Penman Montheit FAO 56'!A122</f>
        <v>45866</v>
      </c>
      <c r="B124" s="37">
        <v>119</v>
      </c>
      <c r="C124" s="18">
        <f t="shared" si="25"/>
        <v>28.3</v>
      </c>
      <c r="D124" s="18">
        <f t="shared" si="26"/>
        <v>13.6</v>
      </c>
      <c r="E124" s="7">
        <f t="shared" si="43"/>
        <v>14.700000000000001</v>
      </c>
      <c r="F124" s="54">
        <f t="shared" si="35"/>
        <v>0.58591686121059172</v>
      </c>
      <c r="G124" s="18">
        <f t="shared" si="36"/>
        <v>0.4</v>
      </c>
      <c r="H124" s="18">
        <f t="shared" si="52"/>
        <v>5.8800000000000008</v>
      </c>
      <c r="I124" s="18">
        <f t="shared" si="53"/>
        <v>34.451911439182794</v>
      </c>
      <c r="J124" s="18">
        <f t="shared" si="54"/>
        <v>22.42</v>
      </c>
      <c r="K124" s="8">
        <f t="shared" si="55"/>
        <v>13.600012576827851</v>
      </c>
      <c r="L124" s="8">
        <v>48</v>
      </c>
      <c r="M124" s="12">
        <f t="shared" si="44"/>
        <v>-115.42562165848656</v>
      </c>
      <c r="N124" s="12" t="str">
        <f t="shared" si="30"/>
        <v>No</v>
      </c>
      <c r="O124" s="8">
        <f t="shared" si="45"/>
        <v>1.4259442008279777E-6</v>
      </c>
      <c r="P124" s="82"/>
      <c r="Q124" s="38">
        <f>'Kc calculation'!D120</f>
        <v>0.90520000000000023</v>
      </c>
      <c r="R124" s="8">
        <f>'ETo Penman Montheit FAO 56'!AI122</f>
        <v>5.8672184638494684</v>
      </c>
      <c r="S124" s="12">
        <f t="shared" si="46"/>
        <v>5.3110061534765398</v>
      </c>
      <c r="T124" s="8">
        <f t="shared" si="47"/>
        <v>7.5731984251115766E-6</v>
      </c>
      <c r="U124" s="13">
        <f t="shared" si="48"/>
        <v>14.69998742317215</v>
      </c>
      <c r="V124" s="9">
        <f t="shared" si="49"/>
        <v>86.129704908202001</v>
      </c>
      <c r="W124" s="10"/>
      <c r="X124" s="10"/>
      <c r="Y124" s="7" t="str">
        <f t="shared" si="50"/>
        <v>Apply irrigation</v>
      </c>
      <c r="Z124" s="8">
        <f t="shared" si="51"/>
        <v>0</v>
      </c>
    </row>
    <row r="125" spans="1:26" x14ac:dyDescent="0.45">
      <c r="A125" s="25">
        <f>'ETo Penman Montheit FAO 56'!A123</f>
        <v>45867</v>
      </c>
      <c r="B125" s="37">
        <v>120</v>
      </c>
      <c r="C125" s="18">
        <f t="shared" si="25"/>
        <v>28.3</v>
      </c>
      <c r="D125" s="18">
        <f t="shared" si="26"/>
        <v>13.6</v>
      </c>
      <c r="E125" s="7">
        <f t="shared" si="43"/>
        <v>14.700000000000001</v>
      </c>
      <c r="F125" s="54">
        <f t="shared" si="35"/>
        <v>0.58633303835207251</v>
      </c>
      <c r="G125" s="18">
        <f t="shared" si="36"/>
        <v>0.4</v>
      </c>
      <c r="H125" s="18">
        <f t="shared" si="52"/>
        <v>5.8800000000000008</v>
      </c>
      <c r="I125" s="18">
        <f t="shared" si="53"/>
        <v>34.476382655101865</v>
      </c>
      <c r="J125" s="18">
        <f t="shared" si="54"/>
        <v>22.42</v>
      </c>
      <c r="K125" s="8">
        <f t="shared" si="55"/>
        <v>13.600011285207231</v>
      </c>
      <c r="L125" s="8">
        <v>49</v>
      </c>
      <c r="M125" s="12">
        <f t="shared" si="44"/>
        <v>-121.37093893887899</v>
      </c>
      <c r="N125" s="12" t="str">
        <f t="shared" si="30"/>
        <v>No</v>
      </c>
      <c r="O125" s="8">
        <f t="shared" si="45"/>
        <v>1.2795019536104846E-6</v>
      </c>
      <c r="P125" s="82"/>
      <c r="Q125" s="38">
        <f>'Kc calculation'!D121</f>
        <v>0.89230000000000009</v>
      </c>
      <c r="R125" s="8">
        <f>'ETo Penman Montheit FAO 56'!AI123</f>
        <v>5.8672184638494684</v>
      </c>
      <c r="S125" s="12">
        <f t="shared" si="46"/>
        <v>5.2353190352928811</v>
      </c>
      <c r="T125" s="8">
        <f t="shared" si="47"/>
        <v>6.6986009334313986E-6</v>
      </c>
      <c r="U125" s="13">
        <f t="shared" si="48"/>
        <v>14.69998871479277</v>
      </c>
      <c r="V125" s="9">
        <f t="shared" si="49"/>
        <v>86.190890468856225</v>
      </c>
      <c r="W125" s="10"/>
      <c r="X125" s="10"/>
      <c r="Y125" s="7" t="str">
        <f t="shared" si="50"/>
        <v>Apply irrigation</v>
      </c>
      <c r="Z125" s="8">
        <f t="shared" si="51"/>
        <v>0</v>
      </c>
    </row>
    <row r="126" spans="1:26" x14ac:dyDescent="0.45">
      <c r="A126" s="25">
        <f>'ETo Penman Montheit FAO 56'!A124</f>
        <v>45868</v>
      </c>
      <c r="B126" s="37">
        <v>121</v>
      </c>
      <c r="C126" s="18">
        <f t="shared" si="25"/>
        <v>28.3</v>
      </c>
      <c r="D126" s="18">
        <f t="shared" si="26"/>
        <v>13.6</v>
      </c>
      <c r="E126" s="7">
        <f t="shared" si="43"/>
        <v>14.700000000000001</v>
      </c>
      <c r="F126" s="54">
        <f t="shared" si="35"/>
        <v>0.5867369168564609</v>
      </c>
      <c r="G126" s="18">
        <f t="shared" si="36"/>
        <v>0.4</v>
      </c>
      <c r="H126" s="18">
        <f t="shared" si="52"/>
        <v>5.8800000000000008</v>
      </c>
      <c r="I126" s="18">
        <f t="shared" si="53"/>
        <v>34.500130711159905</v>
      </c>
      <c r="J126" s="18">
        <f t="shared" si="54"/>
        <v>22.42</v>
      </c>
      <c r="K126" s="8">
        <f t="shared" si="55"/>
        <v>13.600010143536963</v>
      </c>
      <c r="L126" s="8">
        <v>50</v>
      </c>
      <c r="M126" s="12">
        <f t="shared" si="44"/>
        <v>-127.321910957852</v>
      </c>
      <c r="N126" s="12" t="str">
        <f t="shared" si="30"/>
        <v>No</v>
      </c>
      <c r="O126" s="8">
        <f t="shared" si="45"/>
        <v>1.1500608801950918E-6</v>
      </c>
      <c r="P126" s="82"/>
      <c r="Q126" s="38">
        <f>'Kc calculation'!D122</f>
        <v>0.87940000000000018</v>
      </c>
      <c r="R126" s="8">
        <f>'ETo Penman Montheit FAO 56'!AI124</f>
        <v>5.8672184638494684</v>
      </c>
      <c r="S126" s="12">
        <f t="shared" ref="S126:S136" si="56">Q126*R126</f>
        <v>5.1596319171092233</v>
      </c>
      <c r="T126" s="8">
        <f t="shared" ref="T126:T136" si="57">S126*O126</f>
        <v>5.9338908240733224E-6</v>
      </c>
      <c r="U126" s="13">
        <f t="shared" ref="U126:U136" si="58">C126-K126</f>
        <v>14.699989856463038</v>
      </c>
      <c r="V126" s="9">
        <f t="shared" ref="V126:V136" si="59">IF(((U126/100)*F126*1000-(X126+W126))&gt;0,((U126/100)*F126*1000-(X126+W126)),0)</f>
        <v>86.250267262023726</v>
      </c>
      <c r="W126" s="10"/>
      <c r="X126" s="10"/>
      <c r="Y126" s="7" t="str">
        <f t="shared" ref="Y126:Y136" si="60">IF(K126&gt;J126,"Do not apply irrigation","Apply irrigation")</f>
        <v>Apply irrigation</v>
      </c>
      <c r="Z126" s="8">
        <f t="shared" ref="Z126:Z136" si="61">IF((K125-(T125*100/(F126*1000))+(W126+X126)*100/(F126*1000))&gt;C125,(K125-(T125*100/(F126*1000))+(W126+X126)*100/(F126*1000))-C126,0)</f>
        <v>0</v>
      </c>
    </row>
    <row r="127" spans="1:26" x14ac:dyDescent="0.45">
      <c r="A127" s="25">
        <f>'ETo Penman Montheit FAO 56'!A125</f>
        <v>45869</v>
      </c>
      <c r="B127" s="37">
        <v>122</v>
      </c>
      <c r="C127" s="18">
        <f t="shared" si="25"/>
        <v>28.3</v>
      </c>
      <c r="D127" s="18">
        <f t="shared" si="26"/>
        <v>13.6</v>
      </c>
      <c r="E127" s="7">
        <f t="shared" si="43"/>
        <v>14.700000000000001</v>
      </c>
      <c r="F127" s="54">
        <f t="shared" si="35"/>
        <v>0.58712886016628973</v>
      </c>
      <c r="G127" s="18">
        <f t="shared" si="36"/>
        <v>0.4</v>
      </c>
      <c r="H127" s="18">
        <f t="shared" si="52"/>
        <v>5.8800000000000008</v>
      </c>
      <c r="I127" s="18">
        <f t="shared" si="53"/>
        <v>34.523176977777844</v>
      </c>
      <c r="J127" s="18">
        <f t="shared" si="54"/>
        <v>22.42</v>
      </c>
      <c r="K127" s="8">
        <f t="shared" si="55"/>
        <v>13.600009132874529</v>
      </c>
      <c r="L127" s="8">
        <v>51</v>
      </c>
      <c r="M127" s="12">
        <f t="shared" si="44"/>
        <v>-133.27825125774774</v>
      </c>
      <c r="N127" s="12" t="str">
        <f t="shared" si="30"/>
        <v>No</v>
      </c>
      <c r="O127" s="8">
        <f t="shared" si="45"/>
        <v>1.0354733026574081E-6</v>
      </c>
      <c r="P127" s="82"/>
      <c r="Q127" s="38">
        <f>'Kc calculation'!D123</f>
        <v>0.86650000000000005</v>
      </c>
      <c r="R127" s="8">
        <f>'ETo Penman Montheit FAO 56'!AI125</f>
        <v>5.8672184638494684</v>
      </c>
      <c r="S127" s="12">
        <f t="shared" si="56"/>
        <v>5.0839447989255646</v>
      </c>
      <c r="T127" s="8">
        <f t="shared" si="57"/>
        <v>5.2642891114714066E-6</v>
      </c>
      <c r="U127" s="13">
        <f t="shared" si="58"/>
        <v>14.699990867125472</v>
      </c>
      <c r="V127" s="9">
        <f t="shared" si="59"/>
        <v>86.307888822702466</v>
      </c>
      <c r="W127" s="10"/>
      <c r="X127" s="10"/>
      <c r="Y127" s="7" t="str">
        <f t="shared" si="60"/>
        <v>Apply irrigation</v>
      </c>
      <c r="Z127" s="8">
        <f t="shared" si="61"/>
        <v>0</v>
      </c>
    </row>
    <row r="128" spans="1:26" x14ac:dyDescent="0.45">
      <c r="A128" s="25">
        <f>'ETo Penman Montheit FAO 56'!A126</f>
        <v>45870</v>
      </c>
      <c r="B128" s="37">
        <v>123</v>
      </c>
      <c r="C128" s="18">
        <f t="shared" si="25"/>
        <v>28.3</v>
      </c>
      <c r="D128" s="18">
        <f t="shared" si="26"/>
        <v>13.6</v>
      </c>
      <c r="E128" s="7">
        <f t="shared" si="43"/>
        <v>14.700000000000001</v>
      </c>
      <c r="F128" s="54">
        <f t="shared" si="35"/>
        <v>0.58750922098383851</v>
      </c>
      <c r="G128" s="18">
        <f t="shared" si="36"/>
        <v>0.4</v>
      </c>
      <c r="H128" s="18">
        <f t="shared" si="52"/>
        <v>5.8800000000000008</v>
      </c>
      <c r="I128" s="18">
        <f t="shared" si="53"/>
        <v>34.545542193849705</v>
      </c>
      <c r="J128" s="18">
        <f t="shared" si="54"/>
        <v>22.42</v>
      </c>
      <c r="K128" s="8">
        <f t="shared" si="55"/>
        <v>13.600008236839383</v>
      </c>
      <c r="L128" s="8">
        <v>52</v>
      </c>
      <c r="M128" s="12">
        <f t="shared" si="44"/>
        <v>-139.23968537316972</v>
      </c>
      <c r="N128" s="12" t="str">
        <f t="shared" si="30"/>
        <v>No</v>
      </c>
      <c r="O128" s="8">
        <f t="shared" si="45"/>
        <v>9.3388201616306787E-7</v>
      </c>
      <c r="P128" s="82"/>
      <c r="Q128" s="38">
        <f>'Kc calculation'!D124</f>
        <v>0.85360000000000014</v>
      </c>
      <c r="R128" s="8">
        <f>'ETo Penman Montheit FAO 56'!AI126</f>
        <v>5.8672184638494684</v>
      </c>
      <c r="S128" s="12">
        <f t="shared" si="56"/>
        <v>5.0082576807419068</v>
      </c>
      <c r="T128" s="8">
        <f t="shared" si="57"/>
        <v>4.6771217803554221E-6</v>
      </c>
      <c r="U128" s="13">
        <f t="shared" si="58"/>
        <v>14.699991763160618</v>
      </c>
      <c r="V128" s="9">
        <f t="shared" si="59"/>
        <v>86.363807092433376</v>
      </c>
      <c r="W128" s="10"/>
      <c r="X128" s="10"/>
      <c r="Y128" s="7" t="str">
        <f t="shared" si="60"/>
        <v>Apply irrigation</v>
      </c>
      <c r="Z128" s="8">
        <f t="shared" si="61"/>
        <v>0</v>
      </c>
    </row>
    <row r="129" spans="1:26" x14ac:dyDescent="0.45">
      <c r="A129" s="25">
        <f>'ETo Penman Montheit FAO 56'!A127</f>
        <v>45871</v>
      </c>
      <c r="B129" s="37">
        <v>124</v>
      </c>
      <c r="C129" s="18">
        <f t="shared" si="25"/>
        <v>28.3</v>
      </c>
      <c r="D129" s="18">
        <f t="shared" si="26"/>
        <v>13.6</v>
      </c>
      <c r="E129" s="7">
        <f t="shared" si="43"/>
        <v>14.700000000000001</v>
      </c>
      <c r="F129" s="54">
        <f t="shared" si="35"/>
        <v>0.58787834158852381</v>
      </c>
      <c r="G129" s="18">
        <f t="shared" si="36"/>
        <v>0.4</v>
      </c>
      <c r="H129" s="18">
        <f t="shared" si="52"/>
        <v>5.8800000000000008</v>
      </c>
      <c r="I129" s="18">
        <f t="shared" si="53"/>
        <v>34.567246485405207</v>
      </c>
      <c r="J129" s="18">
        <f t="shared" si="54"/>
        <v>22.42</v>
      </c>
      <c r="K129" s="8">
        <f t="shared" si="55"/>
        <v>13.600007441245898</v>
      </c>
      <c r="L129" s="8">
        <v>53</v>
      </c>
      <c r="M129" s="12">
        <f t="shared" si="44"/>
        <v>-145.20595037236538</v>
      </c>
      <c r="N129" s="12" t="str">
        <f t="shared" si="30"/>
        <v>No</v>
      </c>
      <c r="O129" s="8">
        <f t="shared" si="45"/>
        <v>8.4367867325685353E-7</v>
      </c>
      <c r="P129" s="82"/>
      <c r="Q129" s="38">
        <f>'Kc calculation'!D125</f>
        <v>0.84070000000000022</v>
      </c>
      <c r="R129" s="8">
        <f>'ETo Penman Montheit FAO 56'!AI127</f>
        <v>5.8672184638494684</v>
      </c>
      <c r="S129" s="12">
        <f t="shared" si="56"/>
        <v>4.932570562558249</v>
      </c>
      <c r="T129" s="8">
        <f t="shared" si="57"/>
        <v>4.1615045879649549E-6</v>
      </c>
      <c r="U129" s="13">
        <f t="shared" si="58"/>
        <v>14.699992558754102</v>
      </c>
      <c r="V129" s="9">
        <f t="shared" si="59"/>
        <v>86.418072468040023</v>
      </c>
      <c r="W129" s="10"/>
      <c r="X129" s="10"/>
      <c r="Y129" s="7" t="str">
        <f t="shared" si="60"/>
        <v>Apply irrigation</v>
      </c>
      <c r="Z129" s="8">
        <f t="shared" si="61"/>
        <v>0</v>
      </c>
    </row>
    <row r="130" spans="1:26" x14ac:dyDescent="0.45">
      <c r="A130" s="25">
        <f>'ETo Penman Montheit FAO 56'!A128</f>
        <v>45872</v>
      </c>
      <c r="B130" s="37">
        <v>125</v>
      </c>
      <c r="C130" s="18">
        <f t="shared" si="25"/>
        <v>28.3</v>
      </c>
      <c r="D130" s="18">
        <f t="shared" si="26"/>
        <v>13.6</v>
      </c>
      <c r="E130" s="7">
        <f t="shared" si="43"/>
        <v>14.700000000000001</v>
      </c>
      <c r="F130" s="54">
        <f t="shared" si="35"/>
        <v>0.58823655414490983</v>
      </c>
      <c r="G130" s="18">
        <f t="shared" si="36"/>
        <v>0.4</v>
      </c>
      <c r="H130" s="18">
        <f t="shared" si="52"/>
        <v>5.8800000000000008</v>
      </c>
      <c r="I130" s="18">
        <f t="shared" si="53"/>
        <v>34.588309383720699</v>
      </c>
      <c r="J130" s="18">
        <f t="shared" si="54"/>
        <v>22.42</v>
      </c>
      <c r="K130" s="8">
        <f t="shared" si="55"/>
        <v>13.600006733791634</v>
      </c>
      <c r="L130" s="8">
        <v>54</v>
      </c>
      <c r="M130" s="12">
        <f t="shared" si="44"/>
        <v>-151.17679441524183</v>
      </c>
      <c r="N130" s="12" t="str">
        <f t="shared" si="30"/>
        <v>No</v>
      </c>
      <c r="O130" s="8">
        <f t="shared" si="45"/>
        <v>7.6346843924657293E-7</v>
      </c>
      <c r="P130" s="82"/>
      <c r="Q130" s="38">
        <f>'Kc calculation'!D126</f>
        <v>0.82780000000000009</v>
      </c>
      <c r="R130" s="8">
        <f>'ETo Penman Montheit FAO 56'!AI128</f>
        <v>5.8672184638494684</v>
      </c>
      <c r="S130" s="12">
        <f t="shared" si="56"/>
        <v>4.8568834443745903</v>
      </c>
      <c r="T130" s="8">
        <f t="shared" si="57"/>
        <v>3.7080772228791879E-6</v>
      </c>
      <c r="U130" s="13">
        <f t="shared" si="58"/>
        <v>14.699993266208367</v>
      </c>
      <c r="V130" s="9">
        <f t="shared" si="59"/>
        <v>86.470733848677867</v>
      </c>
      <c r="W130" s="10"/>
      <c r="X130" s="10"/>
      <c r="Y130" s="7" t="str">
        <f t="shared" si="60"/>
        <v>Apply irrigation</v>
      </c>
      <c r="Z130" s="8">
        <f t="shared" si="61"/>
        <v>0</v>
      </c>
    </row>
    <row r="131" spans="1:26" x14ac:dyDescent="0.45">
      <c r="A131" s="25">
        <f>'ETo Penman Montheit FAO 56'!A129</f>
        <v>45873</v>
      </c>
      <c r="B131" s="37">
        <v>126</v>
      </c>
      <c r="C131" s="18">
        <f t="shared" ref="C131:D136" si="62">C130</f>
        <v>28.3</v>
      </c>
      <c r="D131" s="18">
        <f t="shared" si="62"/>
        <v>13.6</v>
      </c>
      <c r="E131" s="7">
        <f t="shared" si="43"/>
        <v>14.700000000000001</v>
      </c>
      <c r="F131" s="54">
        <f t="shared" si="35"/>
        <v>0.58858418100161713</v>
      </c>
      <c r="G131" s="18">
        <f t="shared" si="36"/>
        <v>0.4</v>
      </c>
      <c r="H131" s="18">
        <f t="shared" si="52"/>
        <v>5.8800000000000008</v>
      </c>
      <c r="I131" s="18">
        <f t="shared" si="53"/>
        <v>34.608749842895087</v>
      </c>
      <c r="J131" s="18">
        <f t="shared" si="54"/>
        <v>22.42</v>
      </c>
      <c r="K131" s="8">
        <f t="shared" si="55"/>
        <v>13.600006103792165</v>
      </c>
      <c r="L131" s="8">
        <v>55</v>
      </c>
      <c r="M131" s="12">
        <f t="shared" si="44"/>
        <v>-157.15197632743178</v>
      </c>
      <c r="N131" s="12" t="str">
        <f t="shared" si="30"/>
        <v>No</v>
      </c>
      <c r="O131" s="8">
        <f t="shared" si="45"/>
        <v>6.9203992802968628E-7</v>
      </c>
      <c r="P131" s="82"/>
      <c r="Q131" s="38">
        <f>'Kc calculation'!D127</f>
        <v>0.81490000000000018</v>
      </c>
      <c r="R131" s="8">
        <f>'ETo Penman Montheit FAO 56'!AI129</f>
        <v>5.8672184638494684</v>
      </c>
      <c r="S131" s="12">
        <f t="shared" si="56"/>
        <v>4.7811963261909325</v>
      </c>
      <c r="T131" s="8">
        <f t="shared" si="57"/>
        <v>3.3087787614729734E-6</v>
      </c>
      <c r="U131" s="13">
        <f t="shared" si="58"/>
        <v>14.699993896207836</v>
      </c>
      <c r="V131" s="9">
        <f t="shared" si="59"/>
        <v>86.521838681282603</v>
      </c>
      <c r="W131" s="10"/>
      <c r="X131" s="10"/>
      <c r="Y131" s="7" t="str">
        <f t="shared" si="60"/>
        <v>Apply irrigation</v>
      </c>
      <c r="Z131" s="8">
        <f t="shared" si="61"/>
        <v>0</v>
      </c>
    </row>
    <row r="132" spans="1:26" x14ac:dyDescent="0.45">
      <c r="A132" s="25">
        <f>'ETo Penman Montheit FAO 56'!A130</f>
        <v>45874</v>
      </c>
      <c r="B132" s="37">
        <v>127</v>
      </c>
      <c r="C132" s="18">
        <f t="shared" si="62"/>
        <v>28.3</v>
      </c>
      <c r="D132" s="18">
        <f t="shared" si="62"/>
        <v>13.6</v>
      </c>
      <c r="E132" s="7">
        <f t="shared" si="43"/>
        <v>14.700000000000001</v>
      </c>
      <c r="F132" s="54">
        <f t="shared" si="35"/>
        <v>0.58892153498139765</v>
      </c>
      <c r="G132" s="18">
        <f t="shared" si="36"/>
        <v>0.4</v>
      </c>
      <c r="H132" s="18">
        <f t="shared" si="52"/>
        <v>5.8800000000000008</v>
      </c>
      <c r="I132" s="18">
        <f t="shared" si="53"/>
        <v>34.628586256906189</v>
      </c>
      <c r="J132" s="18">
        <f t="shared" si="54"/>
        <v>22.42</v>
      </c>
      <c r="K132" s="8">
        <f t="shared" si="55"/>
        <v>13.60000554195522</v>
      </c>
      <c r="L132" s="8">
        <v>56</v>
      </c>
      <c r="M132" s="12">
        <f t="shared" si="44"/>
        <v>-163.13126518984714</v>
      </c>
      <c r="N132" s="12" t="str">
        <f t="shared" si="30"/>
        <v>No</v>
      </c>
      <c r="O132" s="8">
        <f t="shared" si="45"/>
        <v>6.2833959413310936E-7</v>
      </c>
      <c r="P132" s="82"/>
      <c r="Q132" s="38">
        <f>'Kc calculation'!D128</f>
        <v>0.80200000000000005</v>
      </c>
      <c r="R132" s="8">
        <f>'ETo Penman Montheit FAO 56'!AI130</f>
        <v>5.8672184638494684</v>
      </c>
      <c r="S132" s="12">
        <f t="shared" si="56"/>
        <v>4.7055092080072738</v>
      </c>
      <c r="T132" s="8">
        <f t="shared" si="57"/>
        <v>2.9566577459488992E-6</v>
      </c>
      <c r="U132" s="13">
        <f t="shared" si="58"/>
        <v>14.699994458044781</v>
      </c>
      <c r="V132" s="9">
        <f t="shared" si="59"/>
        <v>86.57143300449772</v>
      </c>
      <c r="W132" s="10"/>
      <c r="X132" s="10"/>
      <c r="Y132" s="7" t="str">
        <f t="shared" si="60"/>
        <v>Apply irrigation</v>
      </c>
      <c r="Z132" s="8">
        <f t="shared" si="61"/>
        <v>0</v>
      </c>
    </row>
    <row r="133" spans="1:26" x14ac:dyDescent="0.45">
      <c r="A133" s="25">
        <f>'ETo Penman Montheit FAO 56'!A131</f>
        <v>45875</v>
      </c>
      <c r="B133" s="37">
        <v>128</v>
      </c>
      <c r="C133" s="18">
        <f t="shared" si="62"/>
        <v>28.3</v>
      </c>
      <c r="D133" s="18">
        <f t="shared" si="62"/>
        <v>13.6</v>
      </c>
      <c r="E133" s="7">
        <f t="shared" si="43"/>
        <v>14.700000000000001</v>
      </c>
      <c r="F133" s="54">
        <f t="shared" si="35"/>
        <v>0.58924891966263815</v>
      </c>
      <c r="G133" s="18">
        <f t="shared" si="36"/>
        <v>0.4</v>
      </c>
      <c r="H133" s="18">
        <f t="shared" si="52"/>
        <v>5.8800000000000008</v>
      </c>
      <c r="I133" s="18">
        <f t="shared" si="53"/>
        <v>34.647836476163121</v>
      </c>
      <c r="J133" s="18">
        <f t="shared" si="54"/>
        <v>22.42</v>
      </c>
      <c r="K133" s="8">
        <f t="shared" si="55"/>
        <v>13.60000504018803</v>
      </c>
      <c r="L133" s="8">
        <v>57</v>
      </c>
      <c r="M133" s="12">
        <f t="shared" si="44"/>
        <v>-169.11443994317713</v>
      </c>
      <c r="N133" s="12" t="str">
        <f t="shared" si="30"/>
        <v>No</v>
      </c>
      <c r="O133" s="8">
        <f t="shared" si="45"/>
        <v>5.7144989007440472E-7</v>
      </c>
      <c r="P133" s="82"/>
      <c r="Q133" s="38">
        <f>'Kc calculation'!D129</f>
        <v>0.78910000000000013</v>
      </c>
      <c r="R133" s="8">
        <f>'ETo Penman Montheit FAO 56'!AI131</f>
        <v>5.8672184638494684</v>
      </c>
      <c r="S133" s="12">
        <f t="shared" si="56"/>
        <v>4.629822089823616</v>
      </c>
      <c r="T133" s="8">
        <f t="shared" si="57"/>
        <v>2.645711324293756E-6</v>
      </c>
      <c r="U133" s="13">
        <f t="shared" si="58"/>
        <v>14.699994959811971</v>
      </c>
      <c r="V133" s="9">
        <f t="shared" si="59"/>
        <v>86.6195614911543</v>
      </c>
      <c r="W133" s="10"/>
      <c r="X133" s="10"/>
      <c r="Y133" s="7" t="str">
        <f t="shared" si="60"/>
        <v>Apply irrigation</v>
      </c>
      <c r="Z133" s="8">
        <f t="shared" si="61"/>
        <v>0</v>
      </c>
    </row>
    <row r="134" spans="1:26" x14ac:dyDescent="0.45">
      <c r="A134" s="25">
        <f>'ETo Penman Montheit FAO 56'!A132</f>
        <v>45876</v>
      </c>
      <c r="B134" s="37">
        <v>129</v>
      </c>
      <c r="C134" s="18">
        <f t="shared" si="62"/>
        <v>28.3</v>
      </c>
      <c r="D134" s="18">
        <f t="shared" si="62"/>
        <v>13.6</v>
      </c>
      <c r="E134" s="7">
        <f t="shared" si="43"/>
        <v>14.700000000000001</v>
      </c>
      <c r="F134" s="54">
        <f t="shared" si="35"/>
        <v>0.58956662965254447</v>
      </c>
      <c r="G134" s="18">
        <f t="shared" si="36"/>
        <v>0.4</v>
      </c>
      <c r="H134" s="18">
        <f t="shared" si="52"/>
        <v>5.8800000000000008</v>
      </c>
      <c r="I134" s="18">
        <f t="shared" si="53"/>
        <v>34.666517823569613</v>
      </c>
      <c r="J134" s="18">
        <f t="shared" si="54"/>
        <v>22.42</v>
      </c>
      <c r="K134" s="8">
        <f t="shared" si="55"/>
        <v>13.600004591432759</v>
      </c>
      <c r="L134" s="8">
        <v>58</v>
      </c>
      <c r="M134" s="12">
        <f t="shared" si="44"/>
        <v>-175.1012890068057</v>
      </c>
      <c r="N134" s="12" t="str">
        <f t="shared" si="30"/>
        <v>No</v>
      </c>
      <c r="O134" s="8">
        <f t="shared" si="45"/>
        <v>5.2057060762056295E-7</v>
      </c>
      <c r="P134" s="82"/>
      <c r="Q134" s="38">
        <f>'Kc calculation'!D130</f>
        <v>0.77620000000000022</v>
      </c>
      <c r="R134" s="8">
        <f>'ETo Penman Montheit FAO 56'!AI132</f>
        <v>5.8672184638494684</v>
      </c>
      <c r="S134" s="12">
        <f t="shared" si="56"/>
        <v>4.5541349716399591</v>
      </c>
      <c r="T134" s="8">
        <f t="shared" si="57"/>
        <v>2.3707488093726686E-6</v>
      </c>
      <c r="U134" s="13">
        <f t="shared" si="58"/>
        <v>14.699995408567242</v>
      </c>
      <c r="V134" s="9">
        <f t="shared" si="59"/>
        <v>86.666267489368678</v>
      </c>
      <c r="W134" s="10"/>
      <c r="X134" s="10"/>
      <c r="Y134" s="7" t="str">
        <f t="shared" si="60"/>
        <v>Apply irrigation</v>
      </c>
      <c r="Z134" s="8">
        <f t="shared" si="61"/>
        <v>0</v>
      </c>
    </row>
    <row r="135" spans="1:26" x14ac:dyDescent="0.45">
      <c r="A135" s="25">
        <f>'ETo Penman Montheit FAO 56'!A133</f>
        <v>45877</v>
      </c>
      <c r="B135" s="56">
        <v>130</v>
      </c>
      <c r="C135" s="18">
        <f t="shared" si="62"/>
        <v>28.3</v>
      </c>
      <c r="D135" s="18">
        <f t="shared" si="62"/>
        <v>13.6</v>
      </c>
      <c r="E135" s="7">
        <f t="shared" si="43"/>
        <v>14.700000000000001</v>
      </c>
      <c r="F135" s="54">
        <f t="shared" si="35"/>
        <v>0.58987495085225317</v>
      </c>
      <c r="G135" s="18">
        <f t="shared" si="36"/>
        <v>0.4</v>
      </c>
      <c r="H135" s="18">
        <f t="shared" si="52"/>
        <v>5.8800000000000008</v>
      </c>
      <c r="I135" s="18">
        <f t="shared" si="53"/>
        <v>34.684647110112486</v>
      </c>
      <c r="J135" s="18">
        <f t="shared" si="54"/>
        <v>22.42</v>
      </c>
      <c r="K135" s="8">
        <f t="shared" si="55"/>
        <v>13.600004189525743</v>
      </c>
      <c r="L135" s="8">
        <v>59</v>
      </c>
      <c r="M135" s="12">
        <f t="shared" si="44"/>
        <v>-181.09160991164171</v>
      </c>
      <c r="N135" s="12" t="str">
        <f t="shared" ref="N135:N136" si="63">IF(ISBLANK(L135), "Please use climatic approach", IF(M135 &gt; I135, "Yes", "No"))</f>
        <v>No</v>
      </c>
      <c r="O135" s="8">
        <f t="shared" si="45"/>
        <v>4.7500291877611289E-7</v>
      </c>
      <c r="P135" s="82"/>
      <c r="Q135" s="38">
        <f>'Kc calculation'!D131</f>
        <v>0.76330000000000009</v>
      </c>
      <c r="R135" s="8">
        <f>'ETo Penman Montheit FAO 56'!AI133</f>
        <v>5.8672184638494684</v>
      </c>
      <c r="S135" s="12">
        <f t="shared" si="56"/>
        <v>4.4784478534562995</v>
      </c>
      <c r="T135" s="8">
        <f t="shared" si="57"/>
        <v>2.1272758019783596E-6</v>
      </c>
      <c r="U135" s="13">
        <f t="shared" si="58"/>
        <v>14.699995810474258</v>
      </c>
      <c r="V135" s="9">
        <f t="shared" si="59"/>
        <v>86.7115930623183</v>
      </c>
      <c r="W135" s="10"/>
      <c r="X135" s="10"/>
      <c r="Y135" s="7" t="str">
        <f t="shared" si="60"/>
        <v>Apply irrigation</v>
      </c>
      <c r="Z135" s="8">
        <f t="shared" si="61"/>
        <v>0</v>
      </c>
    </row>
    <row r="136" spans="1:26" x14ac:dyDescent="0.45">
      <c r="A136" s="57">
        <f>'ETo Penman Montheit FAO 56'!A134</f>
        <v>45878</v>
      </c>
      <c r="B136" s="37">
        <v>131</v>
      </c>
      <c r="C136" s="18">
        <f t="shared" si="62"/>
        <v>28.3</v>
      </c>
      <c r="D136" s="18">
        <f t="shared" si="62"/>
        <v>13.6</v>
      </c>
      <c r="E136" s="7">
        <f t="shared" si="43"/>
        <v>14.700000000000001</v>
      </c>
      <c r="F136" s="54">
        <f t="shared" ref="F136" si="64">$F$6+(0.6-$F$6)*(1-2.718^((-0.03*B136)))</f>
        <v>0.59017416071410789</v>
      </c>
      <c r="G136" s="18">
        <f t="shared" ref="G136" si="65">G135</f>
        <v>0.4</v>
      </c>
      <c r="H136" s="18">
        <f t="shared" si="52"/>
        <v>5.8800000000000008</v>
      </c>
      <c r="I136" s="18">
        <f t="shared" si="53"/>
        <v>34.702240649989541</v>
      </c>
      <c r="J136" s="18">
        <f t="shared" si="54"/>
        <v>22.42</v>
      </c>
      <c r="K136" s="8">
        <f t="shared" si="55"/>
        <v>13.600003829076922</v>
      </c>
      <c r="L136" s="8">
        <v>60</v>
      </c>
      <c r="M136" s="12">
        <f t="shared" si="44"/>
        <v>-187.08520894637221</v>
      </c>
      <c r="N136" s="12" t="str">
        <f t="shared" si="63"/>
        <v>No</v>
      </c>
      <c r="O136" s="8">
        <f t="shared" si="45"/>
        <v>4.3413570549599712E-7</v>
      </c>
      <c r="P136" s="82"/>
      <c r="Q136" s="8">
        <f>'Kc calculation'!D132</f>
        <v>0.75040000000000018</v>
      </c>
      <c r="R136" s="8">
        <f>'ETo Penman Montheit FAO 56'!AI134</f>
        <v>5.8672184638494684</v>
      </c>
      <c r="S136" s="12">
        <f t="shared" si="56"/>
        <v>4.4027607352726426</v>
      </c>
      <c r="T136" s="8">
        <f t="shared" si="57"/>
        <v>1.9113956379376635E-6</v>
      </c>
      <c r="U136" s="13">
        <f t="shared" si="58"/>
        <v>14.699996170923079</v>
      </c>
      <c r="V136" s="9">
        <f t="shared" si="59"/>
        <v>86.755579026751278</v>
      </c>
      <c r="W136" s="10"/>
      <c r="X136" s="10"/>
      <c r="Y136" s="7" t="str">
        <f t="shared" si="60"/>
        <v>Apply irrigation</v>
      </c>
      <c r="Z136" s="8">
        <f t="shared" si="61"/>
        <v>0</v>
      </c>
    </row>
    <row r="137" spans="1:26" x14ac:dyDescent="0.45">
      <c r="Q137" s="58"/>
    </row>
    <row r="138" spans="1:26" x14ac:dyDescent="0.45">
      <c r="Q138" s="58"/>
    </row>
    <row r="139" spans="1:26" x14ac:dyDescent="0.45">
      <c r="Q139" s="58"/>
    </row>
    <row r="140" spans="1:26" x14ac:dyDescent="0.45">
      <c r="Q140" s="58"/>
    </row>
    <row r="141" spans="1:26" x14ac:dyDescent="0.45">
      <c r="Q141" s="58"/>
    </row>
    <row r="142" spans="1:26" x14ac:dyDescent="0.45">
      <c r="Q142" s="58"/>
    </row>
    <row r="143" spans="1:26" x14ac:dyDescent="0.45">
      <c r="Q143" s="58"/>
    </row>
  </sheetData>
  <mergeCells count="6">
    <mergeCell ref="P106:P136"/>
    <mergeCell ref="L1:N1"/>
    <mergeCell ref="W1:Z1"/>
    <mergeCell ref="P6:P30"/>
    <mergeCell ref="P31:P61"/>
    <mergeCell ref="P62:P105"/>
  </mergeCells>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5"/>
  <sheetViews>
    <sheetView tabSelected="1" zoomScale="129" zoomScaleNormal="125" workbookViewId="0">
      <selection activeCell="H7" sqref="H7"/>
    </sheetView>
  </sheetViews>
  <sheetFormatPr defaultColWidth="8.86328125" defaultRowHeight="14.25" x14ac:dyDescent="0.45"/>
  <cols>
    <col min="1" max="2" width="12.86328125" customWidth="1"/>
    <col min="10" max="10" width="9.1328125" style="24" customWidth="1"/>
    <col min="11" max="12" width="11.59765625" customWidth="1"/>
  </cols>
  <sheetData>
    <row r="1" spans="1:15" s="2" customFormat="1" x14ac:dyDescent="0.45">
      <c r="C1" s="7"/>
      <c r="D1" s="7"/>
      <c r="E1" s="11" t="s">
        <v>14</v>
      </c>
      <c r="F1" s="11"/>
      <c r="G1" s="10"/>
      <c r="H1" s="7"/>
      <c r="I1" s="10" t="s">
        <v>14</v>
      </c>
      <c r="J1" s="13"/>
    </row>
    <row r="2" spans="1:15" s="1" customFormat="1" ht="71.25" x14ac:dyDescent="0.45">
      <c r="A2" s="34" t="s">
        <v>11</v>
      </c>
      <c r="B2" s="34" t="s">
        <v>59</v>
      </c>
      <c r="C2" s="33" t="s">
        <v>69</v>
      </c>
      <c r="D2" s="33" t="s">
        <v>69</v>
      </c>
      <c r="E2" s="33" t="s">
        <v>30</v>
      </c>
      <c r="F2" s="33" t="s">
        <v>155</v>
      </c>
      <c r="G2" s="33" t="s">
        <v>153</v>
      </c>
      <c r="H2" s="33" t="s">
        <v>31</v>
      </c>
      <c r="I2" s="33" t="s">
        <v>67</v>
      </c>
      <c r="J2" s="39" t="s">
        <v>32</v>
      </c>
      <c r="K2" s="39" t="s">
        <v>68</v>
      </c>
      <c r="L2" s="36"/>
    </row>
    <row r="3" spans="1:15" s="2" customFormat="1" x14ac:dyDescent="0.45">
      <c r="A3" s="5"/>
      <c r="B3" s="5"/>
      <c r="C3" s="7"/>
      <c r="D3" s="7"/>
      <c r="E3" s="7"/>
      <c r="F3" s="7"/>
      <c r="G3" s="7"/>
      <c r="H3" s="7"/>
      <c r="I3" s="7"/>
      <c r="J3" s="13"/>
      <c r="K3" s="7"/>
    </row>
    <row r="4" spans="1:15" s="1" customFormat="1" ht="28.5" x14ac:dyDescent="0.45">
      <c r="A4" s="5"/>
      <c r="B4" s="40"/>
      <c r="C4" s="33" t="s">
        <v>10</v>
      </c>
      <c r="D4" s="33" t="s">
        <v>154</v>
      </c>
      <c r="E4" s="33" t="s">
        <v>44</v>
      </c>
      <c r="F4" s="33" t="s">
        <v>19</v>
      </c>
      <c r="G4" s="33" t="s">
        <v>19</v>
      </c>
      <c r="H4" s="33" t="s">
        <v>45</v>
      </c>
      <c r="I4" s="33" t="s">
        <v>46</v>
      </c>
      <c r="J4" s="39" t="s">
        <v>33</v>
      </c>
      <c r="K4" s="33" t="s">
        <v>45</v>
      </c>
    </row>
    <row r="5" spans="1:15" s="2" customFormat="1" x14ac:dyDescent="0.45">
      <c r="A5" s="26">
        <f>'Soil Moisture Worksheet'!A6</f>
        <v>45748</v>
      </c>
      <c r="B5" s="37">
        <f>'Soil Moisture Worksheet'!B6</f>
        <v>1</v>
      </c>
      <c r="C5" s="9">
        <f>'Soil Moisture Worksheet'!W6</f>
        <v>0</v>
      </c>
      <c r="D5" s="9">
        <f>C5*10*E5</f>
        <v>0</v>
      </c>
      <c r="E5" s="10">
        <v>0.25</v>
      </c>
      <c r="F5" s="10">
        <v>50</v>
      </c>
      <c r="G5" s="10">
        <v>65</v>
      </c>
      <c r="H5" s="9">
        <f>C5*10*E5*F5/G5</f>
        <v>0</v>
      </c>
      <c r="I5" s="10">
        <v>0.6</v>
      </c>
      <c r="J5" s="13">
        <f t="shared" ref="J5:J68" si="0">H5/(I5*60)</f>
        <v>0</v>
      </c>
      <c r="K5" s="7"/>
    </row>
    <row r="6" spans="1:15" s="2" customFormat="1" x14ac:dyDescent="0.45">
      <c r="A6" s="26">
        <f>'Soil Moisture Worksheet'!A7</f>
        <v>45749</v>
      </c>
      <c r="B6" s="37">
        <f>'Soil Moisture Worksheet'!B7</f>
        <v>2</v>
      </c>
      <c r="C6" s="9">
        <f>'Soil Moisture Worksheet'!W7</f>
        <v>0</v>
      </c>
      <c r="D6" s="9">
        <f t="shared" ref="D6:D69" si="1">C6*10*E6</f>
        <v>0</v>
      </c>
      <c r="E6" s="7">
        <f>E5</f>
        <v>0.25</v>
      </c>
      <c r="F6" s="7">
        <f>F5</f>
        <v>50</v>
      </c>
      <c r="G6" s="7">
        <f>G5</f>
        <v>65</v>
      </c>
      <c r="H6" s="9">
        <f t="shared" ref="H6:H69" si="2">C6*10*E6*F6/G6</f>
        <v>0</v>
      </c>
      <c r="I6" s="7">
        <f>I5</f>
        <v>0.6</v>
      </c>
      <c r="J6" s="13">
        <f t="shared" si="0"/>
        <v>0</v>
      </c>
      <c r="K6" s="7"/>
    </row>
    <row r="7" spans="1:15" s="2" customFormat="1" x14ac:dyDescent="0.45">
      <c r="A7" s="26">
        <f>'Soil Moisture Worksheet'!A8</f>
        <v>45750</v>
      </c>
      <c r="B7" s="37">
        <f>'Soil Moisture Worksheet'!B8</f>
        <v>3</v>
      </c>
      <c r="C7" s="9">
        <f>'Soil Moisture Worksheet'!W8</f>
        <v>0</v>
      </c>
      <c r="D7" s="9">
        <f t="shared" si="1"/>
        <v>0</v>
      </c>
      <c r="E7" s="7">
        <f t="shared" ref="E7:G22" si="3">E6</f>
        <v>0.25</v>
      </c>
      <c r="F7" s="7">
        <f t="shared" si="3"/>
        <v>50</v>
      </c>
      <c r="G7" s="7">
        <f t="shared" si="3"/>
        <v>65</v>
      </c>
      <c r="H7" s="9">
        <f t="shared" si="2"/>
        <v>0</v>
      </c>
      <c r="I7" s="7">
        <f>I6</f>
        <v>0.6</v>
      </c>
      <c r="J7" s="13">
        <f>H7/(I7*60)</f>
        <v>0</v>
      </c>
      <c r="K7" s="7"/>
      <c r="M7" s="2">
        <f>250*E7*0.404686*0.5/0.65</f>
        <v>19.456057692307692</v>
      </c>
    </row>
    <row r="8" spans="1:15" s="2" customFormat="1" x14ac:dyDescent="0.45">
      <c r="A8" s="26">
        <f>'Soil Moisture Worksheet'!A9</f>
        <v>45751</v>
      </c>
      <c r="B8" s="37">
        <f>'Soil Moisture Worksheet'!B9</f>
        <v>4</v>
      </c>
      <c r="C8" s="9">
        <f>'Soil Moisture Worksheet'!W9</f>
        <v>0</v>
      </c>
      <c r="D8" s="9">
        <f t="shared" si="1"/>
        <v>0</v>
      </c>
      <c r="E8" s="7">
        <f t="shared" si="3"/>
        <v>0.25</v>
      </c>
      <c r="F8" s="7">
        <f t="shared" si="3"/>
        <v>50</v>
      </c>
      <c r="G8" s="7">
        <f t="shared" si="3"/>
        <v>65</v>
      </c>
      <c r="H8" s="9">
        <f t="shared" si="2"/>
        <v>0</v>
      </c>
      <c r="I8" s="7">
        <f t="shared" ref="I8:I71" si="4">I7</f>
        <v>0.6</v>
      </c>
      <c r="J8" s="13">
        <f t="shared" si="0"/>
        <v>0</v>
      </c>
      <c r="K8" s="7"/>
    </row>
    <row r="9" spans="1:15" s="2" customFormat="1" x14ac:dyDescent="0.45">
      <c r="A9" s="26">
        <f>'Soil Moisture Worksheet'!A10</f>
        <v>45752</v>
      </c>
      <c r="B9" s="37">
        <f>'Soil Moisture Worksheet'!B10</f>
        <v>5</v>
      </c>
      <c r="C9" s="9">
        <f>'Soil Moisture Worksheet'!W10</f>
        <v>0</v>
      </c>
      <c r="D9" s="9">
        <f t="shared" si="1"/>
        <v>0</v>
      </c>
      <c r="E9" s="7">
        <f t="shared" si="3"/>
        <v>0.25</v>
      </c>
      <c r="F9" s="7">
        <f t="shared" si="3"/>
        <v>50</v>
      </c>
      <c r="G9" s="7">
        <f t="shared" si="3"/>
        <v>65</v>
      </c>
      <c r="H9" s="9">
        <f t="shared" si="2"/>
        <v>0</v>
      </c>
      <c r="I9" s="7">
        <f t="shared" si="4"/>
        <v>0.6</v>
      </c>
      <c r="J9" s="13">
        <f t="shared" si="0"/>
        <v>0</v>
      </c>
      <c r="K9" s="7"/>
      <c r="O9" s="2">
        <f>50/60</f>
        <v>0.83333333333333337</v>
      </c>
    </row>
    <row r="10" spans="1:15" s="2" customFormat="1" x14ac:dyDescent="0.45">
      <c r="A10" s="26">
        <f>'Soil Moisture Worksheet'!A11</f>
        <v>45753</v>
      </c>
      <c r="B10" s="37">
        <f>'Soil Moisture Worksheet'!B11</f>
        <v>6</v>
      </c>
      <c r="C10" s="9">
        <f>'Soil Moisture Worksheet'!W11</f>
        <v>0</v>
      </c>
      <c r="D10" s="9">
        <f t="shared" si="1"/>
        <v>0</v>
      </c>
      <c r="E10" s="7">
        <f t="shared" si="3"/>
        <v>0.25</v>
      </c>
      <c r="F10" s="7">
        <f t="shared" si="3"/>
        <v>50</v>
      </c>
      <c r="G10" s="7">
        <f t="shared" si="3"/>
        <v>65</v>
      </c>
      <c r="H10" s="9">
        <f t="shared" si="2"/>
        <v>0</v>
      </c>
      <c r="I10" s="7">
        <f t="shared" si="4"/>
        <v>0.6</v>
      </c>
      <c r="J10" s="13">
        <f t="shared" si="0"/>
        <v>0</v>
      </c>
      <c r="K10" s="7"/>
    </row>
    <row r="11" spans="1:15" s="2" customFormat="1" x14ac:dyDescent="0.45">
      <c r="A11" s="26">
        <f>'Soil Moisture Worksheet'!A12</f>
        <v>45754</v>
      </c>
      <c r="B11" s="37">
        <f>'Soil Moisture Worksheet'!B12</f>
        <v>7</v>
      </c>
      <c r="C11" s="9">
        <f>'Soil Moisture Worksheet'!W12</f>
        <v>0</v>
      </c>
      <c r="D11" s="9">
        <f t="shared" si="1"/>
        <v>0</v>
      </c>
      <c r="E11" s="7">
        <f t="shared" si="3"/>
        <v>0.25</v>
      </c>
      <c r="F11" s="7">
        <f t="shared" si="3"/>
        <v>50</v>
      </c>
      <c r="G11" s="7">
        <f t="shared" si="3"/>
        <v>65</v>
      </c>
      <c r="H11" s="9">
        <f t="shared" si="2"/>
        <v>0</v>
      </c>
      <c r="I11" s="7">
        <f t="shared" si="4"/>
        <v>0.6</v>
      </c>
      <c r="J11" s="13">
        <f t="shared" si="0"/>
        <v>0</v>
      </c>
      <c r="K11" s="7"/>
    </row>
    <row r="12" spans="1:15" s="2" customFormat="1" x14ac:dyDescent="0.45">
      <c r="A12" s="26">
        <f>'Soil Moisture Worksheet'!A13</f>
        <v>45755</v>
      </c>
      <c r="B12" s="37">
        <f>'Soil Moisture Worksheet'!B13</f>
        <v>8</v>
      </c>
      <c r="C12" s="9">
        <f>'Soil Moisture Worksheet'!W13</f>
        <v>0</v>
      </c>
      <c r="D12" s="9">
        <f t="shared" si="1"/>
        <v>0</v>
      </c>
      <c r="E12" s="7">
        <f t="shared" si="3"/>
        <v>0.25</v>
      </c>
      <c r="F12" s="7">
        <f t="shared" si="3"/>
        <v>50</v>
      </c>
      <c r="G12" s="7">
        <f t="shared" si="3"/>
        <v>65</v>
      </c>
      <c r="H12" s="9">
        <f t="shared" si="2"/>
        <v>0</v>
      </c>
      <c r="I12" s="7">
        <f t="shared" si="4"/>
        <v>0.6</v>
      </c>
      <c r="J12" s="13">
        <f t="shared" si="0"/>
        <v>0</v>
      </c>
      <c r="K12" s="7"/>
    </row>
    <row r="13" spans="1:15" s="2" customFormat="1" x14ac:dyDescent="0.45">
      <c r="A13" s="26">
        <f>'Soil Moisture Worksheet'!A14</f>
        <v>45756</v>
      </c>
      <c r="B13" s="37">
        <f>'Soil Moisture Worksheet'!B14</f>
        <v>9</v>
      </c>
      <c r="C13" s="9">
        <f>'Soil Moisture Worksheet'!W14</f>
        <v>0</v>
      </c>
      <c r="D13" s="9">
        <f t="shared" si="1"/>
        <v>0</v>
      </c>
      <c r="E13" s="7">
        <f t="shared" si="3"/>
        <v>0.25</v>
      </c>
      <c r="F13" s="7">
        <f t="shared" si="3"/>
        <v>50</v>
      </c>
      <c r="G13" s="7">
        <f t="shared" si="3"/>
        <v>65</v>
      </c>
      <c r="H13" s="9">
        <f t="shared" si="2"/>
        <v>0</v>
      </c>
      <c r="I13" s="7">
        <f t="shared" si="4"/>
        <v>0.6</v>
      </c>
      <c r="J13" s="13">
        <f t="shared" si="0"/>
        <v>0</v>
      </c>
      <c r="K13" s="7"/>
    </row>
    <row r="14" spans="1:15" s="2" customFormat="1" x14ac:dyDescent="0.45">
      <c r="A14" s="26">
        <f>'Soil Moisture Worksheet'!A15</f>
        <v>45757</v>
      </c>
      <c r="B14" s="37">
        <f>'Soil Moisture Worksheet'!B15</f>
        <v>10</v>
      </c>
      <c r="C14" s="9">
        <f>'Soil Moisture Worksheet'!W15</f>
        <v>0</v>
      </c>
      <c r="D14" s="9">
        <f t="shared" si="1"/>
        <v>0</v>
      </c>
      <c r="E14" s="7">
        <f t="shared" si="3"/>
        <v>0.25</v>
      </c>
      <c r="F14" s="7">
        <f t="shared" si="3"/>
        <v>50</v>
      </c>
      <c r="G14" s="7">
        <f t="shared" si="3"/>
        <v>65</v>
      </c>
      <c r="H14" s="9">
        <f t="shared" si="2"/>
        <v>0</v>
      </c>
      <c r="I14" s="7">
        <f t="shared" si="4"/>
        <v>0.6</v>
      </c>
      <c r="J14" s="13">
        <f t="shared" si="0"/>
        <v>0</v>
      </c>
      <c r="K14" s="7"/>
    </row>
    <row r="15" spans="1:15" s="2" customFormat="1" x14ac:dyDescent="0.45">
      <c r="A15" s="26">
        <f>'Soil Moisture Worksheet'!A16</f>
        <v>45758</v>
      </c>
      <c r="B15" s="37">
        <f>'Soil Moisture Worksheet'!B16</f>
        <v>11</v>
      </c>
      <c r="C15" s="9">
        <f>'Soil Moisture Worksheet'!W16</f>
        <v>0</v>
      </c>
      <c r="D15" s="9">
        <f t="shared" si="1"/>
        <v>0</v>
      </c>
      <c r="E15" s="7">
        <f t="shared" si="3"/>
        <v>0.25</v>
      </c>
      <c r="F15" s="7">
        <f t="shared" si="3"/>
        <v>50</v>
      </c>
      <c r="G15" s="7">
        <f t="shared" si="3"/>
        <v>65</v>
      </c>
      <c r="H15" s="9">
        <f t="shared" si="2"/>
        <v>0</v>
      </c>
      <c r="I15" s="7">
        <f t="shared" si="4"/>
        <v>0.6</v>
      </c>
      <c r="J15" s="13">
        <f t="shared" si="0"/>
        <v>0</v>
      </c>
      <c r="K15" s="7"/>
    </row>
    <row r="16" spans="1:15" s="2" customFormat="1" x14ac:dyDescent="0.45">
      <c r="A16" s="26">
        <f>'Soil Moisture Worksheet'!A17</f>
        <v>45759</v>
      </c>
      <c r="B16" s="37">
        <f>'Soil Moisture Worksheet'!B17</f>
        <v>12</v>
      </c>
      <c r="C16" s="9">
        <f>'Soil Moisture Worksheet'!W17</f>
        <v>14</v>
      </c>
      <c r="D16" s="9">
        <f>C16*10*E16</f>
        <v>35</v>
      </c>
      <c r="E16" s="7">
        <f t="shared" si="3"/>
        <v>0.25</v>
      </c>
      <c r="F16" s="7">
        <f t="shared" si="3"/>
        <v>50</v>
      </c>
      <c r="G16" s="7">
        <f t="shared" si="3"/>
        <v>65</v>
      </c>
      <c r="H16" s="9">
        <f>C16*10*E16*F16/G16</f>
        <v>26.923076923076923</v>
      </c>
      <c r="I16" s="7">
        <f>I15</f>
        <v>0.6</v>
      </c>
      <c r="J16" s="13">
        <f>H16/(I16*60)</f>
        <v>0.74786324786324787</v>
      </c>
      <c r="K16" s="7"/>
    </row>
    <row r="17" spans="1:11" s="2" customFormat="1" x14ac:dyDescent="0.45">
      <c r="A17" s="26">
        <f>'Soil Moisture Worksheet'!A18</f>
        <v>45760</v>
      </c>
      <c r="B17" s="37">
        <f>'Soil Moisture Worksheet'!B18</f>
        <v>13</v>
      </c>
      <c r="C17" s="9">
        <f>'Soil Moisture Worksheet'!W18</f>
        <v>0</v>
      </c>
      <c r="D17" s="9">
        <f t="shared" si="1"/>
        <v>0</v>
      </c>
      <c r="E17" s="7">
        <f t="shared" si="3"/>
        <v>0.25</v>
      </c>
      <c r="F17" s="7">
        <f t="shared" si="3"/>
        <v>50</v>
      </c>
      <c r="G17" s="7">
        <f t="shared" si="3"/>
        <v>65</v>
      </c>
      <c r="H17" s="9">
        <f t="shared" si="2"/>
        <v>0</v>
      </c>
      <c r="I17" s="7">
        <f t="shared" si="4"/>
        <v>0.6</v>
      </c>
      <c r="J17" s="13">
        <f t="shared" si="0"/>
        <v>0</v>
      </c>
      <c r="K17" s="7"/>
    </row>
    <row r="18" spans="1:11" s="2" customFormat="1" x14ac:dyDescent="0.45">
      <c r="A18" s="26">
        <f>'Soil Moisture Worksheet'!A19</f>
        <v>45761</v>
      </c>
      <c r="B18" s="37">
        <f>'Soil Moisture Worksheet'!B19</f>
        <v>14</v>
      </c>
      <c r="C18" s="9">
        <f>'Soil Moisture Worksheet'!W19</f>
        <v>0</v>
      </c>
      <c r="D18" s="9">
        <f t="shared" si="1"/>
        <v>0</v>
      </c>
      <c r="E18" s="7">
        <f t="shared" si="3"/>
        <v>0.25</v>
      </c>
      <c r="F18" s="7">
        <f t="shared" si="3"/>
        <v>50</v>
      </c>
      <c r="G18" s="7">
        <f t="shared" si="3"/>
        <v>65</v>
      </c>
      <c r="H18" s="9">
        <f t="shared" si="2"/>
        <v>0</v>
      </c>
      <c r="I18" s="7">
        <f t="shared" si="4"/>
        <v>0.6</v>
      </c>
      <c r="J18" s="13">
        <f t="shared" si="0"/>
        <v>0</v>
      </c>
      <c r="K18" s="7"/>
    </row>
    <row r="19" spans="1:11" s="2" customFormat="1" x14ac:dyDescent="0.45">
      <c r="A19" s="26">
        <f>'Soil Moisture Worksheet'!A20</f>
        <v>45762</v>
      </c>
      <c r="B19" s="37">
        <f>'Soil Moisture Worksheet'!B20</f>
        <v>15</v>
      </c>
      <c r="C19" s="9">
        <f>'Soil Moisture Worksheet'!W20</f>
        <v>0</v>
      </c>
      <c r="D19" s="9">
        <f t="shared" si="1"/>
        <v>0</v>
      </c>
      <c r="E19" s="7">
        <f t="shared" si="3"/>
        <v>0.25</v>
      </c>
      <c r="F19" s="7">
        <f t="shared" si="3"/>
        <v>50</v>
      </c>
      <c r="G19" s="7">
        <f t="shared" si="3"/>
        <v>65</v>
      </c>
      <c r="H19" s="9">
        <f t="shared" si="2"/>
        <v>0</v>
      </c>
      <c r="I19" s="7">
        <f t="shared" si="4"/>
        <v>0.6</v>
      </c>
      <c r="J19" s="13">
        <f t="shared" si="0"/>
        <v>0</v>
      </c>
      <c r="K19" s="7"/>
    </row>
    <row r="20" spans="1:11" s="2" customFormat="1" x14ac:dyDescent="0.45">
      <c r="A20" s="26">
        <f>'Soil Moisture Worksheet'!A21</f>
        <v>45763</v>
      </c>
      <c r="B20" s="37">
        <f>'Soil Moisture Worksheet'!B21</f>
        <v>16</v>
      </c>
      <c r="C20" s="9">
        <f>'Soil Moisture Worksheet'!W21</f>
        <v>20</v>
      </c>
      <c r="D20" s="9">
        <f t="shared" si="1"/>
        <v>50</v>
      </c>
      <c r="E20" s="7">
        <f t="shared" si="3"/>
        <v>0.25</v>
      </c>
      <c r="F20" s="7">
        <f t="shared" si="3"/>
        <v>50</v>
      </c>
      <c r="G20" s="7">
        <f t="shared" si="3"/>
        <v>65</v>
      </c>
      <c r="H20" s="9">
        <f t="shared" si="2"/>
        <v>38.46153846153846</v>
      </c>
      <c r="I20" s="7">
        <f t="shared" si="4"/>
        <v>0.6</v>
      </c>
      <c r="J20" s="13">
        <f t="shared" si="0"/>
        <v>1.0683760683760684</v>
      </c>
      <c r="K20" s="7"/>
    </row>
    <row r="21" spans="1:11" s="2" customFormat="1" x14ac:dyDescent="0.45">
      <c r="A21" s="26">
        <f>'Soil Moisture Worksheet'!A22</f>
        <v>45764</v>
      </c>
      <c r="B21" s="37">
        <f>'Soil Moisture Worksheet'!B22</f>
        <v>17</v>
      </c>
      <c r="C21" s="9">
        <f>'Soil Moisture Worksheet'!W22</f>
        <v>0</v>
      </c>
      <c r="D21" s="9">
        <f t="shared" si="1"/>
        <v>0</v>
      </c>
      <c r="E21" s="7">
        <f t="shared" si="3"/>
        <v>0.25</v>
      </c>
      <c r="F21" s="7">
        <f t="shared" si="3"/>
        <v>50</v>
      </c>
      <c r="G21" s="7">
        <f t="shared" si="3"/>
        <v>65</v>
      </c>
      <c r="H21" s="9">
        <f t="shared" si="2"/>
        <v>0</v>
      </c>
      <c r="I21" s="7">
        <f t="shared" si="4"/>
        <v>0.6</v>
      </c>
      <c r="J21" s="13">
        <f>H21/(I21*60)</f>
        <v>0</v>
      </c>
      <c r="K21" s="7"/>
    </row>
    <row r="22" spans="1:11" s="2" customFormat="1" x14ac:dyDescent="0.45">
      <c r="A22" s="26">
        <f>'Soil Moisture Worksheet'!A23</f>
        <v>45765</v>
      </c>
      <c r="B22" s="37">
        <f>'Soil Moisture Worksheet'!B23</f>
        <v>18</v>
      </c>
      <c r="C22" s="9">
        <f>'Soil Moisture Worksheet'!W23</f>
        <v>0</v>
      </c>
      <c r="D22" s="9">
        <f t="shared" si="1"/>
        <v>0</v>
      </c>
      <c r="E22" s="7">
        <f t="shared" si="3"/>
        <v>0.25</v>
      </c>
      <c r="F22" s="7">
        <f t="shared" si="3"/>
        <v>50</v>
      </c>
      <c r="G22" s="7">
        <f t="shared" si="3"/>
        <v>65</v>
      </c>
      <c r="H22" s="9">
        <f t="shared" si="2"/>
        <v>0</v>
      </c>
      <c r="I22" s="7">
        <f t="shared" si="4"/>
        <v>0.6</v>
      </c>
      <c r="J22" s="13">
        <f t="shared" si="0"/>
        <v>0</v>
      </c>
      <c r="K22" s="7"/>
    </row>
    <row r="23" spans="1:11" s="2" customFormat="1" x14ac:dyDescent="0.45">
      <c r="A23" s="26">
        <f>'Soil Moisture Worksheet'!A24</f>
        <v>45766</v>
      </c>
      <c r="B23" s="37">
        <f>'Soil Moisture Worksheet'!B24</f>
        <v>19</v>
      </c>
      <c r="C23" s="9">
        <f>'Soil Moisture Worksheet'!W24</f>
        <v>0</v>
      </c>
      <c r="D23" s="9">
        <f t="shared" si="1"/>
        <v>0</v>
      </c>
      <c r="E23" s="7">
        <f t="shared" ref="E23:G38" si="5">E22</f>
        <v>0.25</v>
      </c>
      <c r="F23" s="7">
        <f t="shared" si="5"/>
        <v>50</v>
      </c>
      <c r="G23" s="7">
        <f t="shared" si="5"/>
        <v>65</v>
      </c>
      <c r="H23" s="9">
        <f t="shared" si="2"/>
        <v>0</v>
      </c>
      <c r="I23" s="7">
        <f t="shared" si="4"/>
        <v>0.6</v>
      </c>
      <c r="J23" s="13">
        <f t="shared" si="0"/>
        <v>0</v>
      </c>
      <c r="K23" s="7"/>
    </row>
    <row r="24" spans="1:11" s="2" customFormat="1" x14ac:dyDescent="0.45">
      <c r="A24" s="26">
        <f>'Soil Moisture Worksheet'!A25</f>
        <v>45767</v>
      </c>
      <c r="B24" s="37">
        <f>'Soil Moisture Worksheet'!B25</f>
        <v>20</v>
      </c>
      <c r="C24" s="9">
        <f>'Soil Moisture Worksheet'!W25</f>
        <v>0</v>
      </c>
      <c r="D24" s="9">
        <f t="shared" si="1"/>
        <v>0</v>
      </c>
      <c r="E24" s="7">
        <f t="shared" si="5"/>
        <v>0.25</v>
      </c>
      <c r="F24" s="7">
        <f t="shared" si="5"/>
        <v>50</v>
      </c>
      <c r="G24" s="7">
        <f t="shared" si="5"/>
        <v>65</v>
      </c>
      <c r="H24" s="9">
        <f t="shared" si="2"/>
        <v>0</v>
      </c>
      <c r="I24" s="7">
        <f t="shared" si="4"/>
        <v>0.6</v>
      </c>
      <c r="J24" s="13">
        <f t="shared" si="0"/>
        <v>0</v>
      </c>
      <c r="K24" s="7"/>
    </row>
    <row r="25" spans="1:11" s="2" customFormat="1" x14ac:dyDescent="0.45">
      <c r="A25" s="26">
        <f>'Soil Moisture Worksheet'!A26</f>
        <v>45768</v>
      </c>
      <c r="B25" s="37">
        <f>'Soil Moisture Worksheet'!B26</f>
        <v>21</v>
      </c>
      <c r="C25" s="9">
        <f>'Soil Moisture Worksheet'!W26</f>
        <v>0</v>
      </c>
      <c r="D25" s="9">
        <f t="shared" si="1"/>
        <v>0</v>
      </c>
      <c r="E25" s="7">
        <f t="shared" si="5"/>
        <v>0.25</v>
      </c>
      <c r="F25" s="7">
        <f t="shared" si="5"/>
        <v>50</v>
      </c>
      <c r="G25" s="7">
        <f t="shared" si="5"/>
        <v>65</v>
      </c>
      <c r="H25" s="9">
        <f t="shared" si="2"/>
        <v>0</v>
      </c>
      <c r="I25" s="7">
        <f t="shared" si="4"/>
        <v>0.6</v>
      </c>
      <c r="J25" s="13">
        <f t="shared" si="0"/>
        <v>0</v>
      </c>
      <c r="K25" s="7"/>
    </row>
    <row r="26" spans="1:11" s="2" customFormat="1" x14ac:dyDescent="0.45">
      <c r="A26" s="26">
        <f>'Soil Moisture Worksheet'!A27</f>
        <v>45769</v>
      </c>
      <c r="B26" s="37">
        <f>'Soil Moisture Worksheet'!B27</f>
        <v>22</v>
      </c>
      <c r="C26" s="9">
        <f>'Soil Moisture Worksheet'!W27</f>
        <v>0</v>
      </c>
      <c r="D26" s="9">
        <f t="shared" si="1"/>
        <v>0</v>
      </c>
      <c r="E26" s="7">
        <f t="shared" si="5"/>
        <v>0.25</v>
      </c>
      <c r="F26" s="7">
        <f t="shared" si="5"/>
        <v>50</v>
      </c>
      <c r="G26" s="7">
        <f t="shared" si="5"/>
        <v>65</v>
      </c>
      <c r="H26" s="9">
        <f t="shared" si="2"/>
        <v>0</v>
      </c>
      <c r="I26" s="7">
        <f t="shared" si="4"/>
        <v>0.6</v>
      </c>
      <c r="J26" s="13">
        <f t="shared" si="0"/>
        <v>0</v>
      </c>
      <c r="K26" s="7"/>
    </row>
    <row r="27" spans="1:11" s="2" customFormat="1" x14ac:dyDescent="0.45">
      <c r="A27" s="26">
        <f>'Soil Moisture Worksheet'!A28</f>
        <v>45770</v>
      </c>
      <c r="B27" s="37">
        <f>'Soil Moisture Worksheet'!B28</f>
        <v>23</v>
      </c>
      <c r="C27" s="9">
        <f>'Soil Moisture Worksheet'!W28</f>
        <v>0</v>
      </c>
      <c r="D27" s="9">
        <f t="shared" si="1"/>
        <v>0</v>
      </c>
      <c r="E27" s="7">
        <f t="shared" si="5"/>
        <v>0.25</v>
      </c>
      <c r="F27" s="7">
        <f t="shared" si="5"/>
        <v>50</v>
      </c>
      <c r="G27" s="7">
        <f t="shared" si="5"/>
        <v>65</v>
      </c>
      <c r="H27" s="9">
        <f t="shared" si="2"/>
        <v>0</v>
      </c>
      <c r="I27" s="7">
        <f t="shared" si="4"/>
        <v>0.6</v>
      </c>
      <c r="J27" s="13">
        <f t="shared" si="0"/>
        <v>0</v>
      </c>
      <c r="K27" s="7"/>
    </row>
    <row r="28" spans="1:11" s="2" customFormat="1" x14ac:dyDescent="0.45">
      <c r="A28" s="26">
        <f>'Soil Moisture Worksheet'!A29</f>
        <v>45771</v>
      </c>
      <c r="B28" s="37">
        <f>'Soil Moisture Worksheet'!B29</f>
        <v>24</v>
      </c>
      <c r="C28" s="9">
        <f>'Soil Moisture Worksheet'!W29</f>
        <v>0</v>
      </c>
      <c r="D28" s="9">
        <f t="shared" si="1"/>
        <v>0</v>
      </c>
      <c r="E28" s="7">
        <f t="shared" si="5"/>
        <v>0.25</v>
      </c>
      <c r="F28" s="7">
        <f t="shared" si="5"/>
        <v>50</v>
      </c>
      <c r="G28" s="7">
        <f t="shared" si="5"/>
        <v>65</v>
      </c>
      <c r="H28" s="9">
        <f t="shared" si="2"/>
        <v>0</v>
      </c>
      <c r="I28" s="7">
        <f t="shared" si="4"/>
        <v>0.6</v>
      </c>
      <c r="J28" s="13">
        <f t="shared" si="0"/>
        <v>0</v>
      </c>
      <c r="K28" s="7"/>
    </row>
    <row r="29" spans="1:11" s="2" customFormat="1" x14ac:dyDescent="0.45">
      <c r="A29" s="26">
        <f>'Soil Moisture Worksheet'!A30</f>
        <v>45772</v>
      </c>
      <c r="B29" s="37">
        <f>'Soil Moisture Worksheet'!B30</f>
        <v>25</v>
      </c>
      <c r="C29" s="9">
        <f>'Soil Moisture Worksheet'!W30</f>
        <v>0</v>
      </c>
      <c r="D29" s="9">
        <f t="shared" si="1"/>
        <v>0</v>
      </c>
      <c r="E29" s="7">
        <f t="shared" si="5"/>
        <v>0.25</v>
      </c>
      <c r="F29" s="7">
        <f t="shared" si="5"/>
        <v>50</v>
      </c>
      <c r="G29" s="7">
        <f t="shared" si="5"/>
        <v>65</v>
      </c>
      <c r="H29" s="9">
        <f t="shared" si="2"/>
        <v>0</v>
      </c>
      <c r="I29" s="7">
        <f t="shared" si="4"/>
        <v>0.6</v>
      </c>
      <c r="J29" s="13">
        <f t="shared" si="0"/>
        <v>0</v>
      </c>
      <c r="K29" s="7"/>
    </row>
    <row r="30" spans="1:11" s="2" customFormat="1" x14ac:dyDescent="0.45">
      <c r="A30" s="26">
        <f>'Soil Moisture Worksheet'!A31</f>
        <v>45773</v>
      </c>
      <c r="B30" s="37">
        <f>'Soil Moisture Worksheet'!B31</f>
        <v>26</v>
      </c>
      <c r="C30" s="9">
        <f>'Soil Moisture Worksheet'!W31</f>
        <v>0</v>
      </c>
      <c r="D30" s="9">
        <f t="shared" si="1"/>
        <v>0</v>
      </c>
      <c r="E30" s="7">
        <f t="shared" si="5"/>
        <v>0.25</v>
      </c>
      <c r="F30" s="7">
        <f t="shared" si="5"/>
        <v>50</v>
      </c>
      <c r="G30" s="7">
        <f t="shared" si="5"/>
        <v>65</v>
      </c>
      <c r="H30" s="9">
        <f t="shared" si="2"/>
        <v>0</v>
      </c>
      <c r="I30" s="7">
        <f t="shared" si="4"/>
        <v>0.6</v>
      </c>
      <c r="J30" s="13">
        <f t="shared" si="0"/>
        <v>0</v>
      </c>
      <c r="K30" s="7"/>
    </row>
    <row r="31" spans="1:11" s="2" customFormat="1" x14ac:dyDescent="0.45">
      <c r="A31" s="26">
        <f>'Soil Moisture Worksheet'!A32</f>
        <v>45774</v>
      </c>
      <c r="B31" s="37">
        <f>'Soil Moisture Worksheet'!B32</f>
        <v>27</v>
      </c>
      <c r="C31" s="9">
        <f>'Soil Moisture Worksheet'!W32</f>
        <v>0</v>
      </c>
      <c r="D31" s="9">
        <f t="shared" si="1"/>
        <v>0</v>
      </c>
      <c r="E31" s="7">
        <f t="shared" si="5"/>
        <v>0.25</v>
      </c>
      <c r="F31" s="7">
        <f t="shared" si="5"/>
        <v>50</v>
      </c>
      <c r="G31" s="7">
        <f t="shared" si="5"/>
        <v>65</v>
      </c>
      <c r="H31" s="9">
        <f t="shared" si="2"/>
        <v>0</v>
      </c>
      <c r="I31" s="7">
        <f t="shared" si="4"/>
        <v>0.6</v>
      </c>
      <c r="J31" s="13">
        <f t="shared" si="0"/>
        <v>0</v>
      </c>
      <c r="K31" s="7"/>
    </row>
    <row r="32" spans="1:11" s="2" customFormat="1" x14ac:dyDescent="0.45">
      <c r="A32" s="26">
        <f>'Soil Moisture Worksheet'!A33</f>
        <v>45775</v>
      </c>
      <c r="B32" s="37">
        <f>'Soil Moisture Worksheet'!B33</f>
        <v>28</v>
      </c>
      <c r="C32" s="9">
        <f>'Soil Moisture Worksheet'!W33</f>
        <v>0</v>
      </c>
      <c r="D32" s="9">
        <f t="shared" si="1"/>
        <v>0</v>
      </c>
      <c r="E32" s="7">
        <f t="shared" si="5"/>
        <v>0.25</v>
      </c>
      <c r="F32" s="7">
        <f t="shared" si="5"/>
        <v>50</v>
      </c>
      <c r="G32" s="7">
        <f t="shared" si="5"/>
        <v>65</v>
      </c>
      <c r="H32" s="9">
        <f t="shared" si="2"/>
        <v>0</v>
      </c>
      <c r="I32" s="7">
        <f t="shared" si="4"/>
        <v>0.6</v>
      </c>
      <c r="J32" s="13">
        <f t="shared" si="0"/>
        <v>0</v>
      </c>
      <c r="K32" s="7"/>
    </row>
    <row r="33" spans="1:11" s="2" customFormat="1" x14ac:dyDescent="0.45">
      <c r="A33" s="26">
        <f>'Soil Moisture Worksheet'!A34</f>
        <v>45776</v>
      </c>
      <c r="B33" s="37">
        <f>'Soil Moisture Worksheet'!B34</f>
        <v>29</v>
      </c>
      <c r="C33" s="9">
        <f>'Soil Moisture Worksheet'!W34</f>
        <v>0</v>
      </c>
      <c r="D33" s="9">
        <f t="shared" si="1"/>
        <v>0</v>
      </c>
      <c r="E33" s="7">
        <f t="shared" si="5"/>
        <v>0.25</v>
      </c>
      <c r="F33" s="7">
        <f t="shared" si="5"/>
        <v>50</v>
      </c>
      <c r="G33" s="7">
        <f t="shared" si="5"/>
        <v>65</v>
      </c>
      <c r="H33" s="9">
        <f t="shared" si="2"/>
        <v>0</v>
      </c>
      <c r="I33" s="7">
        <f t="shared" si="4"/>
        <v>0.6</v>
      </c>
      <c r="J33" s="13">
        <f t="shared" si="0"/>
        <v>0</v>
      </c>
      <c r="K33" s="7"/>
    </row>
    <row r="34" spans="1:11" x14ac:dyDescent="0.45">
      <c r="A34" s="26">
        <f>'Soil Moisture Worksheet'!A35</f>
        <v>45777</v>
      </c>
      <c r="B34" s="37">
        <f>'Soil Moisture Worksheet'!B35</f>
        <v>30</v>
      </c>
      <c r="C34" s="9">
        <f>'Soil Moisture Worksheet'!W35</f>
        <v>0</v>
      </c>
      <c r="D34" s="9">
        <f t="shared" si="1"/>
        <v>0</v>
      </c>
      <c r="E34" s="7">
        <f t="shared" si="5"/>
        <v>0.25</v>
      </c>
      <c r="F34" s="7">
        <f t="shared" si="5"/>
        <v>50</v>
      </c>
      <c r="G34" s="7">
        <f t="shared" si="5"/>
        <v>65</v>
      </c>
      <c r="H34" s="9">
        <f t="shared" si="2"/>
        <v>0</v>
      </c>
      <c r="I34" s="7">
        <f t="shared" si="4"/>
        <v>0.6</v>
      </c>
      <c r="J34" s="13">
        <f t="shared" si="0"/>
        <v>0</v>
      </c>
      <c r="K34" s="31"/>
    </row>
    <row r="35" spans="1:11" x14ac:dyDescent="0.45">
      <c r="A35" s="26">
        <f>'Soil Moisture Worksheet'!A36</f>
        <v>45778</v>
      </c>
      <c r="B35" s="37">
        <f>'Soil Moisture Worksheet'!B36</f>
        <v>31</v>
      </c>
      <c r="C35" s="9">
        <f>'Soil Moisture Worksheet'!W36</f>
        <v>0</v>
      </c>
      <c r="D35" s="9">
        <f t="shared" si="1"/>
        <v>0</v>
      </c>
      <c r="E35" s="7">
        <f t="shared" si="5"/>
        <v>0.25</v>
      </c>
      <c r="F35" s="7">
        <f t="shared" si="5"/>
        <v>50</v>
      </c>
      <c r="G35" s="7">
        <f t="shared" si="5"/>
        <v>65</v>
      </c>
      <c r="H35" s="9">
        <f t="shared" si="2"/>
        <v>0</v>
      </c>
      <c r="I35" s="7">
        <f t="shared" si="4"/>
        <v>0.6</v>
      </c>
      <c r="J35" s="13">
        <f t="shared" si="0"/>
        <v>0</v>
      </c>
      <c r="K35" s="31"/>
    </row>
    <row r="36" spans="1:11" x14ac:dyDescent="0.45">
      <c r="A36" s="26">
        <f>'Soil Moisture Worksheet'!A37</f>
        <v>45779</v>
      </c>
      <c r="B36" s="37">
        <f>'Soil Moisture Worksheet'!B37</f>
        <v>32</v>
      </c>
      <c r="C36" s="9">
        <f>'Soil Moisture Worksheet'!W37</f>
        <v>0</v>
      </c>
      <c r="D36" s="9">
        <f t="shared" si="1"/>
        <v>0</v>
      </c>
      <c r="E36" s="7">
        <f t="shared" si="5"/>
        <v>0.25</v>
      </c>
      <c r="F36" s="7">
        <f t="shared" si="5"/>
        <v>50</v>
      </c>
      <c r="G36" s="7">
        <f t="shared" si="5"/>
        <v>65</v>
      </c>
      <c r="H36" s="9">
        <f t="shared" si="2"/>
        <v>0</v>
      </c>
      <c r="I36" s="7">
        <f t="shared" si="4"/>
        <v>0.6</v>
      </c>
      <c r="J36" s="13">
        <f t="shared" si="0"/>
        <v>0</v>
      </c>
      <c r="K36" s="31"/>
    </row>
    <row r="37" spans="1:11" x14ac:dyDescent="0.45">
      <c r="A37" s="26">
        <f>'Soil Moisture Worksheet'!A38</f>
        <v>45780</v>
      </c>
      <c r="B37" s="37">
        <f>'Soil Moisture Worksheet'!B38</f>
        <v>33</v>
      </c>
      <c r="C37" s="9">
        <f>'Soil Moisture Worksheet'!W38</f>
        <v>0</v>
      </c>
      <c r="D37" s="9">
        <f t="shared" si="1"/>
        <v>0</v>
      </c>
      <c r="E37" s="7">
        <f t="shared" si="5"/>
        <v>0.25</v>
      </c>
      <c r="F37" s="7">
        <f t="shared" si="5"/>
        <v>50</v>
      </c>
      <c r="G37" s="7">
        <f t="shared" si="5"/>
        <v>65</v>
      </c>
      <c r="H37" s="9">
        <f t="shared" si="2"/>
        <v>0</v>
      </c>
      <c r="I37" s="7">
        <f t="shared" si="4"/>
        <v>0.6</v>
      </c>
      <c r="J37" s="13">
        <f t="shared" si="0"/>
        <v>0</v>
      </c>
      <c r="K37" s="31"/>
    </row>
    <row r="38" spans="1:11" x14ac:dyDescent="0.45">
      <c r="A38" s="26">
        <f>'Soil Moisture Worksheet'!A39</f>
        <v>45781</v>
      </c>
      <c r="B38" s="37">
        <f>'Soil Moisture Worksheet'!B39</f>
        <v>34</v>
      </c>
      <c r="C38" s="9">
        <f>'Soil Moisture Worksheet'!W39</f>
        <v>0</v>
      </c>
      <c r="D38" s="9">
        <f t="shared" si="1"/>
        <v>0</v>
      </c>
      <c r="E38" s="7">
        <f t="shared" si="5"/>
        <v>0.25</v>
      </c>
      <c r="F38" s="7">
        <f t="shared" si="5"/>
        <v>50</v>
      </c>
      <c r="G38" s="7">
        <f t="shared" si="5"/>
        <v>65</v>
      </c>
      <c r="H38" s="9">
        <f t="shared" si="2"/>
        <v>0</v>
      </c>
      <c r="I38" s="7">
        <f t="shared" si="4"/>
        <v>0.6</v>
      </c>
      <c r="J38" s="13">
        <f t="shared" si="0"/>
        <v>0</v>
      </c>
      <c r="K38" s="31"/>
    </row>
    <row r="39" spans="1:11" x14ac:dyDescent="0.45">
      <c r="A39" s="26">
        <f>'Soil Moisture Worksheet'!A40</f>
        <v>45782</v>
      </c>
      <c r="B39" s="37">
        <f>'Soil Moisture Worksheet'!B40</f>
        <v>35</v>
      </c>
      <c r="C39" s="9">
        <f>'Soil Moisture Worksheet'!W40</f>
        <v>0</v>
      </c>
      <c r="D39" s="9">
        <f t="shared" si="1"/>
        <v>0</v>
      </c>
      <c r="E39" s="7">
        <f t="shared" ref="E39:G54" si="6">E38</f>
        <v>0.25</v>
      </c>
      <c r="F39" s="7">
        <f t="shared" si="6"/>
        <v>50</v>
      </c>
      <c r="G39" s="7">
        <f t="shared" si="6"/>
        <v>65</v>
      </c>
      <c r="H39" s="9">
        <f t="shared" si="2"/>
        <v>0</v>
      </c>
      <c r="I39" s="7">
        <f t="shared" si="4"/>
        <v>0.6</v>
      </c>
      <c r="J39" s="13">
        <f t="shared" si="0"/>
        <v>0</v>
      </c>
      <c r="K39" s="31"/>
    </row>
    <row r="40" spans="1:11" x14ac:dyDescent="0.45">
      <c r="A40" s="26">
        <f>'Soil Moisture Worksheet'!A41</f>
        <v>45783</v>
      </c>
      <c r="B40" s="37">
        <f>'Soil Moisture Worksheet'!B41</f>
        <v>36</v>
      </c>
      <c r="C40" s="9">
        <f>'Soil Moisture Worksheet'!W41</f>
        <v>0</v>
      </c>
      <c r="D40" s="9">
        <f t="shared" si="1"/>
        <v>0</v>
      </c>
      <c r="E40" s="7">
        <f t="shared" si="6"/>
        <v>0.25</v>
      </c>
      <c r="F40" s="7">
        <f t="shared" si="6"/>
        <v>50</v>
      </c>
      <c r="G40" s="7">
        <f t="shared" si="6"/>
        <v>65</v>
      </c>
      <c r="H40" s="9">
        <f t="shared" si="2"/>
        <v>0</v>
      </c>
      <c r="I40" s="7">
        <f t="shared" si="4"/>
        <v>0.6</v>
      </c>
      <c r="J40" s="13">
        <f t="shared" si="0"/>
        <v>0</v>
      </c>
      <c r="K40" s="31"/>
    </row>
    <row r="41" spans="1:11" x14ac:dyDescent="0.45">
      <c r="A41" s="26">
        <f>'Soil Moisture Worksheet'!A42</f>
        <v>45784</v>
      </c>
      <c r="B41" s="37">
        <f>'Soil Moisture Worksheet'!B42</f>
        <v>37</v>
      </c>
      <c r="C41" s="9">
        <f>'Soil Moisture Worksheet'!W42</f>
        <v>0</v>
      </c>
      <c r="D41" s="9">
        <f t="shared" si="1"/>
        <v>0</v>
      </c>
      <c r="E41" s="7">
        <f t="shared" si="6"/>
        <v>0.25</v>
      </c>
      <c r="F41" s="7">
        <f t="shared" si="6"/>
        <v>50</v>
      </c>
      <c r="G41" s="7">
        <f t="shared" si="6"/>
        <v>65</v>
      </c>
      <c r="H41" s="9">
        <f t="shared" si="2"/>
        <v>0</v>
      </c>
      <c r="I41" s="7">
        <f t="shared" si="4"/>
        <v>0.6</v>
      </c>
      <c r="J41" s="13">
        <f t="shared" si="0"/>
        <v>0</v>
      </c>
      <c r="K41" s="31"/>
    </row>
    <row r="42" spans="1:11" x14ac:dyDescent="0.45">
      <c r="A42" s="26">
        <f>'Soil Moisture Worksheet'!A43</f>
        <v>45785</v>
      </c>
      <c r="B42" s="37">
        <f>'Soil Moisture Worksheet'!B43</f>
        <v>38</v>
      </c>
      <c r="C42" s="9">
        <f>'Soil Moisture Worksheet'!W43</f>
        <v>0</v>
      </c>
      <c r="D42" s="9">
        <f t="shared" si="1"/>
        <v>0</v>
      </c>
      <c r="E42" s="7">
        <f t="shared" si="6"/>
        <v>0.25</v>
      </c>
      <c r="F42" s="7">
        <f t="shared" si="6"/>
        <v>50</v>
      </c>
      <c r="G42" s="7">
        <f t="shared" si="6"/>
        <v>65</v>
      </c>
      <c r="H42" s="9">
        <f t="shared" si="2"/>
        <v>0</v>
      </c>
      <c r="I42" s="7">
        <f t="shared" si="4"/>
        <v>0.6</v>
      </c>
      <c r="J42" s="13">
        <f t="shared" si="0"/>
        <v>0</v>
      </c>
      <c r="K42" s="31"/>
    </row>
    <row r="43" spans="1:11" x14ac:dyDescent="0.45">
      <c r="A43" s="26">
        <f>'Soil Moisture Worksheet'!A44</f>
        <v>45786</v>
      </c>
      <c r="B43" s="37">
        <f>'Soil Moisture Worksheet'!B44</f>
        <v>39</v>
      </c>
      <c r="C43" s="9">
        <f>'Soil Moisture Worksheet'!W44</f>
        <v>0</v>
      </c>
      <c r="D43" s="9">
        <f t="shared" si="1"/>
        <v>0</v>
      </c>
      <c r="E43" s="7">
        <f t="shared" si="6"/>
        <v>0.25</v>
      </c>
      <c r="F43" s="7">
        <f t="shared" si="6"/>
        <v>50</v>
      </c>
      <c r="G43" s="7">
        <f t="shared" si="6"/>
        <v>65</v>
      </c>
      <c r="H43" s="9">
        <f t="shared" si="2"/>
        <v>0</v>
      </c>
      <c r="I43" s="7">
        <f t="shared" si="4"/>
        <v>0.6</v>
      </c>
      <c r="J43" s="13">
        <f t="shared" si="0"/>
        <v>0</v>
      </c>
      <c r="K43" s="31"/>
    </row>
    <row r="44" spans="1:11" x14ac:dyDescent="0.45">
      <c r="A44" s="26">
        <f>'Soil Moisture Worksheet'!A45</f>
        <v>45787</v>
      </c>
      <c r="B44" s="37">
        <f>'Soil Moisture Worksheet'!B45</f>
        <v>40</v>
      </c>
      <c r="C44" s="9">
        <f>'Soil Moisture Worksheet'!W45</f>
        <v>0</v>
      </c>
      <c r="D44" s="9">
        <f t="shared" si="1"/>
        <v>0</v>
      </c>
      <c r="E44" s="7">
        <f t="shared" si="6"/>
        <v>0.25</v>
      </c>
      <c r="F44" s="7">
        <f t="shared" si="6"/>
        <v>50</v>
      </c>
      <c r="G44" s="7">
        <f t="shared" si="6"/>
        <v>65</v>
      </c>
      <c r="H44" s="9">
        <f t="shared" si="2"/>
        <v>0</v>
      </c>
      <c r="I44" s="7">
        <f t="shared" si="4"/>
        <v>0.6</v>
      </c>
      <c r="J44" s="13">
        <f t="shared" si="0"/>
        <v>0</v>
      </c>
      <c r="K44" s="31"/>
    </row>
    <row r="45" spans="1:11" x14ac:dyDescent="0.45">
      <c r="A45" s="26">
        <f>'Soil Moisture Worksheet'!A46</f>
        <v>45788</v>
      </c>
      <c r="B45" s="37">
        <f>'Soil Moisture Worksheet'!B46</f>
        <v>41</v>
      </c>
      <c r="C45" s="9">
        <f>'Soil Moisture Worksheet'!W46</f>
        <v>0</v>
      </c>
      <c r="D45" s="9">
        <f t="shared" si="1"/>
        <v>0</v>
      </c>
      <c r="E45" s="7">
        <f t="shared" si="6"/>
        <v>0.25</v>
      </c>
      <c r="F45" s="7">
        <f t="shared" si="6"/>
        <v>50</v>
      </c>
      <c r="G45" s="7">
        <f t="shared" si="6"/>
        <v>65</v>
      </c>
      <c r="H45" s="9">
        <f t="shared" si="2"/>
        <v>0</v>
      </c>
      <c r="I45" s="7">
        <f t="shared" si="4"/>
        <v>0.6</v>
      </c>
      <c r="J45" s="13">
        <f t="shared" si="0"/>
        <v>0</v>
      </c>
      <c r="K45" s="31"/>
    </row>
    <row r="46" spans="1:11" x14ac:dyDescent="0.45">
      <c r="A46" s="26">
        <f>'Soil Moisture Worksheet'!A47</f>
        <v>45789</v>
      </c>
      <c r="B46" s="37">
        <f>'Soil Moisture Worksheet'!B47</f>
        <v>42</v>
      </c>
      <c r="C46" s="9">
        <f>'Soil Moisture Worksheet'!W47</f>
        <v>0</v>
      </c>
      <c r="D46" s="9">
        <f t="shared" si="1"/>
        <v>0</v>
      </c>
      <c r="E46" s="7">
        <f t="shared" si="6"/>
        <v>0.25</v>
      </c>
      <c r="F46" s="7">
        <f t="shared" si="6"/>
        <v>50</v>
      </c>
      <c r="G46" s="7">
        <f t="shared" si="6"/>
        <v>65</v>
      </c>
      <c r="H46" s="9">
        <f t="shared" si="2"/>
        <v>0</v>
      </c>
      <c r="I46" s="7">
        <f t="shared" si="4"/>
        <v>0.6</v>
      </c>
      <c r="J46" s="13">
        <f t="shared" si="0"/>
        <v>0</v>
      </c>
      <c r="K46" s="31"/>
    </row>
    <row r="47" spans="1:11" x14ac:dyDescent="0.45">
      <c r="A47" s="26">
        <f>'Soil Moisture Worksheet'!A48</f>
        <v>45790</v>
      </c>
      <c r="B47" s="37">
        <f>'Soil Moisture Worksheet'!B48</f>
        <v>43</v>
      </c>
      <c r="C47" s="9">
        <f>'Soil Moisture Worksheet'!W48</f>
        <v>0</v>
      </c>
      <c r="D47" s="9">
        <f t="shared" si="1"/>
        <v>0</v>
      </c>
      <c r="E47" s="7">
        <f t="shared" si="6"/>
        <v>0.25</v>
      </c>
      <c r="F47" s="7">
        <f t="shared" si="6"/>
        <v>50</v>
      </c>
      <c r="G47" s="7">
        <f t="shared" si="6"/>
        <v>65</v>
      </c>
      <c r="H47" s="9">
        <f t="shared" si="2"/>
        <v>0</v>
      </c>
      <c r="I47" s="7">
        <f t="shared" si="4"/>
        <v>0.6</v>
      </c>
      <c r="J47" s="13">
        <f t="shared" si="0"/>
        <v>0</v>
      </c>
      <c r="K47" s="31"/>
    </row>
    <row r="48" spans="1:11" x14ac:dyDescent="0.45">
      <c r="A48" s="26">
        <f>'Soil Moisture Worksheet'!A49</f>
        <v>45791</v>
      </c>
      <c r="B48" s="37">
        <f>'Soil Moisture Worksheet'!B49</f>
        <v>44</v>
      </c>
      <c r="C48" s="9">
        <f>'Soil Moisture Worksheet'!W49</f>
        <v>0</v>
      </c>
      <c r="D48" s="9">
        <f t="shared" si="1"/>
        <v>0</v>
      </c>
      <c r="E48" s="7">
        <f t="shared" si="6"/>
        <v>0.25</v>
      </c>
      <c r="F48" s="7">
        <f t="shared" si="6"/>
        <v>50</v>
      </c>
      <c r="G48" s="7">
        <f t="shared" si="6"/>
        <v>65</v>
      </c>
      <c r="H48" s="9">
        <f t="shared" si="2"/>
        <v>0</v>
      </c>
      <c r="I48" s="7">
        <f t="shared" si="4"/>
        <v>0.6</v>
      </c>
      <c r="J48" s="13">
        <f t="shared" si="0"/>
        <v>0</v>
      </c>
      <c r="K48" s="31"/>
    </row>
    <row r="49" spans="1:11" x14ac:dyDescent="0.45">
      <c r="A49" s="26">
        <f>'Soil Moisture Worksheet'!A50</f>
        <v>45792</v>
      </c>
      <c r="B49" s="37">
        <f>'Soil Moisture Worksheet'!B50</f>
        <v>45</v>
      </c>
      <c r="C49" s="9">
        <f>'Soil Moisture Worksheet'!W50</f>
        <v>0</v>
      </c>
      <c r="D49" s="9">
        <f t="shared" si="1"/>
        <v>0</v>
      </c>
      <c r="E49" s="7">
        <f t="shared" si="6"/>
        <v>0.25</v>
      </c>
      <c r="F49" s="7">
        <f t="shared" si="6"/>
        <v>50</v>
      </c>
      <c r="G49" s="7">
        <f t="shared" si="6"/>
        <v>65</v>
      </c>
      <c r="H49" s="9">
        <f t="shared" si="2"/>
        <v>0</v>
      </c>
      <c r="I49" s="7">
        <f t="shared" si="4"/>
        <v>0.6</v>
      </c>
      <c r="J49" s="13">
        <f t="shared" si="0"/>
        <v>0</v>
      </c>
      <c r="K49" s="31"/>
    </row>
    <row r="50" spans="1:11" x14ac:dyDescent="0.45">
      <c r="A50" s="26">
        <f>'Soil Moisture Worksheet'!A51</f>
        <v>45793</v>
      </c>
      <c r="B50" s="37">
        <f>'Soil Moisture Worksheet'!B51</f>
        <v>46</v>
      </c>
      <c r="C50" s="9">
        <f>'Soil Moisture Worksheet'!W51</f>
        <v>0</v>
      </c>
      <c r="D50" s="9">
        <f t="shared" si="1"/>
        <v>0</v>
      </c>
      <c r="E50" s="7">
        <f t="shared" si="6"/>
        <v>0.25</v>
      </c>
      <c r="F50" s="7">
        <f t="shared" si="6"/>
        <v>50</v>
      </c>
      <c r="G50" s="7">
        <f t="shared" si="6"/>
        <v>65</v>
      </c>
      <c r="H50" s="9">
        <f t="shared" si="2"/>
        <v>0</v>
      </c>
      <c r="I50" s="7">
        <f t="shared" si="4"/>
        <v>0.6</v>
      </c>
      <c r="J50" s="13">
        <f t="shared" si="0"/>
        <v>0</v>
      </c>
      <c r="K50" s="31"/>
    </row>
    <row r="51" spans="1:11" x14ac:dyDescent="0.45">
      <c r="A51" s="26">
        <f>'Soil Moisture Worksheet'!A52</f>
        <v>45794</v>
      </c>
      <c r="B51" s="37">
        <f>'Soil Moisture Worksheet'!B52</f>
        <v>47</v>
      </c>
      <c r="C51" s="9">
        <f>'Soil Moisture Worksheet'!W52</f>
        <v>0</v>
      </c>
      <c r="D51" s="9">
        <f t="shared" si="1"/>
        <v>0</v>
      </c>
      <c r="E51" s="7">
        <f t="shared" si="6"/>
        <v>0.25</v>
      </c>
      <c r="F51" s="7">
        <f t="shared" si="6"/>
        <v>50</v>
      </c>
      <c r="G51" s="7">
        <f t="shared" si="6"/>
        <v>65</v>
      </c>
      <c r="H51" s="9">
        <f t="shared" si="2"/>
        <v>0</v>
      </c>
      <c r="I51" s="7">
        <f t="shared" si="4"/>
        <v>0.6</v>
      </c>
      <c r="J51" s="13">
        <f t="shared" si="0"/>
        <v>0</v>
      </c>
      <c r="K51" s="31"/>
    </row>
    <row r="52" spans="1:11" x14ac:dyDescent="0.45">
      <c r="A52" s="26">
        <f>'Soil Moisture Worksheet'!A53</f>
        <v>45795</v>
      </c>
      <c r="B52" s="37">
        <f>'Soil Moisture Worksheet'!B53</f>
        <v>48</v>
      </c>
      <c r="C52" s="9">
        <f>'Soil Moisture Worksheet'!W53</f>
        <v>0</v>
      </c>
      <c r="D52" s="9">
        <f t="shared" si="1"/>
        <v>0</v>
      </c>
      <c r="E52" s="7">
        <f t="shared" si="6"/>
        <v>0.25</v>
      </c>
      <c r="F52" s="7">
        <f t="shared" si="6"/>
        <v>50</v>
      </c>
      <c r="G52" s="7">
        <f t="shared" si="6"/>
        <v>65</v>
      </c>
      <c r="H52" s="9">
        <f t="shared" si="2"/>
        <v>0</v>
      </c>
      <c r="I52" s="7">
        <f t="shared" si="4"/>
        <v>0.6</v>
      </c>
      <c r="J52" s="13">
        <f t="shared" si="0"/>
        <v>0</v>
      </c>
      <c r="K52" s="31"/>
    </row>
    <row r="53" spans="1:11" x14ac:dyDescent="0.45">
      <c r="A53" s="26">
        <f>'Soil Moisture Worksheet'!A54</f>
        <v>45796</v>
      </c>
      <c r="B53" s="37">
        <f>'Soil Moisture Worksheet'!B54</f>
        <v>49</v>
      </c>
      <c r="C53" s="9">
        <f>'Soil Moisture Worksheet'!W54</f>
        <v>0</v>
      </c>
      <c r="D53" s="9">
        <f t="shared" si="1"/>
        <v>0</v>
      </c>
      <c r="E53" s="7">
        <f t="shared" si="6"/>
        <v>0.25</v>
      </c>
      <c r="F53" s="7">
        <f t="shared" si="6"/>
        <v>50</v>
      </c>
      <c r="G53" s="7">
        <f t="shared" si="6"/>
        <v>65</v>
      </c>
      <c r="H53" s="9">
        <f t="shared" si="2"/>
        <v>0</v>
      </c>
      <c r="I53" s="7">
        <f t="shared" si="4"/>
        <v>0.6</v>
      </c>
      <c r="J53" s="13">
        <f t="shared" si="0"/>
        <v>0</v>
      </c>
      <c r="K53" s="31"/>
    </row>
    <row r="54" spans="1:11" x14ac:dyDescent="0.45">
      <c r="A54" s="26">
        <f>'Soil Moisture Worksheet'!A55</f>
        <v>45797</v>
      </c>
      <c r="B54" s="37">
        <f>'Soil Moisture Worksheet'!B55</f>
        <v>50</v>
      </c>
      <c r="C54" s="9">
        <f>'Soil Moisture Worksheet'!W55</f>
        <v>0</v>
      </c>
      <c r="D54" s="9">
        <f t="shared" si="1"/>
        <v>0</v>
      </c>
      <c r="E54" s="7">
        <f t="shared" si="6"/>
        <v>0.25</v>
      </c>
      <c r="F54" s="7">
        <f t="shared" si="6"/>
        <v>50</v>
      </c>
      <c r="G54" s="7">
        <f t="shared" si="6"/>
        <v>65</v>
      </c>
      <c r="H54" s="9">
        <f t="shared" si="2"/>
        <v>0</v>
      </c>
      <c r="I54" s="7">
        <f t="shared" si="4"/>
        <v>0.6</v>
      </c>
      <c r="J54" s="13">
        <f t="shared" si="0"/>
        <v>0</v>
      </c>
      <c r="K54" s="31"/>
    </row>
    <row r="55" spans="1:11" x14ac:dyDescent="0.45">
      <c r="A55" s="26">
        <f>'Soil Moisture Worksheet'!A56</f>
        <v>45798</v>
      </c>
      <c r="B55" s="37">
        <f>'Soil Moisture Worksheet'!B56</f>
        <v>51</v>
      </c>
      <c r="C55" s="9">
        <f>'Soil Moisture Worksheet'!W56</f>
        <v>0</v>
      </c>
      <c r="D55" s="9">
        <f t="shared" si="1"/>
        <v>0</v>
      </c>
      <c r="E55" s="7">
        <f t="shared" ref="E55:G70" si="7">E54</f>
        <v>0.25</v>
      </c>
      <c r="F55" s="7">
        <f t="shared" si="7"/>
        <v>50</v>
      </c>
      <c r="G55" s="7">
        <f t="shared" si="7"/>
        <v>65</v>
      </c>
      <c r="H55" s="9">
        <f t="shared" si="2"/>
        <v>0</v>
      </c>
      <c r="I55" s="7">
        <f t="shared" si="4"/>
        <v>0.6</v>
      </c>
      <c r="J55" s="13">
        <f t="shared" si="0"/>
        <v>0</v>
      </c>
      <c r="K55" s="31"/>
    </row>
    <row r="56" spans="1:11" x14ac:dyDescent="0.45">
      <c r="A56" s="26">
        <f>'Soil Moisture Worksheet'!A57</f>
        <v>45799</v>
      </c>
      <c r="B56" s="37">
        <f>'Soil Moisture Worksheet'!B57</f>
        <v>52</v>
      </c>
      <c r="C56" s="9">
        <f>'Soil Moisture Worksheet'!W57</f>
        <v>0</v>
      </c>
      <c r="D56" s="9">
        <f t="shared" si="1"/>
        <v>0</v>
      </c>
      <c r="E56" s="7">
        <f t="shared" si="7"/>
        <v>0.25</v>
      </c>
      <c r="F56" s="7">
        <f t="shared" si="7"/>
        <v>50</v>
      </c>
      <c r="G56" s="7">
        <f t="shared" si="7"/>
        <v>65</v>
      </c>
      <c r="H56" s="9">
        <f t="shared" si="2"/>
        <v>0</v>
      </c>
      <c r="I56" s="7">
        <f t="shared" si="4"/>
        <v>0.6</v>
      </c>
      <c r="J56" s="13">
        <f t="shared" si="0"/>
        <v>0</v>
      </c>
      <c r="K56" s="31"/>
    </row>
    <row r="57" spans="1:11" x14ac:dyDescent="0.45">
      <c r="A57" s="26">
        <f>'Soil Moisture Worksheet'!A58</f>
        <v>45800</v>
      </c>
      <c r="B57" s="37">
        <f>'Soil Moisture Worksheet'!B58</f>
        <v>53</v>
      </c>
      <c r="C57" s="9">
        <f>'Soil Moisture Worksheet'!W58</f>
        <v>0</v>
      </c>
      <c r="D57" s="9">
        <f t="shared" si="1"/>
        <v>0</v>
      </c>
      <c r="E57" s="7">
        <f t="shared" si="7"/>
        <v>0.25</v>
      </c>
      <c r="F57" s="7">
        <f t="shared" si="7"/>
        <v>50</v>
      </c>
      <c r="G57" s="7">
        <f t="shared" si="7"/>
        <v>65</v>
      </c>
      <c r="H57" s="9">
        <f t="shared" si="2"/>
        <v>0</v>
      </c>
      <c r="I57" s="7">
        <f t="shared" si="4"/>
        <v>0.6</v>
      </c>
      <c r="J57" s="13">
        <f t="shared" si="0"/>
        <v>0</v>
      </c>
      <c r="K57" s="31"/>
    </row>
    <row r="58" spans="1:11" x14ac:dyDescent="0.45">
      <c r="A58" s="26">
        <f>'Soil Moisture Worksheet'!A59</f>
        <v>45801</v>
      </c>
      <c r="B58" s="37">
        <f>'Soil Moisture Worksheet'!B59</f>
        <v>54</v>
      </c>
      <c r="C58" s="9">
        <f>'Soil Moisture Worksheet'!W59</f>
        <v>0</v>
      </c>
      <c r="D58" s="9">
        <f t="shared" si="1"/>
        <v>0</v>
      </c>
      <c r="E58" s="7">
        <f t="shared" si="7"/>
        <v>0.25</v>
      </c>
      <c r="F58" s="7">
        <f t="shared" si="7"/>
        <v>50</v>
      </c>
      <c r="G58" s="7">
        <f t="shared" si="7"/>
        <v>65</v>
      </c>
      <c r="H58" s="9">
        <f t="shared" si="2"/>
        <v>0</v>
      </c>
      <c r="I58" s="7">
        <f t="shared" si="4"/>
        <v>0.6</v>
      </c>
      <c r="J58" s="13">
        <f t="shared" si="0"/>
        <v>0</v>
      </c>
      <c r="K58" s="31"/>
    </row>
    <row r="59" spans="1:11" x14ac:dyDescent="0.45">
      <c r="A59" s="26">
        <f>'Soil Moisture Worksheet'!A60</f>
        <v>45802</v>
      </c>
      <c r="B59" s="37">
        <f>'Soil Moisture Worksheet'!B60</f>
        <v>55</v>
      </c>
      <c r="C59" s="9">
        <f>'Soil Moisture Worksheet'!W60</f>
        <v>0</v>
      </c>
      <c r="D59" s="9">
        <f t="shared" si="1"/>
        <v>0</v>
      </c>
      <c r="E59" s="7">
        <f t="shared" si="7"/>
        <v>0.25</v>
      </c>
      <c r="F59" s="7">
        <f t="shared" si="7"/>
        <v>50</v>
      </c>
      <c r="G59" s="7">
        <f t="shared" si="7"/>
        <v>65</v>
      </c>
      <c r="H59" s="9">
        <f t="shared" si="2"/>
        <v>0</v>
      </c>
      <c r="I59" s="7">
        <f t="shared" si="4"/>
        <v>0.6</v>
      </c>
      <c r="J59" s="13">
        <f t="shared" si="0"/>
        <v>0</v>
      </c>
      <c r="K59" s="31"/>
    </row>
    <row r="60" spans="1:11" x14ac:dyDescent="0.45">
      <c r="A60" s="26">
        <f>'Soil Moisture Worksheet'!A61</f>
        <v>45803</v>
      </c>
      <c r="B60" s="37">
        <f>'Soil Moisture Worksheet'!B61</f>
        <v>56</v>
      </c>
      <c r="C60" s="9">
        <f>'Soil Moisture Worksheet'!W61</f>
        <v>0</v>
      </c>
      <c r="D60" s="9">
        <f t="shared" si="1"/>
        <v>0</v>
      </c>
      <c r="E60" s="7">
        <f t="shared" si="7"/>
        <v>0.25</v>
      </c>
      <c r="F60" s="7">
        <f t="shared" si="7"/>
        <v>50</v>
      </c>
      <c r="G60" s="7">
        <f t="shared" si="7"/>
        <v>65</v>
      </c>
      <c r="H60" s="9">
        <f t="shared" si="2"/>
        <v>0</v>
      </c>
      <c r="I60" s="7">
        <f t="shared" si="4"/>
        <v>0.6</v>
      </c>
      <c r="J60" s="13">
        <f t="shared" si="0"/>
        <v>0</v>
      </c>
      <c r="K60" s="31"/>
    </row>
    <row r="61" spans="1:11" x14ac:dyDescent="0.45">
      <c r="A61" s="26">
        <f>'Soil Moisture Worksheet'!A62</f>
        <v>45804</v>
      </c>
      <c r="B61" s="37">
        <f>'Soil Moisture Worksheet'!B62</f>
        <v>57</v>
      </c>
      <c r="C61" s="9">
        <f>'Soil Moisture Worksheet'!W62</f>
        <v>0</v>
      </c>
      <c r="D61" s="9">
        <f t="shared" si="1"/>
        <v>0</v>
      </c>
      <c r="E61" s="7">
        <f t="shared" si="7"/>
        <v>0.25</v>
      </c>
      <c r="F61" s="7">
        <f t="shared" si="7"/>
        <v>50</v>
      </c>
      <c r="G61" s="7">
        <f t="shared" si="7"/>
        <v>65</v>
      </c>
      <c r="H61" s="9">
        <f t="shared" si="2"/>
        <v>0</v>
      </c>
      <c r="I61" s="7">
        <f t="shared" si="4"/>
        <v>0.6</v>
      </c>
      <c r="J61" s="13">
        <f t="shared" si="0"/>
        <v>0</v>
      </c>
      <c r="K61" s="31"/>
    </row>
    <row r="62" spans="1:11" x14ac:dyDescent="0.45">
      <c r="A62" s="26">
        <f>'Soil Moisture Worksheet'!A63</f>
        <v>45805</v>
      </c>
      <c r="B62" s="37">
        <f>'Soil Moisture Worksheet'!B63</f>
        <v>58</v>
      </c>
      <c r="C62" s="9">
        <f>'Soil Moisture Worksheet'!W63</f>
        <v>0</v>
      </c>
      <c r="D62" s="9">
        <f t="shared" si="1"/>
        <v>0</v>
      </c>
      <c r="E62" s="7">
        <f t="shared" si="7"/>
        <v>0.25</v>
      </c>
      <c r="F62" s="7">
        <f t="shared" si="7"/>
        <v>50</v>
      </c>
      <c r="G62" s="7">
        <f t="shared" si="7"/>
        <v>65</v>
      </c>
      <c r="H62" s="9">
        <f t="shared" si="2"/>
        <v>0</v>
      </c>
      <c r="I62" s="7">
        <f t="shared" si="4"/>
        <v>0.6</v>
      </c>
      <c r="J62" s="13">
        <f t="shared" si="0"/>
        <v>0</v>
      </c>
      <c r="K62" s="31"/>
    </row>
    <row r="63" spans="1:11" x14ac:dyDescent="0.45">
      <c r="A63" s="26">
        <f>'Soil Moisture Worksheet'!A64</f>
        <v>45806</v>
      </c>
      <c r="B63" s="37">
        <f>'Soil Moisture Worksheet'!B64</f>
        <v>59</v>
      </c>
      <c r="C63" s="9">
        <f>'Soil Moisture Worksheet'!W64</f>
        <v>0</v>
      </c>
      <c r="D63" s="9">
        <f t="shared" si="1"/>
        <v>0</v>
      </c>
      <c r="E63" s="7">
        <f t="shared" si="7"/>
        <v>0.25</v>
      </c>
      <c r="F63" s="7">
        <f t="shared" si="7"/>
        <v>50</v>
      </c>
      <c r="G63" s="7">
        <f t="shared" si="7"/>
        <v>65</v>
      </c>
      <c r="H63" s="9">
        <f t="shared" si="2"/>
        <v>0</v>
      </c>
      <c r="I63" s="7">
        <f t="shared" si="4"/>
        <v>0.6</v>
      </c>
      <c r="J63" s="13">
        <f t="shared" si="0"/>
        <v>0</v>
      </c>
      <c r="K63" s="31"/>
    </row>
    <row r="64" spans="1:11" x14ac:dyDescent="0.45">
      <c r="A64" s="26">
        <f>'Soil Moisture Worksheet'!A65</f>
        <v>45807</v>
      </c>
      <c r="B64" s="37">
        <f>'Soil Moisture Worksheet'!B65</f>
        <v>60</v>
      </c>
      <c r="C64" s="9">
        <f>'Soil Moisture Worksheet'!W65</f>
        <v>0</v>
      </c>
      <c r="D64" s="9">
        <f t="shared" si="1"/>
        <v>0</v>
      </c>
      <c r="E64" s="7">
        <f t="shared" si="7"/>
        <v>0.25</v>
      </c>
      <c r="F64" s="7">
        <f t="shared" si="7"/>
        <v>50</v>
      </c>
      <c r="G64" s="7">
        <f t="shared" si="7"/>
        <v>65</v>
      </c>
      <c r="H64" s="9">
        <f t="shared" si="2"/>
        <v>0</v>
      </c>
      <c r="I64" s="7">
        <f t="shared" si="4"/>
        <v>0.6</v>
      </c>
      <c r="J64" s="13">
        <f t="shared" si="0"/>
        <v>0</v>
      </c>
      <c r="K64" s="31"/>
    </row>
    <row r="65" spans="1:11" x14ac:dyDescent="0.45">
      <c r="A65" s="26">
        <f>'Soil Moisture Worksheet'!A66</f>
        <v>45808</v>
      </c>
      <c r="B65" s="37">
        <f>'Soil Moisture Worksheet'!B66</f>
        <v>61</v>
      </c>
      <c r="C65" s="9">
        <f>'Soil Moisture Worksheet'!W66</f>
        <v>0</v>
      </c>
      <c r="D65" s="9">
        <f t="shared" si="1"/>
        <v>0</v>
      </c>
      <c r="E65" s="7">
        <f t="shared" si="7"/>
        <v>0.25</v>
      </c>
      <c r="F65" s="7">
        <f t="shared" si="7"/>
        <v>50</v>
      </c>
      <c r="G65" s="7">
        <f t="shared" si="7"/>
        <v>65</v>
      </c>
      <c r="H65" s="9">
        <f t="shared" si="2"/>
        <v>0</v>
      </c>
      <c r="I65" s="7">
        <f t="shared" si="4"/>
        <v>0.6</v>
      </c>
      <c r="J65" s="13">
        <f t="shared" si="0"/>
        <v>0</v>
      </c>
      <c r="K65" s="31"/>
    </row>
    <row r="66" spans="1:11" x14ac:dyDescent="0.45">
      <c r="A66" s="26">
        <f>'Soil Moisture Worksheet'!A67</f>
        <v>45809</v>
      </c>
      <c r="B66" s="37">
        <f>'Soil Moisture Worksheet'!B67</f>
        <v>62</v>
      </c>
      <c r="C66" s="9">
        <f>'Soil Moisture Worksheet'!W67</f>
        <v>0</v>
      </c>
      <c r="D66" s="9">
        <f t="shared" si="1"/>
        <v>0</v>
      </c>
      <c r="E66" s="7">
        <f t="shared" si="7"/>
        <v>0.25</v>
      </c>
      <c r="F66" s="7">
        <f t="shared" si="7"/>
        <v>50</v>
      </c>
      <c r="G66" s="7">
        <f t="shared" si="7"/>
        <v>65</v>
      </c>
      <c r="H66" s="9">
        <f t="shared" si="2"/>
        <v>0</v>
      </c>
      <c r="I66" s="7">
        <f t="shared" si="4"/>
        <v>0.6</v>
      </c>
      <c r="J66" s="13">
        <f t="shared" si="0"/>
        <v>0</v>
      </c>
      <c r="K66" s="31"/>
    </row>
    <row r="67" spans="1:11" x14ac:dyDescent="0.45">
      <c r="A67" s="26">
        <f>'Soil Moisture Worksheet'!A68</f>
        <v>45810</v>
      </c>
      <c r="B67" s="37">
        <f>'Soil Moisture Worksheet'!B68</f>
        <v>63</v>
      </c>
      <c r="C67" s="9">
        <f>'Soil Moisture Worksheet'!W68</f>
        <v>0</v>
      </c>
      <c r="D67" s="9">
        <f t="shared" si="1"/>
        <v>0</v>
      </c>
      <c r="E67" s="7">
        <f t="shared" si="7"/>
        <v>0.25</v>
      </c>
      <c r="F67" s="7">
        <f t="shared" si="7"/>
        <v>50</v>
      </c>
      <c r="G67" s="7">
        <f t="shared" si="7"/>
        <v>65</v>
      </c>
      <c r="H67" s="9">
        <f t="shared" si="2"/>
        <v>0</v>
      </c>
      <c r="I67" s="7">
        <f t="shared" si="4"/>
        <v>0.6</v>
      </c>
      <c r="J67" s="13">
        <f t="shared" si="0"/>
        <v>0</v>
      </c>
      <c r="K67" s="31"/>
    </row>
    <row r="68" spans="1:11" x14ac:dyDescent="0.45">
      <c r="A68" s="26">
        <f>'Soil Moisture Worksheet'!A69</f>
        <v>45811</v>
      </c>
      <c r="B68" s="37">
        <f>'Soil Moisture Worksheet'!B69</f>
        <v>64</v>
      </c>
      <c r="C68" s="9">
        <f>'Soil Moisture Worksheet'!W69</f>
        <v>0</v>
      </c>
      <c r="D68" s="9">
        <f t="shared" si="1"/>
        <v>0</v>
      </c>
      <c r="E68" s="7">
        <f t="shared" si="7"/>
        <v>0.25</v>
      </c>
      <c r="F68" s="7">
        <f t="shared" si="7"/>
        <v>50</v>
      </c>
      <c r="G68" s="7">
        <f t="shared" si="7"/>
        <v>65</v>
      </c>
      <c r="H68" s="9">
        <f t="shared" si="2"/>
        <v>0</v>
      </c>
      <c r="I68" s="7">
        <f t="shared" si="4"/>
        <v>0.6</v>
      </c>
      <c r="J68" s="13">
        <f t="shared" si="0"/>
        <v>0</v>
      </c>
      <c r="K68" s="31"/>
    </row>
    <row r="69" spans="1:11" x14ac:dyDescent="0.45">
      <c r="A69" s="26">
        <f>'Soil Moisture Worksheet'!A70</f>
        <v>45812</v>
      </c>
      <c r="B69" s="37">
        <f>'Soil Moisture Worksheet'!B70</f>
        <v>65</v>
      </c>
      <c r="C69" s="9">
        <f>'Soil Moisture Worksheet'!W70</f>
        <v>0</v>
      </c>
      <c r="D69" s="9">
        <f t="shared" si="1"/>
        <v>0</v>
      </c>
      <c r="E69" s="7">
        <f t="shared" si="7"/>
        <v>0.25</v>
      </c>
      <c r="F69" s="7">
        <f t="shared" si="7"/>
        <v>50</v>
      </c>
      <c r="G69" s="7">
        <f t="shared" si="7"/>
        <v>65</v>
      </c>
      <c r="H69" s="9">
        <f t="shared" si="2"/>
        <v>0</v>
      </c>
      <c r="I69" s="7">
        <f t="shared" si="4"/>
        <v>0.6</v>
      </c>
      <c r="J69" s="13">
        <f t="shared" ref="J69:J99" si="8">H69/(I69*60)</f>
        <v>0</v>
      </c>
      <c r="K69" s="31"/>
    </row>
    <row r="70" spans="1:11" x14ac:dyDescent="0.45">
      <c r="A70" s="26">
        <f>'Soil Moisture Worksheet'!A71</f>
        <v>45813</v>
      </c>
      <c r="B70" s="37">
        <f>'Soil Moisture Worksheet'!B71</f>
        <v>66</v>
      </c>
      <c r="C70" s="9">
        <f>'Soil Moisture Worksheet'!W71</f>
        <v>0</v>
      </c>
      <c r="D70" s="9">
        <f t="shared" ref="D70:D133" si="9">C70*10*E70</f>
        <v>0</v>
      </c>
      <c r="E70" s="7">
        <f t="shared" si="7"/>
        <v>0.25</v>
      </c>
      <c r="F70" s="7">
        <f t="shared" si="7"/>
        <v>50</v>
      </c>
      <c r="G70" s="7">
        <f t="shared" si="7"/>
        <v>65</v>
      </c>
      <c r="H70" s="9">
        <f t="shared" ref="H70:H99" si="10">C70*10*E70*F70/G70</f>
        <v>0</v>
      </c>
      <c r="I70" s="7">
        <f t="shared" si="4"/>
        <v>0.6</v>
      </c>
      <c r="J70" s="13">
        <f t="shared" si="8"/>
        <v>0</v>
      </c>
      <c r="K70" s="31"/>
    </row>
    <row r="71" spans="1:11" x14ac:dyDescent="0.45">
      <c r="A71" s="26">
        <f>'Soil Moisture Worksheet'!A72</f>
        <v>45814</v>
      </c>
      <c r="B71" s="37">
        <f>'Soil Moisture Worksheet'!B72</f>
        <v>67</v>
      </c>
      <c r="C71" s="9">
        <f>'Soil Moisture Worksheet'!W72</f>
        <v>0</v>
      </c>
      <c r="D71" s="9">
        <f t="shared" si="9"/>
        <v>0</v>
      </c>
      <c r="E71" s="7">
        <f t="shared" ref="E71:G86" si="11">E70</f>
        <v>0.25</v>
      </c>
      <c r="F71" s="7">
        <f t="shared" si="11"/>
        <v>50</v>
      </c>
      <c r="G71" s="7">
        <f t="shared" si="11"/>
        <v>65</v>
      </c>
      <c r="H71" s="9">
        <f t="shared" si="10"/>
        <v>0</v>
      </c>
      <c r="I71" s="7">
        <f t="shared" si="4"/>
        <v>0.6</v>
      </c>
      <c r="J71" s="13">
        <f t="shared" si="8"/>
        <v>0</v>
      </c>
      <c r="K71" s="31"/>
    </row>
    <row r="72" spans="1:11" x14ac:dyDescent="0.45">
      <c r="A72" s="26">
        <f>'Soil Moisture Worksheet'!A73</f>
        <v>45815</v>
      </c>
      <c r="B72" s="37">
        <f>'Soil Moisture Worksheet'!B73</f>
        <v>68</v>
      </c>
      <c r="C72" s="9">
        <f>'Soil Moisture Worksheet'!W73</f>
        <v>0</v>
      </c>
      <c r="D72" s="9">
        <f t="shared" si="9"/>
        <v>0</v>
      </c>
      <c r="E72" s="7">
        <f t="shared" si="11"/>
        <v>0.25</v>
      </c>
      <c r="F72" s="7">
        <f t="shared" si="11"/>
        <v>50</v>
      </c>
      <c r="G72" s="7">
        <f t="shared" si="11"/>
        <v>65</v>
      </c>
      <c r="H72" s="9">
        <f t="shared" si="10"/>
        <v>0</v>
      </c>
      <c r="I72" s="7">
        <f t="shared" ref="I72:I135" si="12">I71</f>
        <v>0.6</v>
      </c>
      <c r="J72" s="13">
        <f t="shared" si="8"/>
        <v>0</v>
      </c>
      <c r="K72" s="31"/>
    </row>
    <row r="73" spans="1:11" x14ac:dyDescent="0.45">
      <c r="A73" s="26">
        <f>'Soil Moisture Worksheet'!A74</f>
        <v>45816</v>
      </c>
      <c r="B73" s="37">
        <f>'Soil Moisture Worksheet'!B74</f>
        <v>69</v>
      </c>
      <c r="C73" s="9">
        <f>'Soil Moisture Worksheet'!W74</f>
        <v>0</v>
      </c>
      <c r="D73" s="9">
        <f t="shared" si="9"/>
        <v>0</v>
      </c>
      <c r="E73" s="7">
        <f t="shared" si="11"/>
        <v>0.25</v>
      </c>
      <c r="F73" s="7">
        <f t="shared" si="11"/>
        <v>50</v>
      </c>
      <c r="G73" s="7">
        <f t="shared" si="11"/>
        <v>65</v>
      </c>
      <c r="H73" s="9">
        <f t="shared" si="10"/>
        <v>0</v>
      </c>
      <c r="I73" s="7">
        <f t="shared" si="12"/>
        <v>0.6</v>
      </c>
      <c r="J73" s="13">
        <f t="shared" si="8"/>
        <v>0</v>
      </c>
      <c r="K73" s="31"/>
    </row>
    <row r="74" spans="1:11" x14ac:dyDescent="0.45">
      <c r="A74" s="26">
        <f>'Soil Moisture Worksheet'!A75</f>
        <v>45817</v>
      </c>
      <c r="B74" s="37">
        <f>'Soil Moisture Worksheet'!B75</f>
        <v>70</v>
      </c>
      <c r="C74" s="9">
        <f>'Soil Moisture Worksheet'!W75</f>
        <v>0</v>
      </c>
      <c r="D74" s="9">
        <f t="shared" si="9"/>
        <v>0</v>
      </c>
      <c r="E74" s="7">
        <f t="shared" si="11"/>
        <v>0.25</v>
      </c>
      <c r="F74" s="7">
        <f t="shared" si="11"/>
        <v>50</v>
      </c>
      <c r="G74" s="7">
        <f t="shared" si="11"/>
        <v>65</v>
      </c>
      <c r="H74" s="9">
        <f t="shared" si="10"/>
        <v>0</v>
      </c>
      <c r="I74" s="7">
        <f t="shared" si="12"/>
        <v>0.6</v>
      </c>
      <c r="J74" s="13">
        <f t="shared" si="8"/>
        <v>0</v>
      </c>
      <c r="K74" s="31"/>
    </row>
    <row r="75" spans="1:11" x14ac:dyDescent="0.45">
      <c r="A75" s="26">
        <f>'Soil Moisture Worksheet'!A76</f>
        <v>45818</v>
      </c>
      <c r="B75" s="37">
        <f>'Soil Moisture Worksheet'!B76</f>
        <v>71</v>
      </c>
      <c r="C75" s="9">
        <f>'Soil Moisture Worksheet'!W76</f>
        <v>0</v>
      </c>
      <c r="D75" s="9">
        <f t="shared" si="9"/>
        <v>0</v>
      </c>
      <c r="E75" s="7">
        <f t="shared" si="11"/>
        <v>0.25</v>
      </c>
      <c r="F75" s="7">
        <f t="shared" si="11"/>
        <v>50</v>
      </c>
      <c r="G75" s="7">
        <f t="shared" si="11"/>
        <v>65</v>
      </c>
      <c r="H75" s="9">
        <f t="shared" si="10"/>
        <v>0</v>
      </c>
      <c r="I75" s="7">
        <f t="shared" si="12"/>
        <v>0.6</v>
      </c>
      <c r="J75" s="13">
        <f t="shared" si="8"/>
        <v>0</v>
      </c>
      <c r="K75" s="31"/>
    </row>
    <row r="76" spans="1:11" x14ac:dyDescent="0.45">
      <c r="A76" s="26">
        <f>'Soil Moisture Worksheet'!A77</f>
        <v>45819</v>
      </c>
      <c r="B76" s="37">
        <f>'Soil Moisture Worksheet'!B77</f>
        <v>72</v>
      </c>
      <c r="C76" s="9">
        <f>'Soil Moisture Worksheet'!W77</f>
        <v>0</v>
      </c>
      <c r="D76" s="9">
        <f t="shared" si="9"/>
        <v>0</v>
      </c>
      <c r="E76" s="7">
        <f t="shared" si="11"/>
        <v>0.25</v>
      </c>
      <c r="F76" s="7">
        <f t="shared" si="11"/>
        <v>50</v>
      </c>
      <c r="G76" s="7">
        <f t="shared" si="11"/>
        <v>65</v>
      </c>
      <c r="H76" s="9">
        <f t="shared" si="10"/>
        <v>0</v>
      </c>
      <c r="I76" s="7">
        <f t="shared" si="12"/>
        <v>0.6</v>
      </c>
      <c r="J76" s="13">
        <f t="shared" si="8"/>
        <v>0</v>
      </c>
      <c r="K76" s="31"/>
    </row>
    <row r="77" spans="1:11" x14ac:dyDescent="0.45">
      <c r="A77" s="26">
        <f>'Soil Moisture Worksheet'!A78</f>
        <v>45820</v>
      </c>
      <c r="B77" s="37">
        <f>'Soil Moisture Worksheet'!B78</f>
        <v>73</v>
      </c>
      <c r="C77" s="9">
        <f>'Soil Moisture Worksheet'!W78</f>
        <v>0</v>
      </c>
      <c r="D77" s="9">
        <f t="shared" si="9"/>
        <v>0</v>
      </c>
      <c r="E77" s="7">
        <f t="shared" si="11"/>
        <v>0.25</v>
      </c>
      <c r="F77" s="7">
        <f t="shared" si="11"/>
        <v>50</v>
      </c>
      <c r="G77" s="7">
        <f t="shared" si="11"/>
        <v>65</v>
      </c>
      <c r="H77" s="9">
        <f t="shared" si="10"/>
        <v>0</v>
      </c>
      <c r="I77" s="7">
        <f t="shared" si="12"/>
        <v>0.6</v>
      </c>
      <c r="J77" s="13">
        <f t="shared" si="8"/>
        <v>0</v>
      </c>
      <c r="K77" s="31"/>
    </row>
    <row r="78" spans="1:11" x14ac:dyDescent="0.45">
      <c r="A78" s="26">
        <f>'Soil Moisture Worksheet'!A79</f>
        <v>45821</v>
      </c>
      <c r="B78" s="37">
        <f>'Soil Moisture Worksheet'!B79</f>
        <v>74</v>
      </c>
      <c r="C78" s="9">
        <f>'Soil Moisture Worksheet'!W79</f>
        <v>0</v>
      </c>
      <c r="D78" s="9">
        <f t="shared" si="9"/>
        <v>0</v>
      </c>
      <c r="E78" s="7">
        <f t="shared" si="11"/>
        <v>0.25</v>
      </c>
      <c r="F78" s="7">
        <f t="shared" si="11"/>
        <v>50</v>
      </c>
      <c r="G78" s="7">
        <f t="shared" si="11"/>
        <v>65</v>
      </c>
      <c r="H78" s="9">
        <f t="shared" si="10"/>
        <v>0</v>
      </c>
      <c r="I78" s="7">
        <f t="shared" si="12"/>
        <v>0.6</v>
      </c>
      <c r="J78" s="13">
        <f t="shared" si="8"/>
        <v>0</v>
      </c>
      <c r="K78" s="31"/>
    </row>
    <row r="79" spans="1:11" x14ac:dyDescent="0.45">
      <c r="A79" s="26">
        <f>'Soil Moisture Worksheet'!A80</f>
        <v>45822</v>
      </c>
      <c r="B79" s="37">
        <f>'Soil Moisture Worksheet'!B80</f>
        <v>75</v>
      </c>
      <c r="C79" s="9">
        <f>'Soil Moisture Worksheet'!W80</f>
        <v>0</v>
      </c>
      <c r="D79" s="9">
        <f t="shared" si="9"/>
        <v>0</v>
      </c>
      <c r="E79" s="7">
        <f t="shared" si="11"/>
        <v>0.25</v>
      </c>
      <c r="F79" s="7">
        <f t="shared" si="11"/>
        <v>50</v>
      </c>
      <c r="G79" s="7">
        <f t="shared" si="11"/>
        <v>65</v>
      </c>
      <c r="H79" s="9">
        <f t="shared" si="10"/>
        <v>0</v>
      </c>
      <c r="I79" s="7">
        <f t="shared" si="12"/>
        <v>0.6</v>
      </c>
      <c r="J79" s="13">
        <f t="shared" si="8"/>
        <v>0</v>
      </c>
      <c r="K79" s="31"/>
    </row>
    <row r="80" spans="1:11" x14ac:dyDescent="0.45">
      <c r="A80" s="26">
        <f>'Soil Moisture Worksheet'!A81</f>
        <v>45823</v>
      </c>
      <c r="B80" s="37">
        <f>'Soil Moisture Worksheet'!B81</f>
        <v>76</v>
      </c>
      <c r="C80" s="9">
        <f>'Soil Moisture Worksheet'!W81</f>
        <v>0</v>
      </c>
      <c r="D80" s="9">
        <f t="shared" si="9"/>
        <v>0</v>
      </c>
      <c r="E80" s="7">
        <f t="shared" si="11"/>
        <v>0.25</v>
      </c>
      <c r="F80" s="7">
        <f t="shared" si="11"/>
        <v>50</v>
      </c>
      <c r="G80" s="7">
        <f t="shared" si="11"/>
        <v>65</v>
      </c>
      <c r="H80" s="9">
        <f t="shared" si="10"/>
        <v>0</v>
      </c>
      <c r="I80" s="7">
        <f t="shared" si="12"/>
        <v>0.6</v>
      </c>
      <c r="J80" s="13">
        <f t="shared" si="8"/>
        <v>0</v>
      </c>
      <c r="K80" s="31"/>
    </row>
    <row r="81" spans="1:11" x14ac:dyDescent="0.45">
      <c r="A81" s="26">
        <f>'Soil Moisture Worksheet'!A82</f>
        <v>45824</v>
      </c>
      <c r="B81" s="37">
        <f>'Soil Moisture Worksheet'!B82</f>
        <v>77</v>
      </c>
      <c r="C81" s="9">
        <f>'Soil Moisture Worksheet'!W82</f>
        <v>0</v>
      </c>
      <c r="D81" s="9">
        <f t="shared" si="9"/>
        <v>0</v>
      </c>
      <c r="E81" s="7">
        <f t="shared" si="11"/>
        <v>0.25</v>
      </c>
      <c r="F81" s="7">
        <f t="shared" si="11"/>
        <v>50</v>
      </c>
      <c r="G81" s="7">
        <f t="shared" si="11"/>
        <v>65</v>
      </c>
      <c r="H81" s="9">
        <f t="shared" si="10"/>
        <v>0</v>
      </c>
      <c r="I81" s="7">
        <f t="shared" si="12"/>
        <v>0.6</v>
      </c>
      <c r="J81" s="13">
        <f t="shared" si="8"/>
        <v>0</v>
      </c>
      <c r="K81" s="31"/>
    </row>
    <row r="82" spans="1:11" x14ac:dyDescent="0.45">
      <c r="A82" s="26">
        <f>'Soil Moisture Worksheet'!A83</f>
        <v>45825</v>
      </c>
      <c r="B82" s="37">
        <f>'Soil Moisture Worksheet'!B83</f>
        <v>78</v>
      </c>
      <c r="C82" s="9">
        <f>'Soil Moisture Worksheet'!W83</f>
        <v>0</v>
      </c>
      <c r="D82" s="9">
        <f t="shared" si="9"/>
        <v>0</v>
      </c>
      <c r="E82" s="7">
        <f t="shared" si="11"/>
        <v>0.25</v>
      </c>
      <c r="F82" s="7">
        <f t="shared" si="11"/>
        <v>50</v>
      </c>
      <c r="G82" s="7">
        <f t="shared" si="11"/>
        <v>65</v>
      </c>
      <c r="H82" s="9">
        <f t="shared" si="10"/>
        <v>0</v>
      </c>
      <c r="I82" s="7">
        <f t="shared" si="12"/>
        <v>0.6</v>
      </c>
      <c r="J82" s="13">
        <f t="shared" si="8"/>
        <v>0</v>
      </c>
      <c r="K82" s="31"/>
    </row>
    <row r="83" spans="1:11" x14ac:dyDescent="0.45">
      <c r="A83" s="26">
        <f>'Soil Moisture Worksheet'!A84</f>
        <v>45826</v>
      </c>
      <c r="B83" s="37">
        <f>'Soil Moisture Worksheet'!B84</f>
        <v>79</v>
      </c>
      <c r="C83" s="9">
        <f>'Soil Moisture Worksheet'!W84</f>
        <v>0</v>
      </c>
      <c r="D83" s="9">
        <f t="shared" si="9"/>
        <v>0</v>
      </c>
      <c r="E83" s="7">
        <f t="shared" si="11"/>
        <v>0.25</v>
      </c>
      <c r="F83" s="7">
        <f t="shared" si="11"/>
        <v>50</v>
      </c>
      <c r="G83" s="7">
        <f t="shared" si="11"/>
        <v>65</v>
      </c>
      <c r="H83" s="9">
        <f t="shared" si="10"/>
        <v>0</v>
      </c>
      <c r="I83" s="7">
        <f t="shared" si="12"/>
        <v>0.6</v>
      </c>
      <c r="J83" s="13">
        <f t="shared" si="8"/>
        <v>0</v>
      </c>
      <c r="K83" s="31"/>
    </row>
    <row r="84" spans="1:11" x14ac:dyDescent="0.45">
      <c r="A84" s="26">
        <f>'Soil Moisture Worksheet'!A85</f>
        <v>45827</v>
      </c>
      <c r="B84" s="37">
        <f>'Soil Moisture Worksheet'!B85</f>
        <v>80</v>
      </c>
      <c r="C84" s="9">
        <f>'Soil Moisture Worksheet'!W85</f>
        <v>0</v>
      </c>
      <c r="D84" s="9">
        <f t="shared" si="9"/>
        <v>0</v>
      </c>
      <c r="E84" s="7">
        <f t="shared" si="11"/>
        <v>0.25</v>
      </c>
      <c r="F84" s="7">
        <f t="shared" si="11"/>
        <v>50</v>
      </c>
      <c r="G84" s="7">
        <f t="shared" si="11"/>
        <v>65</v>
      </c>
      <c r="H84" s="9">
        <f t="shared" si="10"/>
        <v>0</v>
      </c>
      <c r="I84" s="7">
        <f t="shared" si="12"/>
        <v>0.6</v>
      </c>
      <c r="J84" s="13">
        <f t="shared" si="8"/>
        <v>0</v>
      </c>
      <c r="K84" s="31"/>
    </row>
    <row r="85" spans="1:11" x14ac:dyDescent="0.45">
      <c r="A85" s="26">
        <f>'Soil Moisture Worksheet'!A86</f>
        <v>45828</v>
      </c>
      <c r="B85" s="37">
        <f>'Soil Moisture Worksheet'!B86</f>
        <v>81</v>
      </c>
      <c r="C85" s="9">
        <f>'Soil Moisture Worksheet'!W86</f>
        <v>0</v>
      </c>
      <c r="D85" s="9">
        <f t="shared" si="9"/>
        <v>0</v>
      </c>
      <c r="E85" s="7">
        <f t="shared" si="11"/>
        <v>0.25</v>
      </c>
      <c r="F85" s="7">
        <f t="shared" si="11"/>
        <v>50</v>
      </c>
      <c r="G85" s="7">
        <f t="shared" si="11"/>
        <v>65</v>
      </c>
      <c r="H85" s="9">
        <f t="shared" si="10"/>
        <v>0</v>
      </c>
      <c r="I85" s="7">
        <f t="shared" si="12"/>
        <v>0.6</v>
      </c>
      <c r="J85" s="13">
        <f t="shared" si="8"/>
        <v>0</v>
      </c>
      <c r="K85" s="31"/>
    </row>
    <row r="86" spans="1:11" x14ac:dyDescent="0.45">
      <c r="A86" s="26">
        <f>'Soil Moisture Worksheet'!A87</f>
        <v>45829</v>
      </c>
      <c r="B86" s="37">
        <f>'Soil Moisture Worksheet'!B87</f>
        <v>82</v>
      </c>
      <c r="C86" s="9">
        <f>'Soil Moisture Worksheet'!W87</f>
        <v>0</v>
      </c>
      <c r="D86" s="9">
        <f t="shared" si="9"/>
        <v>0</v>
      </c>
      <c r="E86" s="7">
        <f t="shared" si="11"/>
        <v>0.25</v>
      </c>
      <c r="F86" s="7">
        <f t="shared" si="11"/>
        <v>50</v>
      </c>
      <c r="G86" s="7">
        <f t="shared" si="11"/>
        <v>65</v>
      </c>
      <c r="H86" s="9">
        <f t="shared" si="10"/>
        <v>0</v>
      </c>
      <c r="I86" s="7">
        <f t="shared" si="12"/>
        <v>0.6</v>
      </c>
      <c r="J86" s="13">
        <f t="shared" si="8"/>
        <v>0</v>
      </c>
      <c r="K86" s="31"/>
    </row>
    <row r="87" spans="1:11" x14ac:dyDescent="0.45">
      <c r="A87" s="26">
        <f>'Soil Moisture Worksheet'!A88</f>
        <v>45830</v>
      </c>
      <c r="B87" s="37">
        <f>'Soil Moisture Worksheet'!B88</f>
        <v>83</v>
      </c>
      <c r="C87" s="9">
        <f>'Soil Moisture Worksheet'!W88</f>
        <v>0</v>
      </c>
      <c r="D87" s="9">
        <f t="shared" si="9"/>
        <v>0</v>
      </c>
      <c r="E87" s="7">
        <f t="shared" ref="E87:G99" si="13">E86</f>
        <v>0.25</v>
      </c>
      <c r="F87" s="7">
        <f t="shared" si="13"/>
        <v>50</v>
      </c>
      <c r="G87" s="7">
        <f t="shared" si="13"/>
        <v>65</v>
      </c>
      <c r="H87" s="9">
        <f t="shared" si="10"/>
        <v>0</v>
      </c>
      <c r="I87" s="7">
        <f t="shared" si="12"/>
        <v>0.6</v>
      </c>
      <c r="J87" s="13">
        <f t="shared" si="8"/>
        <v>0</v>
      </c>
      <c r="K87" s="31"/>
    </row>
    <row r="88" spans="1:11" x14ac:dyDescent="0.45">
      <c r="A88" s="26">
        <f>'Soil Moisture Worksheet'!A89</f>
        <v>45831</v>
      </c>
      <c r="B88" s="37">
        <f>'Soil Moisture Worksheet'!B89</f>
        <v>84</v>
      </c>
      <c r="C88" s="9">
        <f>'Soil Moisture Worksheet'!W89</f>
        <v>0</v>
      </c>
      <c r="D88" s="9">
        <f t="shared" si="9"/>
        <v>0</v>
      </c>
      <c r="E88" s="7">
        <f t="shared" si="13"/>
        <v>0.25</v>
      </c>
      <c r="F88" s="7">
        <f t="shared" si="13"/>
        <v>50</v>
      </c>
      <c r="G88" s="7">
        <f t="shared" si="13"/>
        <v>65</v>
      </c>
      <c r="H88" s="9">
        <f t="shared" si="10"/>
        <v>0</v>
      </c>
      <c r="I88" s="7">
        <f t="shared" si="12"/>
        <v>0.6</v>
      </c>
      <c r="J88" s="13">
        <f t="shared" si="8"/>
        <v>0</v>
      </c>
      <c r="K88" s="31"/>
    </row>
    <row r="89" spans="1:11" x14ac:dyDescent="0.45">
      <c r="A89" s="26">
        <f>'Soil Moisture Worksheet'!A90</f>
        <v>45832</v>
      </c>
      <c r="B89" s="37">
        <f>'Soil Moisture Worksheet'!B90</f>
        <v>85</v>
      </c>
      <c r="C89" s="9">
        <f>'Soil Moisture Worksheet'!W90</f>
        <v>0</v>
      </c>
      <c r="D89" s="9">
        <f t="shared" si="9"/>
        <v>0</v>
      </c>
      <c r="E89" s="7">
        <f t="shared" si="13"/>
        <v>0.25</v>
      </c>
      <c r="F89" s="7">
        <f t="shared" si="13"/>
        <v>50</v>
      </c>
      <c r="G89" s="7">
        <f t="shared" si="13"/>
        <v>65</v>
      </c>
      <c r="H89" s="9">
        <f t="shared" si="10"/>
        <v>0</v>
      </c>
      <c r="I89" s="7">
        <f t="shared" si="12"/>
        <v>0.6</v>
      </c>
      <c r="J89" s="13">
        <f t="shared" si="8"/>
        <v>0</v>
      </c>
      <c r="K89" s="31"/>
    </row>
    <row r="90" spans="1:11" x14ac:dyDescent="0.45">
      <c r="A90" s="26">
        <f>'Soil Moisture Worksheet'!A91</f>
        <v>45833</v>
      </c>
      <c r="B90" s="37">
        <f>'Soil Moisture Worksheet'!B91</f>
        <v>86</v>
      </c>
      <c r="C90" s="9">
        <f>'Soil Moisture Worksheet'!W91</f>
        <v>0</v>
      </c>
      <c r="D90" s="9">
        <f t="shared" si="9"/>
        <v>0</v>
      </c>
      <c r="E90" s="7">
        <f t="shared" si="13"/>
        <v>0.25</v>
      </c>
      <c r="F90" s="7">
        <f t="shared" si="13"/>
        <v>50</v>
      </c>
      <c r="G90" s="7">
        <f t="shared" si="13"/>
        <v>65</v>
      </c>
      <c r="H90" s="9">
        <f t="shared" si="10"/>
        <v>0</v>
      </c>
      <c r="I90" s="7">
        <f t="shared" si="12"/>
        <v>0.6</v>
      </c>
      <c r="J90" s="13">
        <f t="shared" si="8"/>
        <v>0</v>
      </c>
      <c r="K90" s="31"/>
    </row>
    <row r="91" spans="1:11" x14ac:dyDescent="0.45">
      <c r="A91" s="26">
        <f>'Soil Moisture Worksheet'!A92</f>
        <v>45834</v>
      </c>
      <c r="B91" s="37">
        <f>'Soil Moisture Worksheet'!B92</f>
        <v>87</v>
      </c>
      <c r="C91" s="9">
        <f>'Soil Moisture Worksheet'!W92</f>
        <v>0</v>
      </c>
      <c r="D91" s="9">
        <f t="shared" si="9"/>
        <v>0</v>
      </c>
      <c r="E91" s="7">
        <f t="shared" si="13"/>
        <v>0.25</v>
      </c>
      <c r="F91" s="7">
        <f t="shared" si="13"/>
        <v>50</v>
      </c>
      <c r="G91" s="7">
        <f t="shared" si="13"/>
        <v>65</v>
      </c>
      <c r="H91" s="9">
        <f t="shared" si="10"/>
        <v>0</v>
      </c>
      <c r="I91" s="7">
        <f t="shared" si="12"/>
        <v>0.6</v>
      </c>
      <c r="J91" s="13">
        <f t="shared" si="8"/>
        <v>0</v>
      </c>
      <c r="K91" s="31"/>
    </row>
    <row r="92" spans="1:11" x14ac:dyDescent="0.45">
      <c r="A92" s="26">
        <f>'Soil Moisture Worksheet'!A93</f>
        <v>45835</v>
      </c>
      <c r="B92" s="37">
        <f>'Soil Moisture Worksheet'!B93</f>
        <v>88</v>
      </c>
      <c r="C92" s="9">
        <f>'Soil Moisture Worksheet'!W93</f>
        <v>0</v>
      </c>
      <c r="D92" s="9">
        <f t="shared" si="9"/>
        <v>0</v>
      </c>
      <c r="E92" s="7">
        <f t="shared" si="13"/>
        <v>0.25</v>
      </c>
      <c r="F92" s="7">
        <f t="shared" si="13"/>
        <v>50</v>
      </c>
      <c r="G92" s="7">
        <f t="shared" si="13"/>
        <v>65</v>
      </c>
      <c r="H92" s="9">
        <f t="shared" si="10"/>
        <v>0</v>
      </c>
      <c r="I92" s="7">
        <f t="shared" si="12"/>
        <v>0.6</v>
      </c>
      <c r="J92" s="13">
        <f t="shared" si="8"/>
        <v>0</v>
      </c>
      <c r="K92" s="31"/>
    </row>
    <row r="93" spans="1:11" x14ac:dyDescent="0.45">
      <c r="A93" s="26">
        <f>'Soil Moisture Worksheet'!A94</f>
        <v>45836</v>
      </c>
      <c r="B93" s="37">
        <f>'Soil Moisture Worksheet'!B94</f>
        <v>89</v>
      </c>
      <c r="C93" s="9">
        <f>'Soil Moisture Worksheet'!W94</f>
        <v>0</v>
      </c>
      <c r="D93" s="9">
        <f t="shared" si="9"/>
        <v>0</v>
      </c>
      <c r="E93" s="7">
        <f t="shared" si="13"/>
        <v>0.25</v>
      </c>
      <c r="F93" s="7">
        <f t="shared" si="13"/>
        <v>50</v>
      </c>
      <c r="G93" s="7">
        <f t="shared" si="13"/>
        <v>65</v>
      </c>
      <c r="H93" s="9">
        <f t="shared" si="10"/>
        <v>0</v>
      </c>
      <c r="I93" s="7">
        <f t="shared" si="12"/>
        <v>0.6</v>
      </c>
      <c r="J93" s="13">
        <f t="shared" si="8"/>
        <v>0</v>
      </c>
      <c r="K93" s="31"/>
    </row>
    <row r="94" spans="1:11" x14ac:dyDescent="0.45">
      <c r="A94" s="26">
        <f>'Soil Moisture Worksheet'!A95</f>
        <v>45837</v>
      </c>
      <c r="B94" s="37">
        <f>'Soil Moisture Worksheet'!B95</f>
        <v>90</v>
      </c>
      <c r="C94" s="9">
        <f>'Soil Moisture Worksheet'!W95</f>
        <v>0</v>
      </c>
      <c r="D94" s="9">
        <f t="shared" si="9"/>
        <v>0</v>
      </c>
      <c r="E94" s="7">
        <f t="shared" si="13"/>
        <v>0.25</v>
      </c>
      <c r="F94" s="7">
        <f t="shared" si="13"/>
        <v>50</v>
      </c>
      <c r="G94" s="7">
        <f t="shared" si="13"/>
        <v>65</v>
      </c>
      <c r="H94" s="9">
        <f t="shared" si="10"/>
        <v>0</v>
      </c>
      <c r="I94" s="7">
        <f t="shared" si="12"/>
        <v>0.6</v>
      </c>
      <c r="J94" s="13">
        <f t="shared" si="8"/>
        <v>0</v>
      </c>
      <c r="K94" s="31"/>
    </row>
    <row r="95" spans="1:11" x14ac:dyDescent="0.45">
      <c r="A95" s="26">
        <f>'Soil Moisture Worksheet'!A96</f>
        <v>45838</v>
      </c>
      <c r="B95" s="37">
        <f>'Soil Moisture Worksheet'!B96</f>
        <v>91</v>
      </c>
      <c r="C95" s="9">
        <f>'Soil Moisture Worksheet'!W96</f>
        <v>0</v>
      </c>
      <c r="D95" s="9">
        <f t="shared" si="9"/>
        <v>0</v>
      </c>
      <c r="E95" s="7">
        <f t="shared" si="13"/>
        <v>0.25</v>
      </c>
      <c r="F95" s="7">
        <f t="shared" si="13"/>
        <v>50</v>
      </c>
      <c r="G95" s="7">
        <f t="shared" si="13"/>
        <v>65</v>
      </c>
      <c r="H95" s="9">
        <f t="shared" si="10"/>
        <v>0</v>
      </c>
      <c r="I95" s="7">
        <f t="shared" si="12"/>
        <v>0.6</v>
      </c>
      <c r="J95" s="13">
        <f t="shared" si="8"/>
        <v>0</v>
      </c>
      <c r="K95" s="31"/>
    </row>
    <row r="96" spans="1:11" x14ac:dyDescent="0.45">
      <c r="A96" s="26">
        <f>'Soil Moisture Worksheet'!A97</f>
        <v>45839</v>
      </c>
      <c r="B96" s="37">
        <f>'Soil Moisture Worksheet'!B97</f>
        <v>92</v>
      </c>
      <c r="C96" s="9">
        <f>'Soil Moisture Worksheet'!W97</f>
        <v>0</v>
      </c>
      <c r="D96" s="9">
        <f t="shared" si="9"/>
        <v>0</v>
      </c>
      <c r="E96" s="7">
        <f t="shared" si="13"/>
        <v>0.25</v>
      </c>
      <c r="F96" s="7">
        <f t="shared" si="13"/>
        <v>50</v>
      </c>
      <c r="G96" s="7">
        <f t="shared" si="13"/>
        <v>65</v>
      </c>
      <c r="H96" s="9">
        <f t="shared" si="10"/>
        <v>0</v>
      </c>
      <c r="I96" s="7">
        <f t="shared" si="12"/>
        <v>0.6</v>
      </c>
      <c r="J96" s="13">
        <f t="shared" si="8"/>
        <v>0</v>
      </c>
      <c r="K96" s="31"/>
    </row>
    <row r="97" spans="1:11" x14ac:dyDescent="0.45">
      <c r="A97" s="26">
        <f>'Soil Moisture Worksheet'!A98</f>
        <v>45840</v>
      </c>
      <c r="B97" s="37">
        <f>'Soil Moisture Worksheet'!B98</f>
        <v>93</v>
      </c>
      <c r="C97" s="9">
        <f>'Soil Moisture Worksheet'!W98</f>
        <v>0</v>
      </c>
      <c r="D97" s="9">
        <f t="shared" si="9"/>
        <v>0</v>
      </c>
      <c r="E97" s="7">
        <f t="shared" si="13"/>
        <v>0.25</v>
      </c>
      <c r="F97" s="7">
        <f t="shared" si="13"/>
        <v>50</v>
      </c>
      <c r="G97" s="7">
        <f t="shared" si="13"/>
        <v>65</v>
      </c>
      <c r="H97" s="9">
        <f t="shared" si="10"/>
        <v>0</v>
      </c>
      <c r="I97" s="7">
        <f t="shared" si="12"/>
        <v>0.6</v>
      </c>
      <c r="J97" s="13">
        <f t="shared" si="8"/>
        <v>0</v>
      </c>
      <c r="K97" s="31"/>
    </row>
    <row r="98" spans="1:11" x14ac:dyDescent="0.45">
      <c r="A98" s="26">
        <f>'Soil Moisture Worksheet'!A99</f>
        <v>45841</v>
      </c>
      <c r="B98" s="37">
        <f>'Soil Moisture Worksheet'!B99</f>
        <v>94</v>
      </c>
      <c r="C98" s="9">
        <f>'Soil Moisture Worksheet'!W99</f>
        <v>0</v>
      </c>
      <c r="D98" s="9">
        <f t="shared" si="9"/>
        <v>0</v>
      </c>
      <c r="E98" s="7">
        <f t="shared" si="13"/>
        <v>0.25</v>
      </c>
      <c r="F98" s="7">
        <f t="shared" si="13"/>
        <v>50</v>
      </c>
      <c r="G98" s="7">
        <f t="shared" si="13"/>
        <v>65</v>
      </c>
      <c r="H98" s="9">
        <f t="shared" si="10"/>
        <v>0</v>
      </c>
      <c r="I98" s="7">
        <f t="shared" si="12"/>
        <v>0.6</v>
      </c>
      <c r="J98" s="13">
        <f t="shared" si="8"/>
        <v>0</v>
      </c>
      <c r="K98" s="31"/>
    </row>
    <row r="99" spans="1:11" x14ac:dyDescent="0.45">
      <c r="A99" s="26">
        <f>'Soil Moisture Worksheet'!A100</f>
        <v>45842</v>
      </c>
      <c r="B99" s="37">
        <f>'Soil Moisture Worksheet'!B100</f>
        <v>95</v>
      </c>
      <c r="C99" s="9">
        <f>'Soil Moisture Worksheet'!W100</f>
        <v>0</v>
      </c>
      <c r="D99" s="9">
        <f t="shared" si="9"/>
        <v>0</v>
      </c>
      <c r="E99" s="7">
        <f t="shared" si="13"/>
        <v>0.25</v>
      </c>
      <c r="F99" s="7">
        <f t="shared" si="13"/>
        <v>50</v>
      </c>
      <c r="G99" s="7">
        <f t="shared" si="13"/>
        <v>65</v>
      </c>
      <c r="H99" s="9">
        <f t="shared" si="10"/>
        <v>0</v>
      </c>
      <c r="I99" s="7">
        <f t="shared" si="12"/>
        <v>0.6</v>
      </c>
      <c r="J99" s="13">
        <f t="shared" si="8"/>
        <v>0</v>
      </c>
      <c r="K99" s="31"/>
    </row>
    <row r="100" spans="1:11" x14ac:dyDescent="0.45">
      <c r="A100" s="26">
        <f>'Soil Moisture Worksheet'!A101</f>
        <v>45843</v>
      </c>
      <c r="B100" s="37">
        <f>'Soil Moisture Worksheet'!B101</f>
        <v>96</v>
      </c>
      <c r="C100" s="9">
        <f>'Soil Moisture Worksheet'!W101</f>
        <v>0</v>
      </c>
      <c r="D100" s="9">
        <f t="shared" si="9"/>
        <v>0</v>
      </c>
      <c r="E100" s="7">
        <f t="shared" ref="E100:G100" si="14">E99</f>
        <v>0.25</v>
      </c>
      <c r="F100" s="7">
        <f t="shared" si="14"/>
        <v>50</v>
      </c>
      <c r="G100" s="7">
        <f t="shared" si="14"/>
        <v>65</v>
      </c>
      <c r="H100" s="9">
        <f t="shared" ref="H100:H135" si="15">C100*10*E100*F100/G100</f>
        <v>0</v>
      </c>
      <c r="I100" s="7">
        <f t="shared" si="12"/>
        <v>0.6</v>
      </c>
      <c r="J100" s="13">
        <f t="shared" ref="J100:J135" si="16">H100/(I100*60)</f>
        <v>0</v>
      </c>
    </row>
    <row r="101" spans="1:11" x14ac:dyDescent="0.45">
      <c r="A101" s="26">
        <f>'Soil Moisture Worksheet'!A102</f>
        <v>45844</v>
      </c>
      <c r="B101" s="37">
        <f>'Soil Moisture Worksheet'!B102</f>
        <v>97</v>
      </c>
      <c r="C101" s="9">
        <f>'Soil Moisture Worksheet'!W102</f>
        <v>0</v>
      </c>
      <c r="D101" s="9">
        <f t="shared" si="9"/>
        <v>0</v>
      </c>
      <c r="E101" s="7">
        <f t="shared" ref="E101:G101" si="17">E100</f>
        <v>0.25</v>
      </c>
      <c r="F101" s="7">
        <f t="shared" si="17"/>
        <v>50</v>
      </c>
      <c r="G101" s="7">
        <f t="shared" si="17"/>
        <v>65</v>
      </c>
      <c r="H101" s="9">
        <f t="shared" si="15"/>
        <v>0</v>
      </c>
      <c r="I101" s="7">
        <f t="shared" si="12"/>
        <v>0.6</v>
      </c>
      <c r="J101" s="13">
        <f t="shared" si="16"/>
        <v>0</v>
      </c>
    </row>
    <row r="102" spans="1:11" x14ac:dyDescent="0.45">
      <c r="A102" s="26">
        <f>'Soil Moisture Worksheet'!A103</f>
        <v>45845</v>
      </c>
      <c r="B102" s="37">
        <f>'Soil Moisture Worksheet'!B103</f>
        <v>98</v>
      </c>
      <c r="C102" s="9">
        <f>'Soil Moisture Worksheet'!W103</f>
        <v>0</v>
      </c>
      <c r="D102" s="9">
        <f t="shared" si="9"/>
        <v>0</v>
      </c>
      <c r="E102" s="7">
        <f t="shared" ref="E102:G102" si="18">E101</f>
        <v>0.25</v>
      </c>
      <c r="F102" s="7">
        <f t="shared" si="18"/>
        <v>50</v>
      </c>
      <c r="G102" s="7">
        <f t="shared" si="18"/>
        <v>65</v>
      </c>
      <c r="H102" s="9">
        <f t="shared" si="15"/>
        <v>0</v>
      </c>
      <c r="I102" s="7">
        <f t="shared" si="12"/>
        <v>0.6</v>
      </c>
      <c r="J102" s="13">
        <f t="shared" si="16"/>
        <v>0</v>
      </c>
    </row>
    <row r="103" spans="1:11" x14ac:dyDescent="0.45">
      <c r="A103" s="26">
        <f>'Soil Moisture Worksheet'!A104</f>
        <v>45846</v>
      </c>
      <c r="B103" s="37">
        <f>'Soil Moisture Worksheet'!B104</f>
        <v>99</v>
      </c>
      <c r="C103" s="9">
        <f>'Soil Moisture Worksheet'!W104</f>
        <v>0</v>
      </c>
      <c r="D103" s="9">
        <f t="shared" si="9"/>
        <v>0</v>
      </c>
      <c r="E103" s="7">
        <f t="shared" ref="E103:G103" si="19">E102</f>
        <v>0.25</v>
      </c>
      <c r="F103" s="7">
        <f t="shared" si="19"/>
        <v>50</v>
      </c>
      <c r="G103" s="7">
        <f t="shared" si="19"/>
        <v>65</v>
      </c>
      <c r="H103" s="9">
        <f t="shared" si="15"/>
        <v>0</v>
      </c>
      <c r="I103" s="7">
        <f t="shared" si="12"/>
        <v>0.6</v>
      </c>
      <c r="J103" s="13">
        <f t="shared" si="16"/>
        <v>0</v>
      </c>
    </row>
    <row r="104" spans="1:11" x14ac:dyDescent="0.45">
      <c r="A104" s="26">
        <f>'Soil Moisture Worksheet'!A105</f>
        <v>45847</v>
      </c>
      <c r="B104" s="37">
        <f>'Soil Moisture Worksheet'!B105</f>
        <v>100</v>
      </c>
      <c r="C104" s="9">
        <f>'Soil Moisture Worksheet'!W105</f>
        <v>0</v>
      </c>
      <c r="D104" s="9">
        <f t="shared" si="9"/>
        <v>0</v>
      </c>
      <c r="E104" s="7">
        <f t="shared" ref="E104:G104" si="20">E103</f>
        <v>0.25</v>
      </c>
      <c r="F104" s="7">
        <f t="shared" si="20"/>
        <v>50</v>
      </c>
      <c r="G104" s="7">
        <f t="shared" si="20"/>
        <v>65</v>
      </c>
      <c r="H104" s="9">
        <f t="shared" si="15"/>
        <v>0</v>
      </c>
      <c r="I104" s="7">
        <f t="shared" si="12"/>
        <v>0.6</v>
      </c>
      <c r="J104" s="13">
        <f t="shared" si="16"/>
        <v>0</v>
      </c>
    </row>
    <row r="105" spans="1:11" x14ac:dyDescent="0.45">
      <c r="A105" s="26">
        <f>'Soil Moisture Worksheet'!A106</f>
        <v>45848</v>
      </c>
      <c r="B105" s="37">
        <f>'Soil Moisture Worksheet'!B106</f>
        <v>101</v>
      </c>
      <c r="C105" s="9">
        <f>'Soil Moisture Worksheet'!W106</f>
        <v>0</v>
      </c>
      <c r="D105" s="9">
        <f t="shared" si="9"/>
        <v>0</v>
      </c>
      <c r="E105" s="7">
        <f t="shared" ref="E105:G105" si="21">E104</f>
        <v>0.25</v>
      </c>
      <c r="F105" s="7">
        <f t="shared" si="21"/>
        <v>50</v>
      </c>
      <c r="G105" s="7">
        <f t="shared" si="21"/>
        <v>65</v>
      </c>
      <c r="H105" s="9">
        <f t="shared" si="15"/>
        <v>0</v>
      </c>
      <c r="I105" s="7">
        <f t="shared" si="12"/>
        <v>0.6</v>
      </c>
      <c r="J105" s="13">
        <f t="shared" si="16"/>
        <v>0</v>
      </c>
    </row>
    <row r="106" spans="1:11" x14ac:dyDescent="0.45">
      <c r="A106" s="26">
        <f>'Soil Moisture Worksheet'!A107</f>
        <v>45849</v>
      </c>
      <c r="B106" s="37">
        <f>'Soil Moisture Worksheet'!B107</f>
        <v>102</v>
      </c>
      <c r="C106" s="9">
        <f>'Soil Moisture Worksheet'!W107</f>
        <v>0</v>
      </c>
      <c r="D106" s="9">
        <f t="shared" si="9"/>
        <v>0</v>
      </c>
      <c r="E106" s="7">
        <f t="shared" ref="E106:G106" si="22">E105</f>
        <v>0.25</v>
      </c>
      <c r="F106" s="7">
        <f t="shared" si="22"/>
        <v>50</v>
      </c>
      <c r="G106" s="7">
        <f t="shared" si="22"/>
        <v>65</v>
      </c>
      <c r="H106" s="9">
        <f t="shared" si="15"/>
        <v>0</v>
      </c>
      <c r="I106" s="7">
        <f t="shared" si="12"/>
        <v>0.6</v>
      </c>
      <c r="J106" s="13">
        <f t="shared" si="16"/>
        <v>0</v>
      </c>
    </row>
    <row r="107" spans="1:11" x14ac:dyDescent="0.45">
      <c r="A107" s="26">
        <f>'Soil Moisture Worksheet'!A108</f>
        <v>45850</v>
      </c>
      <c r="B107" s="37">
        <f>'Soil Moisture Worksheet'!B108</f>
        <v>103</v>
      </c>
      <c r="C107" s="9">
        <f>'Soil Moisture Worksheet'!W108</f>
        <v>0</v>
      </c>
      <c r="D107" s="9">
        <f t="shared" si="9"/>
        <v>0</v>
      </c>
      <c r="E107" s="7">
        <f t="shared" ref="E107:G107" si="23">E106</f>
        <v>0.25</v>
      </c>
      <c r="F107" s="7">
        <f t="shared" si="23"/>
        <v>50</v>
      </c>
      <c r="G107" s="7">
        <f t="shared" si="23"/>
        <v>65</v>
      </c>
      <c r="H107" s="9">
        <f t="shared" si="15"/>
        <v>0</v>
      </c>
      <c r="I107" s="7">
        <f t="shared" si="12"/>
        <v>0.6</v>
      </c>
      <c r="J107" s="13">
        <f t="shared" si="16"/>
        <v>0</v>
      </c>
    </row>
    <row r="108" spans="1:11" x14ac:dyDescent="0.45">
      <c r="A108" s="26">
        <f>'Soil Moisture Worksheet'!A109</f>
        <v>45851</v>
      </c>
      <c r="B108" s="37">
        <f>'Soil Moisture Worksheet'!B109</f>
        <v>104</v>
      </c>
      <c r="C108" s="9">
        <f>'Soil Moisture Worksheet'!W109</f>
        <v>0</v>
      </c>
      <c r="D108" s="9">
        <f t="shared" si="9"/>
        <v>0</v>
      </c>
      <c r="E108" s="7">
        <f t="shared" ref="E108:G108" si="24">E107</f>
        <v>0.25</v>
      </c>
      <c r="F108" s="7">
        <f t="shared" si="24"/>
        <v>50</v>
      </c>
      <c r="G108" s="7">
        <f t="shared" si="24"/>
        <v>65</v>
      </c>
      <c r="H108" s="9">
        <f t="shared" si="15"/>
        <v>0</v>
      </c>
      <c r="I108" s="7">
        <f t="shared" si="12"/>
        <v>0.6</v>
      </c>
      <c r="J108" s="13">
        <f t="shared" si="16"/>
        <v>0</v>
      </c>
    </row>
    <row r="109" spans="1:11" x14ac:dyDescent="0.45">
      <c r="A109" s="26">
        <f>'Soil Moisture Worksheet'!A110</f>
        <v>45852</v>
      </c>
      <c r="B109" s="37">
        <f>'Soil Moisture Worksheet'!B110</f>
        <v>105</v>
      </c>
      <c r="C109" s="9">
        <f>'Soil Moisture Worksheet'!W110</f>
        <v>0</v>
      </c>
      <c r="D109" s="9">
        <f t="shared" si="9"/>
        <v>0</v>
      </c>
      <c r="E109" s="7">
        <f t="shared" ref="E109:G109" si="25">E108</f>
        <v>0.25</v>
      </c>
      <c r="F109" s="7">
        <f t="shared" si="25"/>
        <v>50</v>
      </c>
      <c r="G109" s="7">
        <f t="shared" si="25"/>
        <v>65</v>
      </c>
      <c r="H109" s="9">
        <f t="shared" si="15"/>
        <v>0</v>
      </c>
      <c r="I109" s="7">
        <f t="shared" si="12"/>
        <v>0.6</v>
      </c>
      <c r="J109" s="13">
        <f t="shared" si="16"/>
        <v>0</v>
      </c>
    </row>
    <row r="110" spans="1:11" x14ac:dyDescent="0.45">
      <c r="A110" s="26">
        <f>'Soil Moisture Worksheet'!A111</f>
        <v>45853</v>
      </c>
      <c r="B110" s="37">
        <f>'Soil Moisture Worksheet'!B111</f>
        <v>106</v>
      </c>
      <c r="C110" s="9">
        <f>'Soil Moisture Worksheet'!W111</f>
        <v>0</v>
      </c>
      <c r="D110" s="9">
        <f t="shared" si="9"/>
        <v>0</v>
      </c>
      <c r="E110" s="7">
        <f t="shared" ref="E110:G110" si="26">E109</f>
        <v>0.25</v>
      </c>
      <c r="F110" s="7">
        <f t="shared" si="26"/>
        <v>50</v>
      </c>
      <c r="G110" s="7">
        <f t="shared" si="26"/>
        <v>65</v>
      </c>
      <c r="H110" s="9">
        <f t="shared" si="15"/>
        <v>0</v>
      </c>
      <c r="I110" s="7">
        <f t="shared" si="12"/>
        <v>0.6</v>
      </c>
      <c r="J110" s="13">
        <f t="shared" si="16"/>
        <v>0</v>
      </c>
    </row>
    <row r="111" spans="1:11" x14ac:dyDescent="0.45">
      <c r="A111" s="26">
        <f>'Soil Moisture Worksheet'!A112</f>
        <v>45854</v>
      </c>
      <c r="B111" s="37">
        <f>'Soil Moisture Worksheet'!B112</f>
        <v>107</v>
      </c>
      <c r="C111" s="9">
        <f>'Soil Moisture Worksheet'!W112</f>
        <v>0</v>
      </c>
      <c r="D111" s="9">
        <f t="shared" si="9"/>
        <v>0</v>
      </c>
      <c r="E111" s="7">
        <f t="shared" ref="E111:G111" si="27">E110</f>
        <v>0.25</v>
      </c>
      <c r="F111" s="7">
        <f t="shared" si="27"/>
        <v>50</v>
      </c>
      <c r="G111" s="7">
        <f t="shared" si="27"/>
        <v>65</v>
      </c>
      <c r="H111" s="9">
        <f t="shared" si="15"/>
        <v>0</v>
      </c>
      <c r="I111" s="7">
        <f t="shared" si="12"/>
        <v>0.6</v>
      </c>
      <c r="J111" s="13">
        <f t="shared" si="16"/>
        <v>0</v>
      </c>
    </row>
    <row r="112" spans="1:11" x14ac:dyDescent="0.45">
      <c r="A112" s="26">
        <f>'Soil Moisture Worksheet'!A113</f>
        <v>45855</v>
      </c>
      <c r="B112" s="37">
        <f>'Soil Moisture Worksheet'!B113</f>
        <v>108</v>
      </c>
      <c r="C112" s="9">
        <f>'Soil Moisture Worksheet'!W113</f>
        <v>0</v>
      </c>
      <c r="D112" s="9">
        <f t="shared" si="9"/>
        <v>0</v>
      </c>
      <c r="E112" s="7">
        <f t="shared" ref="E112:G112" si="28">E111</f>
        <v>0.25</v>
      </c>
      <c r="F112" s="7">
        <f t="shared" si="28"/>
        <v>50</v>
      </c>
      <c r="G112" s="7">
        <f t="shared" si="28"/>
        <v>65</v>
      </c>
      <c r="H112" s="9">
        <f t="shared" si="15"/>
        <v>0</v>
      </c>
      <c r="I112" s="7">
        <f t="shared" si="12"/>
        <v>0.6</v>
      </c>
      <c r="J112" s="13">
        <f t="shared" si="16"/>
        <v>0</v>
      </c>
    </row>
    <row r="113" spans="1:10" x14ac:dyDescent="0.45">
      <c r="A113" s="26">
        <f>'Soil Moisture Worksheet'!A114</f>
        <v>45856</v>
      </c>
      <c r="B113" s="37">
        <f>'Soil Moisture Worksheet'!B114</f>
        <v>109</v>
      </c>
      <c r="C113" s="9">
        <f>'Soil Moisture Worksheet'!W114</f>
        <v>0</v>
      </c>
      <c r="D113" s="9">
        <f t="shared" si="9"/>
        <v>0</v>
      </c>
      <c r="E113" s="7">
        <f t="shared" ref="E113:G113" si="29">E112</f>
        <v>0.25</v>
      </c>
      <c r="F113" s="7">
        <f t="shared" si="29"/>
        <v>50</v>
      </c>
      <c r="G113" s="7">
        <f t="shared" si="29"/>
        <v>65</v>
      </c>
      <c r="H113" s="9">
        <f t="shared" si="15"/>
        <v>0</v>
      </c>
      <c r="I113" s="7">
        <f t="shared" si="12"/>
        <v>0.6</v>
      </c>
      <c r="J113" s="13">
        <f t="shared" si="16"/>
        <v>0</v>
      </c>
    </row>
    <row r="114" spans="1:10" x14ac:dyDescent="0.45">
      <c r="A114" s="26">
        <f>'Soil Moisture Worksheet'!A115</f>
        <v>45857</v>
      </c>
      <c r="B114" s="37">
        <f>'Soil Moisture Worksheet'!B115</f>
        <v>110</v>
      </c>
      <c r="C114" s="9">
        <f>'Soil Moisture Worksheet'!W115</f>
        <v>0</v>
      </c>
      <c r="D114" s="9">
        <f t="shared" si="9"/>
        <v>0</v>
      </c>
      <c r="E114" s="7">
        <f t="shared" ref="E114:G114" si="30">E113</f>
        <v>0.25</v>
      </c>
      <c r="F114" s="7">
        <f t="shared" si="30"/>
        <v>50</v>
      </c>
      <c r="G114" s="7">
        <f t="shared" si="30"/>
        <v>65</v>
      </c>
      <c r="H114" s="9">
        <f t="shared" si="15"/>
        <v>0</v>
      </c>
      <c r="I114" s="7">
        <f t="shared" si="12"/>
        <v>0.6</v>
      </c>
      <c r="J114" s="13">
        <f t="shared" si="16"/>
        <v>0</v>
      </c>
    </row>
    <row r="115" spans="1:10" x14ac:dyDescent="0.45">
      <c r="A115" s="26">
        <f>'Soil Moisture Worksheet'!A116</f>
        <v>45858</v>
      </c>
      <c r="B115" s="37">
        <f>'Soil Moisture Worksheet'!B116</f>
        <v>111</v>
      </c>
      <c r="C115" s="9">
        <f>'Soil Moisture Worksheet'!W116</f>
        <v>0</v>
      </c>
      <c r="D115" s="9">
        <f t="shared" si="9"/>
        <v>0</v>
      </c>
      <c r="E115" s="7">
        <f t="shared" ref="E115:G115" si="31">E114</f>
        <v>0.25</v>
      </c>
      <c r="F115" s="7">
        <f t="shared" si="31"/>
        <v>50</v>
      </c>
      <c r="G115" s="7">
        <f t="shared" si="31"/>
        <v>65</v>
      </c>
      <c r="H115" s="9">
        <f t="shared" si="15"/>
        <v>0</v>
      </c>
      <c r="I115" s="7">
        <f t="shared" si="12"/>
        <v>0.6</v>
      </c>
      <c r="J115" s="13">
        <f t="shared" si="16"/>
        <v>0</v>
      </c>
    </row>
    <row r="116" spans="1:10" x14ac:dyDescent="0.45">
      <c r="A116" s="26">
        <f>'Soil Moisture Worksheet'!A117</f>
        <v>45859</v>
      </c>
      <c r="B116" s="37">
        <f>'Soil Moisture Worksheet'!B117</f>
        <v>112</v>
      </c>
      <c r="C116" s="9">
        <f>'Soil Moisture Worksheet'!W117</f>
        <v>0</v>
      </c>
      <c r="D116" s="9">
        <f t="shared" si="9"/>
        <v>0</v>
      </c>
      <c r="E116" s="7">
        <f t="shared" ref="E116:G116" si="32">E115</f>
        <v>0.25</v>
      </c>
      <c r="F116" s="7">
        <f t="shared" si="32"/>
        <v>50</v>
      </c>
      <c r="G116" s="7">
        <f t="shared" si="32"/>
        <v>65</v>
      </c>
      <c r="H116" s="9">
        <f t="shared" si="15"/>
        <v>0</v>
      </c>
      <c r="I116" s="7">
        <f t="shared" si="12"/>
        <v>0.6</v>
      </c>
      <c r="J116" s="13">
        <f t="shared" si="16"/>
        <v>0</v>
      </c>
    </row>
    <row r="117" spans="1:10" x14ac:dyDescent="0.45">
      <c r="A117" s="26">
        <f>'Soil Moisture Worksheet'!A118</f>
        <v>45860</v>
      </c>
      <c r="B117" s="37">
        <f>'Soil Moisture Worksheet'!B118</f>
        <v>113</v>
      </c>
      <c r="C117" s="9">
        <f>'Soil Moisture Worksheet'!W118</f>
        <v>0</v>
      </c>
      <c r="D117" s="9">
        <f t="shared" si="9"/>
        <v>0</v>
      </c>
      <c r="E117" s="7">
        <f t="shared" ref="E117:G117" si="33">E116</f>
        <v>0.25</v>
      </c>
      <c r="F117" s="7">
        <f t="shared" si="33"/>
        <v>50</v>
      </c>
      <c r="G117" s="7">
        <f t="shared" si="33"/>
        <v>65</v>
      </c>
      <c r="H117" s="9">
        <f t="shared" si="15"/>
        <v>0</v>
      </c>
      <c r="I117" s="7">
        <f t="shared" si="12"/>
        <v>0.6</v>
      </c>
      <c r="J117" s="13">
        <f t="shared" si="16"/>
        <v>0</v>
      </c>
    </row>
    <row r="118" spans="1:10" x14ac:dyDescent="0.45">
      <c r="A118" s="26">
        <f>'Soil Moisture Worksheet'!A119</f>
        <v>45861</v>
      </c>
      <c r="B118" s="37">
        <f>'Soil Moisture Worksheet'!B119</f>
        <v>114</v>
      </c>
      <c r="C118" s="9">
        <f>'Soil Moisture Worksheet'!W119</f>
        <v>0</v>
      </c>
      <c r="D118" s="9">
        <f t="shared" si="9"/>
        <v>0</v>
      </c>
      <c r="E118" s="7">
        <f t="shared" ref="E118:G118" si="34">E117</f>
        <v>0.25</v>
      </c>
      <c r="F118" s="7">
        <f t="shared" si="34"/>
        <v>50</v>
      </c>
      <c r="G118" s="7">
        <f t="shared" si="34"/>
        <v>65</v>
      </c>
      <c r="H118" s="9">
        <f t="shared" si="15"/>
        <v>0</v>
      </c>
      <c r="I118" s="7">
        <f t="shared" si="12"/>
        <v>0.6</v>
      </c>
      <c r="J118" s="13">
        <f t="shared" si="16"/>
        <v>0</v>
      </c>
    </row>
    <row r="119" spans="1:10" x14ac:dyDescent="0.45">
      <c r="A119" s="26">
        <f>'Soil Moisture Worksheet'!A120</f>
        <v>45862</v>
      </c>
      <c r="B119" s="37">
        <f>'Soil Moisture Worksheet'!B120</f>
        <v>115</v>
      </c>
      <c r="C119" s="9">
        <f>'Soil Moisture Worksheet'!W120</f>
        <v>0</v>
      </c>
      <c r="D119" s="9">
        <f t="shared" si="9"/>
        <v>0</v>
      </c>
      <c r="E119" s="7">
        <f t="shared" ref="E119:G119" si="35">E118</f>
        <v>0.25</v>
      </c>
      <c r="F119" s="7">
        <f t="shared" si="35"/>
        <v>50</v>
      </c>
      <c r="G119" s="7">
        <f t="shared" si="35"/>
        <v>65</v>
      </c>
      <c r="H119" s="9">
        <f t="shared" si="15"/>
        <v>0</v>
      </c>
      <c r="I119" s="7">
        <f t="shared" si="12"/>
        <v>0.6</v>
      </c>
      <c r="J119" s="13">
        <f t="shared" si="16"/>
        <v>0</v>
      </c>
    </row>
    <row r="120" spans="1:10" x14ac:dyDescent="0.45">
      <c r="A120" s="26">
        <f>'Soil Moisture Worksheet'!A121</f>
        <v>45863</v>
      </c>
      <c r="B120" s="37">
        <f>'Soil Moisture Worksheet'!B121</f>
        <v>116</v>
      </c>
      <c r="C120" s="9">
        <f>'Soil Moisture Worksheet'!W121</f>
        <v>0</v>
      </c>
      <c r="D120" s="9">
        <f t="shared" si="9"/>
        <v>0</v>
      </c>
      <c r="E120" s="7">
        <f t="shared" ref="E120:G120" si="36">E119</f>
        <v>0.25</v>
      </c>
      <c r="F120" s="7">
        <f t="shared" si="36"/>
        <v>50</v>
      </c>
      <c r="G120" s="7">
        <f t="shared" si="36"/>
        <v>65</v>
      </c>
      <c r="H120" s="9">
        <f t="shared" si="15"/>
        <v>0</v>
      </c>
      <c r="I120" s="7">
        <f t="shared" si="12"/>
        <v>0.6</v>
      </c>
      <c r="J120" s="13">
        <f t="shared" si="16"/>
        <v>0</v>
      </c>
    </row>
    <row r="121" spans="1:10" x14ac:dyDescent="0.45">
      <c r="A121" s="26">
        <f>'Soil Moisture Worksheet'!A122</f>
        <v>45864</v>
      </c>
      <c r="B121" s="37">
        <f>'Soil Moisture Worksheet'!B122</f>
        <v>117</v>
      </c>
      <c r="C121" s="9">
        <f>'Soil Moisture Worksheet'!W122</f>
        <v>0</v>
      </c>
      <c r="D121" s="9">
        <f t="shared" si="9"/>
        <v>0</v>
      </c>
      <c r="E121" s="7">
        <f t="shared" ref="E121:G121" si="37">E120</f>
        <v>0.25</v>
      </c>
      <c r="F121" s="7">
        <f t="shared" si="37"/>
        <v>50</v>
      </c>
      <c r="G121" s="7">
        <f t="shared" si="37"/>
        <v>65</v>
      </c>
      <c r="H121" s="9">
        <f t="shared" si="15"/>
        <v>0</v>
      </c>
      <c r="I121" s="7">
        <f t="shared" si="12"/>
        <v>0.6</v>
      </c>
      <c r="J121" s="13">
        <f t="shared" si="16"/>
        <v>0</v>
      </c>
    </row>
    <row r="122" spans="1:10" x14ac:dyDescent="0.45">
      <c r="A122" s="26">
        <f>'Soil Moisture Worksheet'!A123</f>
        <v>45865</v>
      </c>
      <c r="B122" s="37">
        <f>'Soil Moisture Worksheet'!B123</f>
        <v>118</v>
      </c>
      <c r="C122" s="9">
        <f>'Soil Moisture Worksheet'!W123</f>
        <v>0</v>
      </c>
      <c r="D122" s="9">
        <f t="shared" si="9"/>
        <v>0</v>
      </c>
      <c r="E122" s="7">
        <f t="shared" ref="E122:G122" si="38">E121</f>
        <v>0.25</v>
      </c>
      <c r="F122" s="7">
        <f t="shared" si="38"/>
        <v>50</v>
      </c>
      <c r="G122" s="7">
        <f t="shared" si="38"/>
        <v>65</v>
      </c>
      <c r="H122" s="9">
        <f t="shared" si="15"/>
        <v>0</v>
      </c>
      <c r="I122" s="7">
        <f t="shared" si="12"/>
        <v>0.6</v>
      </c>
      <c r="J122" s="13">
        <f t="shared" si="16"/>
        <v>0</v>
      </c>
    </row>
    <row r="123" spans="1:10" x14ac:dyDescent="0.45">
      <c r="A123" s="26">
        <f>'Soil Moisture Worksheet'!A124</f>
        <v>45866</v>
      </c>
      <c r="B123" s="37">
        <f>'Soil Moisture Worksheet'!B124</f>
        <v>119</v>
      </c>
      <c r="C123" s="9">
        <f>'Soil Moisture Worksheet'!W124</f>
        <v>0</v>
      </c>
      <c r="D123" s="9">
        <f t="shared" si="9"/>
        <v>0</v>
      </c>
      <c r="E123" s="7">
        <f t="shared" ref="E123:G123" si="39">E122</f>
        <v>0.25</v>
      </c>
      <c r="F123" s="7">
        <f t="shared" si="39"/>
        <v>50</v>
      </c>
      <c r="G123" s="7">
        <f t="shared" si="39"/>
        <v>65</v>
      </c>
      <c r="H123" s="9">
        <f t="shared" si="15"/>
        <v>0</v>
      </c>
      <c r="I123" s="7">
        <f t="shared" si="12"/>
        <v>0.6</v>
      </c>
      <c r="J123" s="13">
        <f t="shared" si="16"/>
        <v>0</v>
      </c>
    </row>
    <row r="124" spans="1:10" x14ac:dyDescent="0.45">
      <c r="A124" s="26">
        <f>'Soil Moisture Worksheet'!A125</f>
        <v>45867</v>
      </c>
      <c r="B124" s="37">
        <f>'Soil Moisture Worksheet'!B125</f>
        <v>120</v>
      </c>
      <c r="C124" s="9">
        <f>'Soil Moisture Worksheet'!W125</f>
        <v>0</v>
      </c>
      <c r="D124" s="9">
        <f t="shared" si="9"/>
        <v>0</v>
      </c>
      <c r="E124" s="7">
        <f t="shared" ref="E124:G124" si="40">E123</f>
        <v>0.25</v>
      </c>
      <c r="F124" s="7">
        <f t="shared" si="40"/>
        <v>50</v>
      </c>
      <c r="G124" s="7">
        <f t="shared" si="40"/>
        <v>65</v>
      </c>
      <c r="H124" s="9">
        <f t="shared" si="15"/>
        <v>0</v>
      </c>
      <c r="I124" s="7">
        <f t="shared" si="12"/>
        <v>0.6</v>
      </c>
      <c r="J124" s="13">
        <f t="shared" si="16"/>
        <v>0</v>
      </c>
    </row>
    <row r="125" spans="1:10" x14ac:dyDescent="0.45">
      <c r="A125" s="26">
        <f>'Soil Moisture Worksheet'!A126</f>
        <v>45868</v>
      </c>
      <c r="B125" s="37">
        <f>'Soil Moisture Worksheet'!B126</f>
        <v>121</v>
      </c>
      <c r="C125" s="9">
        <f>'Soil Moisture Worksheet'!W126</f>
        <v>0</v>
      </c>
      <c r="D125" s="9">
        <f t="shared" si="9"/>
        <v>0</v>
      </c>
      <c r="E125" s="7">
        <f t="shared" ref="E125:G125" si="41">E124</f>
        <v>0.25</v>
      </c>
      <c r="F125" s="7">
        <f t="shared" si="41"/>
        <v>50</v>
      </c>
      <c r="G125" s="7">
        <f t="shared" si="41"/>
        <v>65</v>
      </c>
      <c r="H125" s="9">
        <f t="shared" si="15"/>
        <v>0</v>
      </c>
      <c r="I125" s="7">
        <f t="shared" si="12"/>
        <v>0.6</v>
      </c>
      <c r="J125" s="13">
        <f t="shared" si="16"/>
        <v>0</v>
      </c>
    </row>
    <row r="126" spans="1:10" x14ac:dyDescent="0.45">
      <c r="A126" s="26">
        <f>'Soil Moisture Worksheet'!A127</f>
        <v>45869</v>
      </c>
      <c r="B126" s="37">
        <f>'Soil Moisture Worksheet'!B127</f>
        <v>122</v>
      </c>
      <c r="C126" s="9">
        <f>'Soil Moisture Worksheet'!W127</f>
        <v>0</v>
      </c>
      <c r="D126" s="9">
        <f t="shared" si="9"/>
        <v>0</v>
      </c>
      <c r="E126" s="7">
        <f t="shared" ref="E126:G126" si="42">E125</f>
        <v>0.25</v>
      </c>
      <c r="F126" s="7">
        <f t="shared" si="42"/>
        <v>50</v>
      </c>
      <c r="G126" s="7">
        <f t="shared" si="42"/>
        <v>65</v>
      </c>
      <c r="H126" s="9">
        <f t="shared" si="15"/>
        <v>0</v>
      </c>
      <c r="I126" s="7">
        <f t="shared" si="12"/>
        <v>0.6</v>
      </c>
      <c r="J126" s="13">
        <f t="shared" si="16"/>
        <v>0</v>
      </c>
    </row>
    <row r="127" spans="1:10" x14ac:dyDescent="0.45">
      <c r="A127" s="26">
        <f>'Soil Moisture Worksheet'!A128</f>
        <v>45870</v>
      </c>
      <c r="B127" s="37">
        <f>'Soil Moisture Worksheet'!B128</f>
        <v>123</v>
      </c>
      <c r="C127" s="9">
        <f>'Soil Moisture Worksheet'!W128</f>
        <v>0</v>
      </c>
      <c r="D127" s="9">
        <f t="shared" si="9"/>
        <v>0</v>
      </c>
      <c r="E127" s="7">
        <f t="shared" ref="E127:G127" si="43">E126</f>
        <v>0.25</v>
      </c>
      <c r="F127" s="7">
        <f t="shared" si="43"/>
        <v>50</v>
      </c>
      <c r="G127" s="7">
        <f t="shared" si="43"/>
        <v>65</v>
      </c>
      <c r="H127" s="9">
        <f t="shared" si="15"/>
        <v>0</v>
      </c>
      <c r="I127" s="7">
        <f t="shared" si="12"/>
        <v>0.6</v>
      </c>
      <c r="J127" s="13">
        <f t="shared" si="16"/>
        <v>0</v>
      </c>
    </row>
    <row r="128" spans="1:10" x14ac:dyDescent="0.45">
      <c r="A128" s="26">
        <f>'Soil Moisture Worksheet'!A129</f>
        <v>45871</v>
      </c>
      <c r="B128" s="37">
        <f>'Soil Moisture Worksheet'!B129</f>
        <v>124</v>
      </c>
      <c r="C128" s="9">
        <f>'Soil Moisture Worksheet'!W129</f>
        <v>0</v>
      </c>
      <c r="D128" s="9">
        <f t="shared" si="9"/>
        <v>0</v>
      </c>
      <c r="E128" s="7">
        <f t="shared" ref="E128:G128" si="44">E127</f>
        <v>0.25</v>
      </c>
      <c r="F128" s="7">
        <f t="shared" si="44"/>
        <v>50</v>
      </c>
      <c r="G128" s="7">
        <f t="shared" si="44"/>
        <v>65</v>
      </c>
      <c r="H128" s="9">
        <f t="shared" si="15"/>
        <v>0</v>
      </c>
      <c r="I128" s="7">
        <f t="shared" si="12"/>
        <v>0.6</v>
      </c>
      <c r="J128" s="13">
        <f t="shared" si="16"/>
        <v>0</v>
      </c>
    </row>
    <row r="129" spans="1:10" x14ac:dyDescent="0.45">
      <c r="A129" s="26">
        <f>'Soil Moisture Worksheet'!A130</f>
        <v>45872</v>
      </c>
      <c r="B129" s="37">
        <f>'Soil Moisture Worksheet'!B130</f>
        <v>125</v>
      </c>
      <c r="C129" s="9">
        <f>'Soil Moisture Worksheet'!W130</f>
        <v>0</v>
      </c>
      <c r="D129" s="9">
        <f t="shared" si="9"/>
        <v>0</v>
      </c>
      <c r="E129" s="7">
        <f t="shared" ref="E129:G129" si="45">E128</f>
        <v>0.25</v>
      </c>
      <c r="F129" s="7">
        <f t="shared" si="45"/>
        <v>50</v>
      </c>
      <c r="G129" s="7">
        <f t="shared" si="45"/>
        <v>65</v>
      </c>
      <c r="H129" s="9">
        <f t="shared" si="15"/>
        <v>0</v>
      </c>
      <c r="I129" s="7">
        <f t="shared" si="12"/>
        <v>0.6</v>
      </c>
      <c r="J129" s="13">
        <f t="shared" si="16"/>
        <v>0</v>
      </c>
    </row>
    <row r="130" spans="1:10" x14ac:dyDescent="0.45">
      <c r="A130" s="26">
        <f>'Soil Moisture Worksheet'!A131</f>
        <v>45873</v>
      </c>
      <c r="B130" s="37">
        <f>'Soil Moisture Worksheet'!B131</f>
        <v>126</v>
      </c>
      <c r="C130" s="9">
        <f>'Soil Moisture Worksheet'!W131</f>
        <v>0</v>
      </c>
      <c r="D130" s="9">
        <f t="shared" si="9"/>
        <v>0</v>
      </c>
      <c r="E130" s="7">
        <f t="shared" ref="E130:G130" si="46">E129</f>
        <v>0.25</v>
      </c>
      <c r="F130" s="7">
        <f t="shared" si="46"/>
        <v>50</v>
      </c>
      <c r="G130" s="7">
        <f t="shared" si="46"/>
        <v>65</v>
      </c>
      <c r="H130" s="9">
        <f t="shared" si="15"/>
        <v>0</v>
      </c>
      <c r="I130" s="7">
        <f t="shared" si="12"/>
        <v>0.6</v>
      </c>
      <c r="J130" s="13">
        <f t="shared" si="16"/>
        <v>0</v>
      </c>
    </row>
    <row r="131" spans="1:10" x14ac:dyDescent="0.45">
      <c r="A131" s="26">
        <f>'Soil Moisture Worksheet'!A132</f>
        <v>45874</v>
      </c>
      <c r="B131" s="37">
        <f>'Soil Moisture Worksheet'!B132</f>
        <v>127</v>
      </c>
      <c r="C131" s="9">
        <f>'Soil Moisture Worksheet'!W132</f>
        <v>0</v>
      </c>
      <c r="D131" s="9">
        <f t="shared" si="9"/>
        <v>0</v>
      </c>
      <c r="E131" s="7">
        <f t="shared" ref="E131:G131" si="47">E130</f>
        <v>0.25</v>
      </c>
      <c r="F131" s="7">
        <f t="shared" si="47"/>
        <v>50</v>
      </c>
      <c r="G131" s="7">
        <f t="shared" si="47"/>
        <v>65</v>
      </c>
      <c r="H131" s="9">
        <f t="shared" si="15"/>
        <v>0</v>
      </c>
      <c r="I131" s="7">
        <f t="shared" si="12"/>
        <v>0.6</v>
      </c>
      <c r="J131" s="13">
        <f t="shared" si="16"/>
        <v>0</v>
      </c>
    </row>
    <row r="132" spans="1:10" x14ac:dyDescent="0.45">
      <c r="A132" s="26">
        <f>'Soil Moisture Worksheet'!A133</f>
        <v>45875</v>
      </c>
      <c r="B132" s="37">
        <f>'Soil Moisture Worksheet'!B133</f>
        <v>128</v>
      </c>
      <c r="C132" s="9">
        <f>'Soil Moisture Worksheet'!W133</f>
        <v>0</v>
      </c>
      <c r="D132" s="9">
        <f t="shared" si="9"/>
        <v>0</v>
      </c>
      <c r="E132" s="7">
        <f t="shared" ref="E132:G132" si="48">E131</f>
        <v>0.25</v>
      </c>
      <c r="F132" s="7">
        <f t="shared" si="48"/>
        <v>50</v>
      </c>
      <c r="G132" s="7">
        <f t="shared" si="48"/>
        <v>65</v>
      </c>
      <c r="H132" s="9">
        <f t="shared" si="15"/>
        <v>0</v>
      </c>
      <c r="I132" s="7">
        <f t="shared" si="12"/>
        <v>0.6</v>
      </c>
      <c r="J132" s="13">
        <f t="shared" si="16"/>
        <v>0</v>
      </c>
    </row>
    <row r="133" spans="1:10" x14ac:dyDescent="0.45">
      <c r="A133" s="26">
        <f>'Soil Moisture Worksheet'!A134</f>
        <v>45876</v>
      </c>
      <c r="B133" s="37">
        <f>'Soil Moisture Worksheet'!B134</f>
        <v>129</v>
      </c>
      <c r="C133" s="9">
        <f>'Soil Moisture Worksheet'!W134</f>
        <v>0</v>
      </c>
      <c r="D133" s="9">
        <f t="shared" si="9"/>
        <v>0</v>
      </c>
      <c r="E133" s="7">
        <f t="shared" ref="E133:G133" si="49">E132</f>
        <v>0.25</v>
      </c>
      <c r="F133" s="7">
        <f t="shared" si="49"/>
        <v>50</v>
      </c>
      <c r="G133" s="7">
        <f t="shared" si="49"/>
        <v>65</v>
      </c>
      <c r="H133" s="9">
        <f t="shared" si="15"/>
        <v>0</v>
      </c>
      <c r="I133" s="7">
        <f t="shared" si="12"/>
        <v>0.6</v>
      </c>
      <c r="J133" s="13">
        <f t="shared" si="16"/>
        <v>0</v>
      </c>
    </row>
    <row r="134" spans="1:10" x14ac:dyDescent="0.45">
      <c r="A134" s="26">
        <f>'Soil Moisture Worksheet'!A135</f>
        <v>45877</v>
      </c>
      <c r="B134" s="37">
        <f>'Soil Moisture Worksheet'!B135</f>
        <v>130</v>
      </c>
      <c r="C134" s="9">
        <f>'Soil Moisture Worksheet'!W135</f>
        <v>0</v>
      </c>
      <c r="D134" s="9">
        <f t="shared" ref="D134:D135" si="50">C134*10*E134</f>
        <v>0</v>
      </c>
      <c r="E134" s="7">
        <f t="shared" ref="E134:G134" si="51">E133</f>
        <v>0.25</v>
      </c>
      <c r="F134" s="7">
        <f t="shared" si="51"/>
        <v>50</v>
      </c>
      <c r="G134" s="7">
        <f t="shared" si="51"/>
        <v>65</v>
      </c>
      <c r="H134" s="9">
        <f t="shared" si="15"/>
        <v>0</v>
      </c>
      <c r="I134" s="7">
        <f t="shared" si="12"/>
        <v>0.6</v>
      </c>
      <c r="J134" s="13">
        <f t="shared" si="16"/>
        <v>0</v>
      </c>
    </row>
    <row r="135" spans="1:10" x14ac:dyDescent="0.45">
      <c r="A135" s="26">
        <f>'Soil Moisture Worksheet'!A136</f>
        <v>45878</v>
      </c>
      <c r="B135" s="37">
        <f>'Soil Moisture Worksheet'!B136</f>
        <v>131</v>
      </c>
      <c r="C135" s="9">
        <f>'Soil Moisture Worksheet'!W136</f>
        <v>0</v>
      </c>
      <c r="D135" s="9">
        <f t="shared" si="50"/>
        <v>0</v>
      </c>
      <c r="E135" s="7">
        <f t="shared" ref="E135:G135" si="52">E134</f>
        <v>0.25</v>
      </c>
      <c r="F135" s="7">
        <f t="shared" si="52"/>
        <v>50</v>
      </c>
      <c r="G135" s="7">
        <f t="shared" si="52"/>
        <v>65</v>
      </c>
      <c r="H135" s="9">
        <f t="shared" si="15"/>
        <v>0</v>
      </c>
      <c r="I135" s="7">
        <f t="shared" si="12"/>
        <v>0.6</v>
      </c>
      <c r="J135" s="13">
        <f t="shared" si="16"/>
        <v>0</v>
      </c>
    </row>
  </sheetData>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3502-103B-4C56-B8BF-41051F945FD0}">
  <dimension ref="B1:O132"/>
  <sheetViews>
    <sheetView workbookViewId="0">
      <selection activeCell="D28" sqref="D28"/>
    </sheetView>
  </sheetViews>
  <sheetFormatPr defaultRowHeight="14.25" x14ac:dyDescent="0.45"/>
  <sheetData>
    <row r="1" spans="2:15" x14ac:dyDescent="0.45">
      <c r="C1" t="s">
        <v>59</v>
      </c>
      <c r="D1" t="s">
        <v>151</v>
      </c>
    </row>
    <row r="2" spans="2:15" x14ac:dyDescent="0.45">
      <c r="B2" s="86" t="s">
        <v>60</v>
      </c>
      <c r="C2" s="31">
        <v>1</v>
      </c>
      <c r="D2" s="8">
        <v>0.5</v>
      </c>
    </row>
    <row r="3" spans="2:15" x14ac:dyDescent="0.45">
      <c r="B3" s="86"/>
      <c r="C3" s="31">
        <v>2</v>
      </c>
      <c r="D3" s="8">
        <v>0.5</v>
      </c>
    </row>
    <row r="4" spans="2:15" x14ac:dyDescent="0.45">
      <c r="B4" s="86"/>
      <c r="C4" s="31">
        <v>3</v>
      </c>
      <c r="D4" s="8">
        <v>0.5</v>
      </c>
    </row>
    <row r="5" spans="2:15" x14ac:dyDescent="0.45">
      <c r="B5" s="86"/>
      <c r="C5" s="31">
        <v>4</v>
      </c>
      <c r="D5" s="8">
        <v>0.5</v>
      </c>
      <c r="H5">
        <f>30*0.73</f>
        <v>21.9</v>
      </c>
      <c r="J5">
        <v>130</v>
      </c>
      <c r="K5">
        <v>95</v>
      </c>
      <c r="L5">
        <f>K5/J5</f>
        <v>0.73076923076923073</v>
      </c>
    </row>
    <row r="6" spans="2:15" x14ac:dyDescent="0.45">
      <c r="B6" s="86"/>
      <c r="C6" s="31">
        <v>5</v>
      </c>
      <c r="D6" s="8">
        <v>0.5</v>
      </c>
      <c r="J6" s="2"/>
    </row>
    <row r="7" spans="2:15" x14ac:dyDescent="0.45">
      <c r="B7" s="86"/>
      <c r="C7" s="31">
        <v>6</v>
      </c>
      <c r="D7" s="8">
        <v>0.5</v>
      </c>
      <c r="K7">
        <v>25</v>
      </c>
      <c r="L7">
        <f>K7*$L$5</f>
        <v>18.269230769230766</v>
      </c>
      <c r="M7">
        <v>18</v>
      </c>
      <c r="N7">
        <v>18</v>
      </c>
    </row>
    <row r="8" spans="2:15" x14ac:dyDescent="0.45">
      <c r="B8" s="86"/>
      <c r="C8" s="31">
        <v>7</v>
      </c>
      <c r="D8" s="8">
        <v>0.5</v>
      </c>
      <c r="K8">
        <v>30</v>
      </c>
      <c r="L8">
        <f t="shared" ref="L8:L10" si="0">K8*$L$5</f>
        <v>21.923076923076923</v>
      </c>
      <c r="M8">
        <v>22</v>
      </c>
      <c r="N8">
        <f>N7+M8</f>
        <v>40</v>
      </c>
    </row>
    <row r="9" spans="2:15" x14ac:dyDescent="0.45">
      <c r="B9" s="86"/>
      <c r="C9" s="31">
        <v>8</v>
      </c>
      <c r="D9" s="8">
        <v>0.5</v>
      </c>
      <c r="K9">
        <v>45</v>
      </c>
      <c r="L9">
        <f t="shared" si="0"/>
        <v>32.88461538461538</v>
      </c>
      <c r="M9">
        <v>33</v>
      </c>
      <c r="N9">
        <f t="shared" ref="N9:N10" si="1">N8+M9</f>
        <v>73</v>
      </c>
    </row>
    <row r="10" spans="2:15" x14ac:dyDescent="0.45">
      <c r="B10" s="86"/>
      <c r="C10" s="31">
        <v>9</v>
      </c>
      <c r="D10" s="8">
        <v>0.5</v>
      </c>
      <c r="K10">
        <v>30</v>
      </c>
      <c r="L10">
        <f t="shared" si="0"/>
        <v>21.923076923076923</v>
      </c>
      <c r="M10">
        <v>22</v>
      </c>
      <c r="N10">
        <f t="shared" si="1"/>
        <v>95</v>
      </c>
    </row>
    <row r="11" spans="2:15" x14ac:dyDescent="0.45">
      <c r="B11" s="86"/>
      <c r="C11" s="31">
        <v>10</v>
      </c>
      <c r="D11" s="8">
        <v>0.5</v>
      </c>
    </row>
    <row r="12" spans="2:15" x14ac:dyDescent="0.45">
      <c r="B12" s="86"/>
      <c r="C12" s="31">
        <v>11</v>
      </c>
      <c r="D12" s="8">
        <v>0.5</v>
      </c>
      <c r="H12">
        <v>8</v>
      </c>
    </row>
    <row r="13" spans="2:15" x14ac:dyDescent="0.45">
      <c r="B13" s="86"/>
      <c r="C13" s="31">
        <v>12</v>
      </c>
      <c r="D13" s="8">
        <v>0.5</v>
      </c>
    </row>
    <row r="14" spans="2:15" x14ac:dyDescent="0.45">
      <c r="B14" s="86"/>
      <c r="C14" s="31">
        <v>13</v>
      </c>
      <c r="D14" s="8">
        <v>0.5</v>
      </c>
      <c r="K14" s="2" t="s">
        <v>59</v>
      </c>
      <c r="L14" s="2" t="s">
        <v>55</v>
      </c>
      <c r="N14" s="2" t="s">
        <v>59</v>
      </c>
      <c r="O14" s="2" t="s">
        <v>55</v>
      </c>
    </row>
    <row r="15" spans="2:15" x14ac:dyDescent="0.45">
      <c r="B15" s="86"/>
      <c r="C15" s="31">
        <v>14</v>
      </c>
      <c r="D15" s="8">
        <v>0.5</v>
      </c>
      <c r="K15" s="2">
        <v>100</v>
      </c>
      <c r="L15" s="2">
        <v>1.1499999999999999</v>
      </c>
      <c r="N15" s="2">
        <v>73</v>
      </c>
      <c r="O15" s="2">
        <v>1.1499999999999999</v>
      </c>
    </row>
    <row r="16" spans="2:15" x14ac:dyDescent="0.45">
      <c r="B16" s="86"/>
      <c r="C16" s="31">
        <v>15</v>
      </c>
      <c r="D16" s="8">
        <v>0.5</v>
      </c>
      <c r="K16" s="2">
        <v>131</v>
      </c>
      <c r="L16" s="2">
        <v>0.75</v>
      </c>
      <c r="N16" s="2">
        <v>95</v>
      </c>
      <c r="O16" s="2">
        <v>0.75</v>
      </c>
    </row>
    <row r="17" spans="2:4" x14ac:dyDescent="0.45">
      <c r="B17" s="86"/>
      <c r="C17" s="31">
        <v>16</v>
      </c>
      <c r="D17" s="8">
        <v>0.5</v>
      </c>
    </row>
    <row r="18" spans="2:4" x14ac:dyDescent="0.45">
      <c r="B18" s="86"/>
      <c r="C18" s="31">
        <v>17</v>
      </c>
      <c r="D18" s="8">
        <v>0.5</v>
      </c>
    </row>
    <row r="19" spans="2:4" x14ac:dyDescent="0.45">
      <c r="B19" s="86"/>
      <c r="C19" s="31">
        <v>18</v>
      </c>
      <c r="D19" s="8">
        <v>0.5</v>
      </c>
    </row>
    <row r="20" spans="2:4" x14ac:dyDescent="0.45">
      <c r="B20" s="86"/>
      <c r="C20" s="31">
        <v>19</v>
      </c>
      <c r="D20" s="8">
        <v>0.5</v>
      </c>
    </row>
    <row r="21" spans="2:4" x14ac:dyDescent="0.45">
      <c r="B21" s="86"/>
      <c r="C21" s="31">
        <v>20</v>
      </c>
      <c r="D21" s="8">
        <v>0.5</v>
      </c>
    </row>
    <row r="22" spans="2:4" x14ac:dyDescent="0.45">
      <c r="B22" s="86"/>
      <c r="C22" s="31">
        <v>21</v>
      </c>
      <c r="D22" s="8">
        <v>0.5</v>
      </c>
    </row>
    <row r="23" spans="2:4" x14ac:dyDescent="0.45">
      <c r="B23" s="86"/>
      <c r="C23" s="31">
        <v>22</v>
      </c>
      <c r="D23" s="8">
        <v>0.5</v>
      </c>
    </row>
    <row r="24" spans="2:4" x14ac:dyDescent="0.45">
      <c r="B24" s="86"/>
      <c r="C24" s="31">
        <v>23</v>
      </c>
      <c r="D24" s="8">
        <v>0.5</v>
      </c>
    </row>
    <row r="25" spans="2:4" x14ac:dyDescent="0.45">
      <c r="B25" s="86"/>
      <c r="C25" s="31">
        <v>24</v>
      </c>
      <c r="D25" s="8">
        <v>0.5</v>
      </c>
    </row>
    <row r="26" spans="2:4" x14ac:dyDescent="0.45">
      <c r="B26" s="86"/>
      <c r="C26" s="31">
        <v>25</v>
      </c>
      <c r="D26" s="8">
        <v>0.5</v>
      </c>
    </row>
    <row r="27" spans="2:4" x14ac:dyDescent="0.45">
      <c r="B27" s="86"/>
      <c r="C27" s="31">
        <v>26</v>
      </c>
      <c r="D27" s="8">
        <f>0.0217*C27-0.0417</f>
        <v>0.52250000000000008</v>
      </c>
    </row>
    <row r="28" spans="2:4" x14ac:dyDescent="0.45">
      <c r="B28" s="86"/>
      <c r="C28" s="31">
        <v>27</v>
      </c>
      <c r="D28" s="8">
        <f t="shared" ref="D28:D56" si="2">0.0217*C28-0.0417</f>
        <v>0.54420000000000002</v>
      </c>
    </row>
    <row r="29" spans="2:4" x14ac:dyDescent="0.45">
      <c r="B29" s="86"/>
      <c r="C29" s="31">
        <v>28</v>
      </c>
      <c r="D29" s="8">
        <f t="shared" si="2"/>
        <v>0.56590000000000007</v>
      </c>
    </row>
    <row r="30" spans="2:4" x14ac:dyDescent="0.45">
      <c r="B30" s="86"/>
      <c r="C30" s="31">
        <v>29</v>
      </c>
      <c r="D30" s="8">
        <f t="shared" si="2"/>
        <v>0.58760000000000001</v>
      </c>
    </row>
    <row r="31" spans="2:4" x14ac:dyDescent="0.45">
      <c r="B31" s="86"/>
      <c r="C31" s="31">
        <v>30</v>
      </c>
      <c r="D31" s="8">
        <f t="shared" si="2"/>
        <v>0.60930000000000006</v>
      </c>
    </row>
    <row r="32" spans="2:4" x14ac:dyDescent="0.45">
      <c r="B32" s="86"/>
      <c r="C32" s="31">
        <v>31</v>
      </c>
      <c r="D32" s="8">
        <f t="shared" si="2"/>
        <v>0.63100000000000001</v>
      </c>
    </row>
    <row r="33" spans="2:4" x14ac:dyDescent="0.45">
      <c r="B33" s="86"/>
      <c r="C33" s="31">
        <v>32</v>
      </c>
      <c r="D33" s="8">
        <f t="shared" si="2"/>
        <v>0.65270000000000006</v>
      </c>
    </row>
    <row r="34" spans="2:4" x14ac:dyDescent="0.45">
      <c r="B34" s="86"/>
      <c r="C34" s="31">
        <v>33</v>
      </c>
      <c r="D34" s="8">
        <f t="shared" si="2"/>
        <v>0.67440000000000011</v>
      </c>
    </row>
    <row r="35" spans="2:4" x14ac:dyDescent="0.45">
      <c r="B35" s="86"/>
      <c r="C35" s="31">
        <v>34</v>
      </c>
      <c r="D35" s="8">
        <f t="shared" si="2"/>
        <v>0.69610000000000005</v>
      </c>
    </row>
    <row r="36" spans="2:4" x14ac:dyDescent="0.45">
      <c r="B36" s="86"/>
      <c r="C36" s="31">
        <v>35</v>
      </c>
      <c r="D36" s="8">
        <f t="shared" si="2"/>
        <v>0.7178000000000001</v>
      </c>
    </row>
    <row r="37" spans="2:4" x14ac:dyDescent="0.45">
      <c r="B37" s="86"/>
      <c r="C37" s="31">
        <v>36</v>
      </c>
      <c r="D37" s="8">
        <f t="shared" si="2"/>
        <v>0.73950000000000005</v>
      </c>
    </row>
    <row r="38" spans="2:4" x14ac:dyDescent="0.45">
      <c r="B38" s="86"/>
      <c r="C38" s="31">
        <v>37</v>
      </c>
      <c r="D38" s="8">
        <f t="shared" si="2"/>
        <v>0.7612000000000001</v>
      </c>
    </row>
    <row r="39" spans="2:4" x14ac:dyDescent="0.45">
      <c r="B39" s="86"/>
      <c r="C39" s="31">
        <v>38</v>
      </c>
      <c r="D39" s="8">
        <f t="shared" si="2"/>
        <v>0.78290000000000004</v>
      </c>
    </row>
    <row r="40" spans="2:4" x14ac:dyDescent="0.45">
      <c r="B40" s="86"/>
      <c r="C40" s="31">
        <v>39</v>
      </c>
      <c r="D40" s="8">
        <f t="shared" si="2"/>
        <v>0.80460000000000009</v>
      </c>
    </row>
    <row r="41" spans="2:4" x14ac:dyDescent="0.45">
      <c r="B41" s="86"/>
      <c r="C41" s="31">
        <v>40</v>
      </c>
      <c r="D41" s="8">
        <f t="shared" si="2"/>
        <v>0.82630000000000003</v>
      </c>
    </row>
    <row r="42" spans="2:4" ht="14.25" customHeight="1" x14ac:dyDescent="0.45">
      <c r="B42" s="86"/>
      <c r="C42" s="31">
        <v>41</v>
      </c>
      <c r="D42" s="8">
        <f t="shared" si="2"/>
        <v>0.84800000000000009</v>
      </c>
    </row>
    <row r="43" spans="2:4" x14ac:dyDescent="0.45">
      <c r="B43" s="86"/>
      <c r="C43" s="31">
        <v>42</v>
      </c>
      <c r="D43" s="8">
        <f t="shared" si="2"/>
        <v>0.86970000000000003</v>
      </c>
    </row>
    <row r="44" spans="2:4" x14ac:dyDescent="0.45">
      <c r="B44" s="86"/>
      <c r="C44" s="31">
        <v>43</v>
      </c>
      <c r="D44" s="8">
        <f t="shared" si="2"/>
        <v>0.89140000000000008</v>
      </c>
    </row>
    <row r="45" spans="2:4" x14ac:dyDescent="0.45">
      <c r="B45" s="86"/>
      <c r="C45" s="31">
        <v>44</v>
      </c>
      <c r="D45" s="8">
        <f t="shared" si="2"/>
        <v>0.91310000000000002</v>
      </c>
    </row>
    <row r="46" spans="2:4" x14ac:dyDescent="0.45">
      <c r="B46" s="86"/>
      <c r="C46" s="31">
        <v>45</v>
      </c>
      <c r="D46" s="8">
        <f t="shared" si="2"/>
        <v>0.93480000000000008</v>
      </c>
    </row>
    <row r="47" spans="2:4" x14ac:dyDescent="0.45">
      <c r="B47" s="86"/>
      <c r="C47" s="31">
        <v>46</v>
      </c>
      <c r="D47" s="8">
        <f t="shared" si="2"/>
        <v>0.95650000000000002</v>
      </c>
    </row>
    <row r="48" spans="2:4" x14ac:dyDescent="0.45">
      <c r="B48" s="86"/>
      <c r="C48" s="31">
        <v>47</v>
      </c>
      <c r="D48" s="8">
        <f t="shared" si="2"/>
        <v>0.97820000000000007</v>
      </c>
    </row>
    <row r="49" spans="2:4" x14ac:dyDescent="0.45">
      <c r="B49" s="86"/>
      <c r="C49" s="31">
        <v>48</v>
      </c>
      <c r="D49" s="8">
        <f t="shared" si="2"/>
        <v>0.99990000000000012</v>
      </c>
    </row>
    <row r="50" spans="2:4" x14ac:dyDescent="0.45">
      <c r="B50" s="86"/>
      <c r="C50" s="31">
        <v>49</v>
      </c>
      <c r="D50" s="8">
        <f t="shared" si="2"/>
        <v>1.0216000000000001</v>
      </c>
    </row>
    <row r="51" spans="2:4" x14ac:dyDescent="0.45">
      <c r="B51" s="86"/>
      <c r="C51" s="31">
        <v>50</v>
      </c>
      <c r="D51" s="8">
        <f t="shared" si="2"/>
        <v>1.0432999999999999</v>
      </c>
    </row>
    <row r="52" spans="2:4" x14ac:dyDescent="0.45">
      <c r="B52" s="86"/>
      <c r="C52" s="31">
        <v>51</v>
      </c>
      <c r="D52" s="8">
        <f t="shared" si="2"/>
        <v>1.0649999999999999</v>
      </c>
    </row>
    <row r="53" spans="2:4" x14ac:dyDescent="0.45">
      <c r="B53" s="86"/>
      <c r="C53" s="31">
        <v>52</v>
      </c>
      <c r="D53" s="8">
        <f t="shared" si="2"/>
        <v>1.0867</v>
      </c>
    </row>
    <row r="54" spans="2:4" x14ac:dyDescent="0.45">
      <c r="B54" s="86"/>
      <c r="C54" s="31">
        <v>53</v>
      </c>
      <c r="D54" s="8">
        <f t="shared" si="2"/>
        <v>1.1084000000000001</v>
      </c>
    </row>
    <row r="55" spans="2:4" x14ac:dyDescent="0.45">
      <c r="B55" s="86"/>
      <c r="C55" s="31">
        <v>54</v>
      </c>
      <c r="D55" s="8">
        <f t="shared" si="2"/>
        <v>1.1300999999999999</v>
      </c>
    </row>
    <row r="56" spans="2:4" x14ac:dyDescent="0.45">
      <c r="B56" s="86"/>
      <c r="C56" s="31">
        <v>55</v>
      </c>
      <c r="D56" s="8">
        <f t="shared" si="2"/>
        <v>1.1517999999999999</v>
      </c>
    </row>
    <row r="57" spans="2:4" x14ac:dyDescent="0.45">
      <c r="B57" s="87" t="s">
        <v>62</v>
      </c>
      <c r="C57" s="31">
        <v>56</v>
      </c>
      <c r="D57" s="8">
        <v>1.1499999999999999</v>
      </c>
    </row>
    <row r="58" spans="2:4" x14ac:dyDescent="0.45">
      <c r="B58" s="87"/>
      <c r="C58" s="31">
        <v>57</v>
      </c>
      <c r="D58" s="8">
        <v>1.1499999999999999</v>
      </c>
    </row>
    <row r="59" spans="2:4" x14ac:dyDescent="0.45">
      <c r="B59" s="87"/>
      <c r="C59" s="31">
        <v>58</v>
      </c>
      <c r="D59" s="8">
        <v>1.1499999999999999</v>
      </c>
    </row>
    <row r="60" spans="2:4" x14ac:dyDescent="0.45">
      <c r="B60" s="87"/>
      <c r="C60" s="31">
        <v>59</v>
      </c>
      <c r="D60" s="8">
        <v>1.1499999999999999</v>
      </c>
    </row>
    <row r="61" spans="2:4" x14ac:dyDescent="0.45">
      <c r="B61" s="87"/>
      <c r="C61" s="31">
        <v>60</v>
      </c>
      <c r="D61" s="8">
        <v>1.1499999999999999</v>
      </c>
    </row>
    <row r="62" spans="2:4" x14ac:dyDescent="0.45">
      <c r="B62" s="87"/>
      <c r="C62" s="31">
        <v>61</v>
      </c>
      <c r="D62" s="8">
        <v>1.1499999999999999</v>
      </c>
    </row>
    <row r="63" spans="2:4" x14ac:dyDescent="0.45">
      <c r="B63" s="87"/>
      <c r="C63" s="31">
        <v>62</v>
      </c>
      <c r="D63" s="8">
        <v>1.1499999999999999</v>
      </c>
    </row>
    <row r="64" spans="2:4" x14ac:dyDescent="0.45">
      <c r="B64" s="87"/>
      <c r="C64" s="31">
        <v>63</v>
      </c>
      <c r="D64" s="8">
        <v>1.1499999999999999</v>
      </c>
    </row>
    <row r="65" spans="2:4" x14ac:dyDescent="0.45">
      <c r="B65" s="87"/>
      <c r="C65" s="31">
        <v>64</v>
      </c>
      <c r="D65" s="8">
        <v>1.1499999999999999</v>
      </c>
    </row>
    <row r="66" spans="2:4" x14ac:dyDescent="0.45">
      <c r="B66" s="87"/>
      <c r="C66" s="31">
        <v>65</v>
      </c>
      <c r="D66" s="8">
        <v>1.1499999999999999</v>
      </c>
    </row>
    <row r="67" spans="2:4" x14ac:dyDescent="0.45">
      <c r="B67" s="87"/>
      <c r="C67" s="31">
        <v>66</v>
      </c>
      <c r="D67" s="8">
        <v>1.1499999999999999</v>
      </c>
    </row>
    <row r="68" spans="2:4" x14ac:dyDescent="0.45">
      <c r="B68" s="87"/>
      <c r="C68" s="31">
        <v>67</v>
      </c>
      <c r="D68" s="8">
        <v>1.1499999999999999</v>
      </c>
    </row>
    <row r="69" spans="2:4" x14ac:dyDescent="0.45">
      <c r="B69" s="87"/>
      <c r="C69" s="31">
        <v>68</v>
      </c>
      <c r="D69" s="8">
        <v>1.1499999999999999</v>
      </c>
    </row>
    <row r="70" spans="2:4" x14ac:dyDescent="0.45">
      <c r="B70" s="87"/>
      <c r="C70" s="31">
        <v>69</v>
      </c>
      <c r="D70" s="8">
        <v>1.1499999999999999</v>
      </c>
    </row>
    <row r="71" spans="2:4" x14ac:dyDescent="0.45">
      <c r="B71" s="87"/>
      <c r="C71" s="31">
        <v>70</v>
      </c>
      <c r="D71" s="8">
        <v>1.1499999999999999</v>
      </c>
    </row>
    <row r="72" spans="2:4" x14ac:dyDescent="0.45">
      <c r="B72" s="87"/>
      <c r="C72" s="31">
        <v>71</v>
      </c>
      <c r="D72" s="8">
        <v>1.1499999999999999</v>
      </c>
    </row>
    <row r="73" spans="2:4" x14ac:dyDescent="0.45">
      <c r="B73" s="87"/>
      <c r="C73" s="31">
        <v>72</v>
      </c>
      <c r="D73" s="8">
        <v>1.1499999999999999</v>
      </c>
    </row>
    <row r="74" spans="2:4" x14ac:dyDescent="0.45">
      <c r="B74" s="87"/>
      <c r="C74" s="31">
        <v>73</v>
      </c>
      <c r="D74" s="8">
        <v>1.1499999999999999</v>
      </c>
    </row>
    <row r="75" spans="2:4" ht="14.25" customHeight="1" x14ac:dyDescent="0.45">
      <c r="B75" s="87"/>
      <c r="C75" s="31">
        <v>74</v>
      </c>
      <c r="D75" s="8">
        <v>1.1499999999999999</v>
      </c>
    </row>
    <row r="76" spans="2:4" x14ac:dyDescent="0.45">
      <c r="B76" s="87"/>
      <c r="C76" s="31">
        <v>75</v>
      </c>
      <c r="D76" s="8">
        <v>1.1499999999999999</v>
      </c>
    </row>
    <row r="77" spans="2:4" x14ac:dyDescent="0.45">
      <c r="B77" s="87"/>
      <c r="C77" s="31">
        <v>76</v>
      </c>
      <c r="D77" s="8">
        <v>1.1499999999999999</v>
      </c>
    </row>
    <row r="78" spans="2:4" x14ac:dyDescent="0.45">
      <c r="B78" s="87"/>
      <c r="C78" s="31">
        <v>77</v>
      </c>
      <c r="D78" s="8">
        <v>1.1499999999999999</v>
      </c>
    </row>
    <row r="79" spans="2:4" x14ac:dyDescent="0.45">
      <c r="B79" s="87"/>
      <c r="C79" s="31">
        <v>78</v>
      </c>
      <c r="D79" s="8">
        <v>1.1499999999999999</v>
      </c>
    </row>
    <row r="80" spans="2:4" x14ac:dyDescent="0.45">
      <c r="B80" s="87"/>
      <c r="C80" s="31">
        <v>79</v>
      </c>
      <c r="D80" s="8">
        <v>1.1499999999999999</v>
      </c>
    </row>
    <row r="81" spans="2:11" x14ac:dyDescent="0.45">
      <c r="B81" s="87"/>
      <c r="C81" s="31">
        <v>80</v>
      </c>
      <c r="D81" s="8">
        <v>1.1499999999999999</v>
      </c>
    </row>
    <row r="82" spans="2:11" x14ac:dyDescent="0.45">
      <c r="B82" s="87"/>
      <c r="C82" s="31">
        <v>81</v>
      </c>
      <c r="D82" s="8">
        <v>1.1499999999999999</v>
      </c>
    </row>
    <row r="83" spans="2:11" x14ac:dyDescent="0.45">
      <c r="B83" s="87"/>
      <c r="C83" s="31">
        <v>82</v>
      </c>
      <c r="D83" s="8">
        <v>1.1499999999999999</v>
      </c>
    </row>
    <row r="84" spans="2:11" x14ac:dyDescent="0.45">
      <c r="B84" s="87"/>
      <c r="C84" s="31">
        <v>83</v>
      </c>
      <c r="D84" s="8">
        <v>1.1499999999999999</v>
      </c>
    </row>
    <row r="85" spans="2:11" x14ac:dyDescent="0.45">
      <c r="B85" s="87"/>
      <c r="C85" s="31">
        <v>84</v>
      </c>
      <c r="D85" s="8">
        <v>1.1499999999999999</v>
      </c>
    </row>
    <row r="86" spans="2:11" x14ac:dyDescent="0.45">
      <c r="B86" s="87"/>
      <c r="C86" s="31">
        <v>85</v>
      </c>
      <c r="D86" s="8">
        <v>1.1499999999999999</v>
      </c>
      <c r="J86">
        <v>1</v>
      </c>
      <c r="K86">
        <v>0.2</v>
      </c>
    </row>
    <row r="87" spans="2:11" x14ac:dyDescent="0.45">
      <c r="B87" s="87"/>
      <c r="C87" s="31">
        <v>86</v>
      </c>
      <c r="D87" s="8">
        <v>1.1499999999999999</v>
      </c>
      <c r="J87">
        <v>95</v>
      </c>
      <c r="K87">
        <v>0.6</v>
      </c>
    </row>
    <row r="88" spans="2:11" x14ac:dyDescent="0.45">
      <c r="B88" s="87"/>
      <c r="C88" s="31">
        <v>87</v>
      </c>
      <c r="D88" s="8">
        <v>1.1499999999999999</v>
      </c>
    </row>
    <row r="89" spans="2:11" x14ac:dyDescent="0.45">
      <c r="B89" s="87"/>
      <c r="C89" s="31">
        <v>88</v>
      </c>
      <c r="D89" s="8">
        <v>1.1499999999999999</v>
      </c>
    </row>
    <row r="90" spans="2:11" x14ac:dyDescent="0.45">
      <c r="B90" s="87"/>
      <c r="C90" s="31">
        <v>89</v>
      </c>
      <c r="D90" s="8">
        <v>1.1499999999999999</v>
      </c>
    </row>
    <row r="91" spans="2:11" x14ac:dyDescent="0.45">
      <c r="B91" s="87"/>
      <c r="C91" s="31">
        <v>90</v>
      </c>
      <c r="D91" s="8">
        <v>1.1499999999999999</v>
      </c>
    </row>
    <row r="92" spans="2:11" x14ac:dyDescent="0.45">
      <c r="B92" s="87"/>
      <c r="C92" s="31">
        <v>91</v>
      </c>
      <c r="D92" s="8">
        <v>1.1499999999999999</v>
      </c>
    </row>
    <row r="93" spans="2:11" x14ac:dyDescent="0.45">
      <c r="B93" s="87"/>
      <c r="C93" s="31">
        <v>92</v>
      </c>
      <c r="D93" s="8">
        <v>1.1499999999999999</v>
      </c>
    </row>
    <row r="94" spans="2:11" x14ac:dyDescent="0.45">
      <c r="B94" s="87"/>
      <c r="C94" s="31">
        <v>93</v>
      </c>
      <c r="D94" s="8">
        <v>1.1499999999999999</v>
      </c>
    </row>
    <row r="95" spans="2:11" x14ac:dyDescent="0.45">
      <c r="B95" s="87"/>
      <c r="C95" s="31">
        <v>94</v>
      </c>
      <c r="D95" s="8">
        <v>1.1499999999999999</v>
      </c>
    </row>
    <row r="96" spans="2:11" x14ac:dyDescent="0.45">
      <c r="B96" s="87"/>
      <c r="C96" s="31">
        <v>95</v>
      </c>
      <c r="D96" s="8">
        <v>1.1499999999999999</v>
      </c>
    </row>
    <row r="97" spans="2:4" x14ac:dyDescent="0.45">
      <c r="B97" s="87"/>
      <c r="C97" s="31">
        <v>96</v>
      </c>
      <c r="D97" s="8">
        <v>1.1499999999999999</v>
      </c>
    </row>
    <row r="98" spans="2:4" x14ac:dyDescent="0.45">
      <c r="B98" s="87"/>
      <c r="C98" s="31">
        <v>97</v>
      </c>
      <c r="D98" s="8">
        <v>1.1499999999999999</v>
      </c>
    </row>
    <row r="99" spans="2:4" x14ac:dyDescent="0.45">
      <c r="B99" s="87"/>
      <c r="C99" s="31">
        <v>98</v>
      </c>
      <c r="D99" s="8">
        <v>1.1499999999999999</v>
      </c>
    </row>
    <row r="100" spans="2:4" x14ac:dyDescent="0.45">
      <c r="B100" s="87"/>
      <c r="C100" s="31">
        <v>99</v>
      </c>
      <c r="D100" s="8">
        <v>1.1499999999999999</v>
      </c>
    </row>
    <row r="101" spans="2:4" x14ac:dyDescent="0.45">
      <c r="B101" s="87"/>
      <c r="C101" s="31">
        <v>100</v>
      </c>
      <c r="D101" s="8">
        <v>1.1499999999999999</v>
      </c>
    </row>
    <row r="102" spans="2:4" x14ac:dyDescent="0.45">
      <c r="B102" s="86" t="s">
        <v>63</v>
      </c>
      <c r="C102" s="31">
        <v>101</v>
      </c>
      <c r="D102" s="8">
        <f>+-0.0129*C102 + 2.4403</f>
        <v>1.1374000000000002</v>
      </c>
    </row>
    <row r="103" spans="2:4" x14ac:dyDescent="0.45">
      <c r="B103" s="86"/>
      <c r="C103" s="31">
        <v>102</v>
      </c>
      <c r="D103" s="8">
        <f t="shared" ref="D103:D132" si="3">+-0.0129*C103 + 2.4403</f>
        <v>1.1245000000000001</v>
      </c>
    </row>
    <row r="104" spans="2:4" x14ac:dyDescent="0.45">
      <c r="B104" s="86"/>
      <c r="C104" s="31">
        <v>103</v>
      </c>
      <c r="D104" s="8">
        <f t="shared" si="3"/>
        <v>1.1116000000000001</v>
      </c>
    </row>
    <row r="105" spans="2:4" x14ac:dyDescent="0.45">
      <c r="B105" s="86"/>
      <c r="C105" s="31">
        <v>104</v>
      </c>
      <c r="D105" s="8">
        <f t="shared" si="3"/>
        <v>1.0987000000000002</v>
      </c>
    </row>
    <row r="106" spans="2:4" x14ac:dyDescent="0.45">
      <c r="B106" s="86"/>
      <c r="C106" s="31">
        <v>105</v>
      </c>
      <c r="D106" s="8">
        <f t="shared" si="3"/>
        <v>1.0858000000000001</v>
      </c>
    </row>
    <row r="107" spans="2:4" x14ac:dyDescent="0.45">
      <c r="B107" s="86"/>
      <c r="C107" s="31">
        <v>106</v>
      </c>
      <c r="D107" s="8">
        <f t="shared" si="3"/>
        <v>1.0729000000000002</v>
      </c>
    </row>
    <row r="108" spans="2:4" x14ac:dyDescent="0.45">
      <c r="B108" s="86"/>
      <c r="C108" s="31">
        <v>107</v>
      </c>
      <c r="D108" s="8">
        <f t="shared" si="3"/>
        <v>1.06</v>
      </c>
    </row>
    <row r="109" spans="2:4" x14ac:dyDescent="0.45">
      <c r="B109" s="86"/>
      <c r="C109" s="31">
        <v>108</v>
      </c>
      <c r="D109" s="8">
        <f t="shared" si="3"/>
        <v>1.0471000000000001</v>
      </c>
    </row>
    <row r="110" spans="2:4" x14ac:dyDescent="0.45">
      <c r="B110" s="86"/>
      <c r="C110" s="31">
        <v>109</v>
      </c>
      <c r="D110" s="8">
        <f t="shared" si="3"/>
        <v>1.0342000000000002</v>
      </c>
    </row>
    <row r="111" spans="2:4" x14ac:dyDescent="0.45">
      <c r="B111" s="86"/>
      <c r="C111" s="31">
        <v>110</v>
      </c>
      <c r="D111" s="8">
        <f t="shared" si="3"/>
        <v>1.0213000000000001</v>
      </c>
    </row>
    <row r="112" spans="2:4" x14ac:dyDescent="0.45">
      <c r="B112" s="86"/>
      <c r="C112" s="31">
        <v>111</v>
      </c>
      <c r="D112" s="8">
        <f t="shared" si="3"/>
        <v>1.0084000000000002</v>
      </c>
    </row>
    <row r="113" spans="2:4" x14ac:dyDescent="0.45">
      <c r="B113" s="86"/>
      <c r="C113" s="31">
        <v>112</v>
      </c>
      <c r="D113" s="8">
        <f t="shared" si="3"/>
        <v>0.99550000000000005</v>
      </c>
    </row>
    <row r="114" spans="2:4" x14ac:dyDescent="0.45">
      <c r="B114" s="86"/>
      <c r="C114" s="31">
        <v>113</v>
      </c>
      <c r="D114" s="8">
        <f t="shared" si="3"/>
        <v>0.98260000000000014</v>
      </c>
    </row>
    <row r="115" spans="2:4" x14ac:dyDescent="0.45">
      <c r="B115" s="86"/>
      <c r="C115" s="31">
        <v>114</v>
      </c>
      <c r="D115" s="8">
        <f t="shared" si="3"/>
        <v>0.96970000000000023</v>
      </c>
    </row>
    <row r="116" spans="2:4" x14ac:dyDescent="0.45">
      <c r="B116" s="86"/>
      <c r="C116" s="31">
        <v>115</v>
      </c>
      <c r="D116" s="8">
        <f t="shared" si="3"/>
        <v>0.95680000000000009</v>
      </c>
    </row>
    <row r="117" spans="2:4" x14ac:dyDescent="0.45">
      <c r="B117" s="86"/>
      <c r="C117" s="31">
        <v>116</v>
      </c>
      <c r="D117" s="8">
        <f t="shared" si="3"/>
        <v>0.94390000000000018</v>
      </c>
    </row>
    <row r="118" spans="2:4" x14ac:dyDescent="0.45">
      <c r="B118" s="86"/>
      <c r="C118" s="31">
        <v>117</v>
      </c>
      <c r="D118" s="8">
        <f t="shared" si="3"/>
        <v>0.93100000000000005</v>
      </c>
    </row>
    <row r="119" spans="2:4" x14ac:dyDescent="0.45">
      <c r="B119" s="86"/>
      <c r="C119" s="31">
        <v>118</v>
      </c>
      <c r="D119" s="8">
        <f t="shared" si="3"/>
        <v>0.91810000000000014</v>
      </c>
    </row>
    <row r="120" spans="2:4" x14ac:dyDescent="0.45">
      <c r="B120" s="86"/>
      <c r="C120" s="31">
        <v>119</v>
      </c>
      <c r="D120" s="8">
        <f t="shared" si="3"/>
        <v>0.90520000000000023</v>
      </c>
    </row>
    <row r="121" spans="2:4" x14ac:dyDescent="0.45">
      <c r="B121" s="86"/>
      <c r="C121" s="31">
        <v>120</v>
      </c>
      <c r="D121" s="8">
        <f t="shared" si="3"/>
        <v>0.89230000000000009</v>
      </c>
    </row>
    <row r="122" spans="2:4" x14ac:dyDescent="0.45">
      <c r="B122" s="86"/>
      <c r="C122" s="31">
        <v>121</v>
      </c>
      <c r="D122" s="8">
        <f t="shared" si="3"/>
        <v>0.87940000000000018</v>
      </c>
    </row>
    <row r="123" spans="2:4" x14ac:dyDescent="0.45">
      <c r="B123" s="86"/>
      <c r="C123" s="31">
        <v>122</v>
      </c>
      <c r="D123" s="8">
        <f t="shared" si="3"/>
        <v>0.86650000000000005</v>
      </c>
    </row>
    <row r="124" spans="2:4" x14ac:dyDescent="0.45">
      <c r="B124" s="86"/>
      <c r="C124" s="31">
        <v>123</v>
      </c>
      <c r="D124" s="8">
        <f t="shared" si="3"/>
        <v>0.85360000000000014</v>
      </c>
    </row>
    <row r="125" spans="2:4" x14ac:dyDescent="0.45">
      <c r="B125" s="86"/>
      <c r="C125" s="31">
        <v>124</v>
      </c>
      <c r="D125" s="8">
        <f t="shared" si="3"/>
        <v>0.84070000000000022</v>
      </c>
    </row>
    <row r="126" spans="2:4" x14ac:dyDescent="0.45">
      <c r="B126" s="86"/>
      <c r="C126" s="31">
        <v>125</v>
      </c>
      <c r="D126" s="8">
        <f t="shared" si="3"/>
        <v>0.82780000000000009</v>
      </c>
    </row>
    <row r="127" spans="2:4" x14ac:dyDescent="0.45">
      <c r="B127" s="86"/>
      <c r="C127" s="31">
        <v>126</v>
      </c>
      <c r="D127" s="8">
        <f t="shared" si="3"/>
        <v>0.81490000000000018</v>
      </c>
    </row>
    <row r="128" spans="2:4" x14ac:dyDescent="0.45">
      <c r="B128" s="86"/>
      <c r="C128" s="31">
        <v>127</v>
      </c>
      <c r="D128" s="8">
        <f t="shared" si="3"/>
        <v>0.80200000000000005</v>
      </c>
    </row>
    <row r="129" spans="2:4" x14ac:dyDescent="0.45">
      <c r="B129" s="86"/>
      <c r="C129" s="31">
        <v>128</v>
      </c>
      <c r="D129" s="8">
        <f t="shared" si="3"/>
        <v>0.78910000000000013</v>
      </c>
    </row>
    <row r="130" spans="2:4" x14ac:dyDescent="0.45">
      <c r="B130" s="86"/>
      <c r="C130" s="31">
        <v>129</v>
      </c>
      <c r="D130" s="8">
        <f t="shared" si="3"/>
        <v>0.77620000000000022</v>
      </c>
    </row>
    <row r="131" spans="2:4" x14ac:dyDescent="0.45">
      <c r="B131" s="86"/>
      <c r="C131" s="31">
        <v>130</v>
      </c>
      <c r="D131" s="8">
        <f t="shared" si="3"/>
        <v>0.76330000000000009</v>
      </c>
    </row>
    <row r="132" spans="2:4" x14ac:dyDescent="0.45">
      <c r="B132" s="86"/>
      <c r="C132" s="31">
        <v>131</v>
      </c>
      <c r="D132" s="8">
        <f t="shared" si="3"/>
        <v>0.75040000000000018</v>
      </c>
    </row>
  </sheetData>
  <mergeCells count="4">
    <mergeCell ref="B102:B132"/>
    <mergeCell ref="B2:B26"/>
    <mergeCell ref="B27:B56"/>
    <mergeCell ref="B57:B10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9" workbookViewId="0">
      <selection activeCell="V24" sqref="V24"/>
    </sheetView>
  </sheetViews>
  <sheetFormatPr defaultColWidth="8.86328125" defaultRowHeight="14.25" x14ac:dyDescent="0.45"/>
  <cols>
    <col min="1" max="1" width="13.398437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 workbookViewId="0">
      <selection activeCell="T6" sqref="T6"/>
    </sheetView>
  </sheetViews>
  <sheetFormatPr defaultColWidth="8.86328125"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5:AE14"/>
  <sheetViews>
    <sheetView topLeftCell="A3" workbookViewId="0">
      <selection activeCell="V5" sqref="V5:AN18"/>
    </sheetView>
  </sheetViews>
  <sheetFormatPr defaultColWidth="8.86328125" defaultRowHeight="14.25" x14ac:dyDescent="0.45"/>
  <sheetData>
    <row r="5" spans="22:31" ht="18" x14ac:dyDescent="0.55000000000000004">
      <c r="V5" s="27" t="s">
        <v>38</v>
      </c>
      <c r="W5" s="27"/>
      <c r="X5" s="27"/>
      <c r="Y5" s="21"/>
      <c r="Z5" s="21"/>
      <c r="AA5" s="21"/>
      <c r="AB5" s="21"/>
      <c r="AC5" s="21"/>
      <c r="AD5" s="21"/>
      <c r="AE5" s="21"/>
    </row>
    <row r="6" spans="22:31" ht="18" x14ac:dyDescent="0.55000000000000004">
      <c r="V6" s="28"/>
      <c r="W6" s="28"/>
      <c r="X6" s="28"/>
    </row>
    <row r="7" spans="22:31" ht="18" x14ac:dyDescent="0.55000000000000004">
      <c r="V7" s="28"/>
      <c r="W7" s="28"/>
      <c r="X7" s="28"/>
    </row>
    <row r="8" spans="22:31" ht="18" x14ac:dyDescent="0.55000000000000004">
      <c r="V8" s="28"/>
      <c r="W8" s="28"/>
      <c r="X8" s="28"/>
    </row>
    <row r="9" spans="22:31" ht="18" x14ac:dyDescent="0.55000000000000004">
      <c r="V9" s="28"/>
      <c r="W9" s="28"/>
      <c r="X9" s="28"/>
    </row>
    <row r="10" spans="22:31" ht="18" x14ac:dyDescent="0.55000000000000004">
      <c r="V10" s="29" t="s">
        <v>39</v>
      </c>
      <c r="W10" s="29"/>
      <c r="X10" s="28"/>
    </row>
    <row r="11" spans="22:31" ht="18" x14ac:dyDescent="0.55000000000000004">
      <c r="V11" s="28" t="s">
        <v>43</v>
      </c>
      <c r="W11" s="28"/>
      <c r="X11" s="28"/>
    </row>
    <row r="12" spans="22:31" ht="18" x14ac:dyDescent="0.55000000000000004">
      <c r="V12" s="28"/>
      <c r="W12" s="28"/>
      <c r="X12" s="28"/>
    </row>
    <row r="13" spans="22:31" ht="18" x14ac:dyDescent="0.55000000000000004">
      <c r="V13" s="28" t="s">
        <v>42</v>
      </c>
      <c r="W13" s="28"/>
      <c r="X13" s="27">
        <v>1.1000000000000001</v>
      </c>
    </row>
    <row r="14" spans="22:31" ht="18" x14ac:dyDescent="0.55000000000000004">
      <c r="V14" s="28" t="s">
        <v>36</v>
      </c>
      <c r="W14" s="28"/>
      <c r="X14" s="30">
        <f>1-X13*(1-AVERAGE('Soil Moisture Worksheet'!O6:O90))</f>
        <v>0.26762345207985816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9"/>
  <sheetViews>
    <sheetView zoomScale="55" zoomScaleNormal="85" workbookViewId="0">
      <selection activeCell="C86" sqref="C86:C179"/>
    </sheetView>
  </sheetViews>
  <sheetFormatPr defaultColWidth="8.86328125" defaultRowHeight="14.25" x14ac:dyDescent="0.45"/>
  <cols>
    <col min="1" max="1" width="16.3984375" customWidth="1"/>
    <col min="2" max="2" width="11.3984375" customWidth="1"/>
    <col min="3" max="3" width="14.1328125" customWidth="1"/>
  </cols>
  <sheetData>
    <row r="1" spans="1:3" s="1" customFormat="1" ht="28.5" x14ac:dyDescent="0.45">
      <c r="A1" s="1" t="s">
        <v>11</v>
      </c>
      <c r="B1" s="1" t="s">
        <v>41</v>
      </c>
      <c r="C1" s="1" t="s">
        <v>34</v>
      </c>
    </row>
    <row r="2" spans="1:3" x14ac:dyDescent="0.45">
      <c r="A2" s="26">
        <f>'Application Rate'!A5</f>
        <v>45748</v>
      </c>
      <c r="B2" s="19">
        <f>'Soil Moisture Worksheet'!S6</f>
        <v>3.6845973249185446</v>
      </c>
      <c r="C2" s="20">
        <f>'Application Rate'!C5</f>
        <v>0</v>
      </c>
    </row>
    <row r="3" spans="1:3" x14ac:dyDescent="0.45">
      <c r="A3" s="6">
        <f>A2+1</f>
        <v>45749</v>
      </c>
      <c r="B3" s="19">
        <f>B2+'Soil Moisture Worksheet'!S7</f>
        <v>7.5702486455390776</v>
      </c>
      <c r="C3" s="20">
        <f>C2+'Application Rate'!C6</f>
        <v>0</v>
      </c>
    </row>
    <row r="4" spans="1:3" x14ac:dyDescent="0.45">
      <c r="A4" s="6">
        <f t="shared" ref="A4:A67" si="0">A3+1</f>
        <v>45750</v>
      </c>
      <c r="B4" s="19">
        <f>B3+'Soil Moisture Worksheet'!S8</f>
        <v>11.029837830658821</v>
      </c>
      <c r="C4" s="20">
        <f>C3+'Application Rate'!C7</f>
        <v>0</v>
      </c>
    </row>
    <row r="5" spans="1:3" x14ac:dyDescent="0.45">
      <c r="A5" s="6">
        <f t="shared" si="0"/>
        <v>45751</v>
      </c>
      <c r="B5" s="19">
        <f>B4+'Soil Moisture Worksheet'!S9</f>
        <v>13.963447062583555</v>
      </c>
      <c r="C5" s="20">
        <f>C4+'Application Rate'!C8</f>
        <v>0</v>
      </c>
    </row>
    <row r="6" spans="1:3" x14ac:dyDescent="0.45">
      <c r="A6" s="6">
        <f t="shared" si="0"/>
        <v>45752</v>
      </c>
      <c r="B6" s="19">
        <f>B5+'Soil Moisture Worksheet'!S10</f>
        <v>16.897056294508289</v>
      </c>
      <c r="C6" s="20">
        <f>C5+'Application Rate'!C9</f>
        <v>0</v>
      </c>
    </row>
    <row r="7" spans="1:3" x14ac:dyDescent="0.45">
      <c r="A7" s="6">
        <f>A6+1</f>
        <v>45753</v>
      </c>
      <c r="B7" s="19">
        <f>B6+'Soil Moisture Worksheet'!S11</f>
        <v>19.830665526433023</v>
      </c>
      <c r="C7" s="20">
        <f>C6+'Application Rate'!C10</f>
        <v>0</v>
      </c>
    </row>
    <row r="8" spans="1:3" x14ac:dyDescent="0.45">
      <c r="A8" s="6">
        <f t="shared" si="0"/>
        <v>45754</v>
      </c>
      <c r="B8" s="19">
        <f>B7+'Soil Moisture Worksheet'!S12</f>
        <v>22.764274758357757</v>
      </c>
      <c r="C8" s="20">
        <f>C7+'Application Rate'!C11</f>
        <v>0</v>
      </c>
    </row>
    <row r="9" spans="1:3" x14ac:dyDescent="0.45">
      <c r="A9" s="6">
        <f t="shared" si="0"/>
        <v>45755</v>
      </c>
      <c r="B9" s="19">
        <f>B8+'Soil Moisture Worksheet'!S13</f>
        <v>25.697883990282492</v>
      </c>
      <c r="C9" s="20">
        <f>C8+'Application Rate'!C12</f>
        <v>0</v>
      </c>
    </row>
    <row r="10" spans="1:3" x14ac:dyDescent="0.45">
      <c r="A10" s="6">
        <f t="shared" si="0"/>
        <v>45756</v>
      </c>
      <c r="B10" s="19">
        <f>B9+'Soil Moisture Worksheet'!S14</f>
        <v>28.631493222207226</v>
      </c>
      <c r="C10" s="20">
        <f>C9+'Application Rate'!C13</f>
        <v>0</v>
      </c>
    </row>
    <row r="11" spans="1:3" x14ac:dyDescent="0.45">
      <c r="A11" s="6">
        <f t="shared" si="0"/>
        <v>45757</v>
      </c>
      <c r="B11" s="19">
        <f>B10+'Soil Moisture Worksheet'!S15</f>
        <v>31.56510245413196</v>
      </c>
      <c r="C11" s="20">
        <f>C10+'Application Rate'!C14</f>
        <v>0</v>
      </c>
    </row>
    <row r="12" spans="1:3" x14ac:dyDescent="0.45">
      <c r="A12" s="6">
        <f t="shared" si="0"/>
        <v>45758</v>
      </c>
      <c r="B12" s="19">
        <f>B11+'Soil Moisture Worksheet'!S16</f>
        <v>34.498711686056694</v>
      </c>
      <c r="C12" s="20">
        <f>C11+'Application Rate'!C15</f>
        <v>0</v>
      </c>
    </row>
    <row r="13" spans="1:3" x14ac:dyDescent="0.45">
      <c r="A13" s="6">
        <f t="shared" si="0"/>
        <v>45759</v>
      </c>
      <c r="B13" s="19">
        <f>B12+'Soil Moisture Worksheet'!S17</f>
        <v>37.432320917981428</v>
      </c>
      <c r="C13" s="20">
        <f>C12+'Application Rate'!C16</f>
        <v>14</v>
      </c>
    </row>
    <row r="14" spans="1:3" x14ac:dyDescent="0.45">
      <c r="A14" s="6">
        <f t="shared" si="0"/>
        <v>45760</v>
      </c>
      <c r="B14" s="19">
        <f>B13+'Soil Moisture Worksheet'!S18</f>
        <v>40.365930149906163</v>
      </c>
      <c r="C14" s="20">
        <f>C13+'Application Rate'!C17</f>
        <v>14</v>
      </c>
    </row>
    <row r="15" spans="1:3" x14ac:dyDescent="0.45">
      <c r="A15" s="6">
        <f t="shared" si="0"/>
        <v>45761</v>
      </c>
      <c r="B15" s="19">
        <f>B14+'Soil Moisture Worksheet'!S19</f>
        <v>43.299539381830897</v>
      </c>
      <c r="C15" s="20">
        <f>C14+'Application Rate'!C18</f>
        <v>14</v>
      </c>
    </row>
    <row r="16" spans="1:3" x14ac:dyDescent="0.45">
      <c r="A16" s="6">
        <f t="shared" si="0"/>
        <v>45762</v>
      </c>
      <c r="B16" s="19">
        <f>B15+'Soil Moisture Worksheet'!S20</f>
        <v>46.233148613755631</v>
      </c>
      <c r="C16" s="20">
        <f>C15+'Application Rate'!C19</f>
        <v>14</v>
      </c>
    </row>
    <row r="17" spans="1:22" x14ac:dyDescent="0.45">
      <c r="A17" s="6">
        <f t="shared" si="0"/>
        <v>45763</v>
      </c>
      <c r="B17" s="19">
        <f>B16+'Soil Moisture Worksheet'!S21</f>
        <v>49.166757845680365</v>
      </c>
      <c r="C17" s="20">
        <f>C16+'Application Rate'!C20</f>
        <v>34</v>
      </c>
    </row>
    <row r="18" spans="1:22" x14ac:dyDescent="0.45">
      <c r="A18" s="6">
        <f t="shared" si="0"/>
        <v>45764</v>
      </c>
      <c r="B18" s="19">
        <f>B17+'Soil Moisture Worksheet'!S22</f>
        <v>52.1003670776051</v>
      </c>
      <c r="C18" s="20">
        <f>C17+'Application Rate'!C21</f>
        <v>34</v>
      </c>
    </row>
    <row r="19" spans="1:22" x14ac:dyDescent="0.45">
      <c r="A19" s="6">
        <f t="shared" si="0"/>
        <v>45765</v>
      </c>
      <c r="B19" s="19">
        <f>B18+'Soil Moisture Worksheet'!S23</f>
        <v>55.033976309529834</v>
      </c>
      <c r="C19" s="20">
        <f>C18+'Application Rate'!C22</f>
        <v>34</v>
      </c>
    </row>
    <row r="20" spans="1:22" x14ac:dyDescent="0.45">
      <c r="A20" s="6">
        <f t="shared" si="0"/>
        <v>45766</v>
      </c>
      <c r="B20" s="19">
        <f>B19+'Soil Moisture Worksheet'!S24</f>
        <v>57.967585541454568</v>
      </c>
      <c r="C20" s="20">
        <f>C19+'Application Rate'!C23</f>
        <v>34</v>
      </c>
    </row>
    <row r="21" spans="1:22" x14ac:dyDescent="0.45">
      <c r="A21" s="6">
        <f t="shared" si="0"/>
        <v>45767</v>
      </c>
      <c r="B21" s="19">
        <f>B20+'Soil Moisture Worksheet'!S25</f>
        <v>60.901194773379302</v>
      </c>
      <c r="C21" s="20">
        <f>C20+'Application Rate'!C24</f>
        <v>34</v>
      </c>
    </row>
    <row r="22" spans="1:22" x14ac:dyDescent="0.45">
      <c r="A22" s="6">
        <f t="shared" si="0"/>
        <v>45768</v>
      </c>
      <c r="B22" s="19">
        <f>B21+'Soil Moisture Worksheet'!S26</f>
        <v>63.834804005304036</v>
      </c>
      <c r="C22" s="20">
        <f>C21+'Application Rate'!C25</f>
        <v>34</v>
      </c>
    </row>
    <row r="23" spans="1:22" x14ac:dyDescent="0.45">
      <c r="A23" s="6">
        <f t="shared" si="0"/>
        <v>45769</v>
      </c>
      <c r="B23" s="19">
        <f>B22+'Soil Moisture Worksheet'!S27</f>
        <v>66.768413237228771</v>
      </c>
      <c r="C23" s="20">
        <f>C22+'Application Rate'!C26</f>
        <v>34</v>
      </c>
    </row>
    <row r="24" spans="1:22" x14ac:dyDescent="0.45">
      <c r="A24" s="6">
        <f t="shared" si="0"/>
        <v>45770</v>
      </c>
      <c r="B24" s="19">
        <f>B23+'Soil Moisture Worksheet'!S28</f>
        <v>69.702022469153505</v>
      </c>
      <c r="C24" s="20">
        <f>C23+'Application Rate'!C27</f>
        <v>34</v>
      </c>
    </row>
    <row r="25" spans="1:22" x14ac:dyDescent="0.45">
      <c r="A25" s="6">
        <f t="shared" si="0"/>
        <v>45771</v>
      </c>
      <c r="B25" s="19">
        <f>B24+'Soil Moisture Worksheet'!S29</f>
        <v>72.635631701078239</v>
      </c>
      <c r="C25" s="20">
        <f>C24+'Application Rate'!C28</f>
        <v>34</v>
      </c>
    </row>
    <row r="26" spans="1:22" x14ac:dyDescent="0.45">
      <c r="A26" s="6">
        <f t="shared" si="0"/>
        <v>45772</v>
      </c>
      <c r="B26" s="19">
        <f>B25+'Soil Moisture Worksheet'!S30</f>
        <v>75.569240933002973</v>
      </c>
      <c r="C26" s="20">
        <f>C25+'Application Rate'!C29</f>
        <v>34</v>
      </c>
    </row>
    <row r="27" spans="1:22" x14ac:dyDescent="0.45">
      <c r="A27" s="6">
        <f t="shared" si="0"/>
        <v>45773</v>
      </c>
      <c r="B27" s="19">
        <f>B26+'Soil Moisture Worksheet'!S31</f>
        <v>78.634862580364327</v>
      </c>
      <c r="C27" s="20">
        <f>C26+'Application Rate'!C30</f>
        <v>34</v>
      </c>
    </row>
    <row r="28" spans="1:22" x14ac:dyDescent="0.45">
      <c r="A28" s="6">
        <f t="shared" si="0"/>
        <v>45774</v>
      </c>
      <c r="B28" s="19">
        <f>B27+'Soil Moisture Worksheet'!S32</f>
        <v>81.827802868391203</v>
      </c>
      <c r="C28" s="20">
        <f>C27+'Application Rate'!C31</f>
        <v>34</v>
      </c>
    </row>
    <row r="29" spans="1:22" x14ac:dyDescent="0.45">
      <c r="A29" s="6">
        <f t="shared" si="0"/>
        <v>45775</v>
      </c>
      <c r="B29" s="19">
        <f>B28+'Soil Moisture Worksheet'!S33</f>
        <v>85.148061797083614</v>
      </c>
      <c r="C29" s="20">
        <f>C28+'Application Rate'!C32</f>
        <v>34</v>
      </c>
    </row>
    <row r="30" spans="1:22" x14ac:dyDescent="0.45">
      <c r="A30" s="6">
        <f t="shared" si="0"/>
        <v>45776</v>
      </c>
      <c r="B30" s="19">
        <f>B29+'Soil Moisture Worksheet'!S34</f>
        <v>88.59563936644156</v>
      </c>
      <c r="C30" s="20">
        <f>C29+'Application Rate'!C33</f>
        <v>34</v>
      </c>
    </row>
    <row r="31" spans="1:22" x14ac:dyDescent="0.45">
      <c r="A31" s="6">
        <f t="shared" si="0"/>
        <v>45777</v>
      </c>
      <c r="B31" s="19">
        <f>B30+'Soil Moisture Worksheet'!S35</f>
        <v>92.170535576465042</v>
      </c>
      <c r="C31" s="20">
        <f>C30+'Application Rate'!C34</f>
        <v>34</v>
      </c>
    </row>
    <row r="32" spans="1:22" ht="18" x14ac:dyDescent="0.55000000000000004">
      <c r="A32" s="6">
        <f t="shared" si="0"/>
        <v>45778</v>
      </c>
      <c r="B32" s="19">
        <f>B31+'Soil Moisture Worksheet'!S36</f>
        <v>95.87275042715406</v>
      </c>
      <c r="C32" s="20">
        <f>C31+'Application Rate'!C35</f>
        <v>34</v>
      </c>
      <c r="E32" s="27" t="s">
        <v>35</v>
      </c>
      <c r="F32" s="21"/>
      <c r="G32" s="21"/>
      <c r="H32" s="21"/>
      <c r="I32" s="21"/>
      <c r="J32" s="21"/>
      <c r="K32" s="21"/>
      <c r="L32" s="21"/>
      <c r="M32" s="21"/>
      <c r="N32" s="21"/>
      <c r="O32" s="21"/>
      <c r="P32" s="21"/>
      <c r="Q32" s="21"/>
      <c r="R32" s="21"/>
      <c r="S32" s="21"/>
      <c r="T32" s="21"/>
      <c r="U32" s="21"/>
      <c r="V32" s="21"/>
    </row>
    <row r="33" spans="1:3" x14ac:dyDescent="0.45">
      <c r="A33" s="6">
        <f t="shared" si="0"/>
        <v>45779</v>
      </c>
      <c r="B33" s="19">
        <f>B32+'Soil Moisture Worksheet'!S37</f>
        <v>99.702283918508613</v>
      </c>
      <c r="C33" s="20">
        <f>C32+'Application Rate'!C36</f>
        <v>34</v>
      </c>
    </row>
    <row r="34" spans="1:3" x14ac:dyDescent="0.45">
      <c r="A34" s="6">
        <f t="shared" si="0"/>
        <v>45780</v>
      </c>
      <c r="B34" s="19">
        <f>B33+'Soil Moisture Worksheet'!S38</f>
        <v>103.6591360505287</v>
      </c>
      <c r="C34" s="20">
        <f>C33+'Application Rate'!C37</f>
        <v>34</v>
      </c>
    </row>
    <row r="35" spans="1:3" x14ac:dyDescent="0.45">
      <c r="A35" s="6">
        <f t="shared" si="0"/>
        <v>45781</v>
      </c>
      <c r="B35" s="19">
        <f>B34+'Soil Moisture Worksheet'!S39</f>
        <v>107.74330682321431</v>
      </c>
      <c r="C35" s="20">
        <f>C34+'Application Rate'!C38</f>
        <v>34</v>
      </c>
    </row>
    <row r="36" spans="1:3" x14ac:dyDescent="0.45">
      <c r="A36" s="6">
        <f t="shared" si="0"/>
        <v>45782</v>
      </c>
      <c r="B36" s="19">
        <f>B35+'Soil Moisture Worksheet'!S40</f>
        <v>111.95479623656546</v>
      </c>
      <c r="C36" s="20">
        <f>C35+'Application Rate'!C39</f>
        <v>34</v>
      </c>
    </row>
    <row r="37" spans="1:3" x14ac:dyDescent="0.45">
      <c r="A37" s="6">
        <f t="shared" si="0"/>
        <v>45783</v>
      </c>
      <c r="B37" s="19">
        <f>B36+'Soil Moisture Worksheet'!S41</f>
        <v>116.29360429058214</v>
      </c>
      <c r="C37" s="20">
        <f>C36+'Application Rate'!C40</f>
        <v>34</v>
      </c>
    </row>
    <row r="38" spans="1:3" x14ac:dyDescent="0.45">
      <c r="A38" s="6">
        <f t="shared" si="0"/>
        <v>45784</v>
      </c>
      <c r="B38" s="19">
        <f>B37+'Soil Moisture Worksheet'!S42</f>
        <v>120.75973098526435</v>
      </c>
      <c r="C38" s="20">
        <f>C37+'Application Rate'!C41</f>
        <v>34</v>
      </c>
    </row>
    <row r="39" spans="1:3" x14ac:dyDescent="0.45">
      <c r="A39" s="6">
        <f t="shared" si="0"/>
        <v>45785</v>
      </c>
      <c r="B39" s="19">
        <f>B38+'Soil Moisture Worksheet'!S43</f>
        <v>125.35317632061211</v>
      </c>
      <c r="C39" s="20">
        <f>C38+'Application Rate'!C42</f>
        <v>34</v>
      </c>
    </row>
    <row r="40" spans="1:3" x14ac:dyDescent="0.45">
      <c r="A40" s="6">
        <f t="shared" si="0"/>
        <v>45786</v>
      </c>
      <c r="B40" s="19">
        <f>B39+'Soil Moisture Worksheet'!S44</f>
        <v>130.07394029662538</v>
      </c>
      <c r="C40" s="20">
        <f>C39+'Application Rate'!C43</f>
        <v>34</v>
      </c>
    </row>
    <row r="41" spans="1:3" x14ac:dyDescent="0.45">
      <c r="A41" s="6">
        <f t="shared" si="0"/>
        <v>45787</v>
      </c>
      <c r="B41" s="19">
        <f>B40+'Soil Moisture Worksheet'!S45</f>
        <v>134.9220229133042</v>
      </c>
      <c r="C41" s="20">
        <f>C40+'Application Rate'!C44</f>
        <v>34</v>
      </c>
    </row>
    <row r="42" spans="1:3" x14ac:dyDescent="0.45">
      <c r="A42" s="6">
        <f t="shared" si="0"/>
        <v>45788</v>
      </c>
      <c r="B42" s="19">
        <f>B41+'Soil Moisture Worksheet'!S46</f>
        <v>139.89742417064855</v>
      </c>
      <c r="C42" s="20">
        <f>C41+'Application Rate'!C45</f>
        <v>34</v>
      </c>
    </row>
    <row r="43" spans="1:3" x14ac:dyDescent="0.45">
      <c r="A43" s="6">
        <f t="shared" si="0"/>
        <v>45789</v>
      </c>
      <c r="B43" s="19">
        <f>B42+'Soil Moisture Worksheet'!S47</f>
        <v>145.00014406865844</v>
      </c>
      <c r="C43" s="20">
        <f>C42+'Application Rate'!C46</f>
        <v>34</v>
      </c>
    </row>
    <row r="44" spans="1:3" x14ac:dyDescent="0.45">
      <c r="A44" s="6">
        <f t="shared" si="0"/>
        <v>45790</v>
      </c>
      <c r="B44" s="19">
        <f>B43+'Soil Moisture Worksheet'!S48</f>
        <v>150.23018260733386</v>
      </c>
      <c r="C44" s="20">
        <f>C43+'Application Rate'!C47</f>
        <v>34</v>
      </c>
    </row>
    <row r="45" spans="1:3" x14ac:dyDescent="0.45">
      <c r="A45" s="6">
        <f t="shared" si="0"/>
        <v>45791</v>
      </c>
      <c r="B45" s="19">
        <f>B44+'Soil Moisture Worksheet'!S49</f>
        <v>155.5875397866748</v>
      </c>
      <c r="C45" s="20">
        <f>C44+'Application Rate'!C48</f>
        <v>34</v>
      </c>
    </row>
    <row r="46" spans="1:3" x14ac:dyDescent="0.45">
      <c r="A46" s="6">
        <f t="shared" si="0"/>
        <v>45792</v>
      </c>
      <c r="B46" s="19">
        <f>B45+'Soil Moisture Worksheet'!S50</f>
        <v>161.07221560668128</v>
      </c>
      <c r="C46" s="20">
        <f>C45+'Application Rate'!C49</f>
        <v>34</v>
      </c>
    </row>
    <row r="47" spans="1:3" x14ac:dyDescent="0.45">
      <c r="A47" s="6">
        <f t="shared" si="0"/>
        <v>45793</v>
      </c>
      <c r="B47" s="19">
        <f>B46+'Soil Moisture Worksheet'!S51</f>
        <v>166.68421006735329</v>
      </c>
      <c r="C47" s="20">
        <f>C46+'Application Rate'!C50</f>
        <v>34</v>
      </c>
    </row>
    <row r="48" spans="1:3" x14ac:dyDescent="0.45">
      <c r="A48" s="6">
        <f t="shared" si="0"/>
        <v>45794</v>
      </c>
      <c r="B48" s="19">
        <f>B47+'Soil Moisture Worksheet'!S52</f>
        <v>172.42352316869085</v>
      </c>
      <c r="C48" s="20">
        <f>C47+'Application Rate'!C51</f>
        <v>34</v>
      </c>
    </row>
    <row r="49" spans="1:3" x14ac:dyDescent="0.45">
      <c r="A49" s="6">
        <f t="shared" si="0"/>
        <v>45795</v>
      </c>
      <c r="B49" s="19">
        <f>B48+'Soil Moisture Worksheet'!S53</f>
        <v>178.29015491069393</v>
      </c>
      <c r="C49" s="20">
        <f>C48+'Application Rate'!C52</f>
        <v>34</v>
      </c>
    </row>
    <row r="50" spans="1:3" x14ac:dyDescent="0.45">
      <c r="A50" s="6">
        <f t="shared" si="0"/>
        <v>45796</v>
      </c>
      <c r="B50" s="19">
        <f>B49+'Soil Moisture Worksheet'!S54</f>
        <v>184.2854886303725</v>
      </c>
      <c r="C50" s="20">
        <f>C49+'Application Rate'!C53</f>
        <v>34</v>
      </c>
    </row>
    <row r="51" spans="1:3" x14ac:dyDescent="0.45">
      <c r="A51" s="6">
        <f t="shared" si="0"/>
        <v>45797</v>
      </c>
      <c r="B51" s="19">
        <f>B50+'Soil Moisture Worksheet'!S55</f>
        <v>190.4118919938025</v>
      </c>
      <c r="C51" s="20">
        <f>C50+'Application Rate'!C54</f>
        <v>34</v>
      </c>
    </row>
    <row r="52" spans="1:3" x14ac:dyDescent="0.45">
      <c r="A52" s="6">
        <f t="shared" si="0"/>
        <v>45798</v>
      </c>
      <c r="B52" s="19">
        <f>B51+'Soil Moisture Worksheet'!S56</f>
        <v>196.66937973328626</v>
      </c>
      <c r="C52" s="20">
        <f>C51+'Application Rate'!C55</f>
        <v>34</v>
      </c>
    </row>
    <row r="53" spans="1:3" x14ac:dyDescent="0.45">
      <c r="A53" s="6">
        <f t="shared" si="0"/>
        <v>45799</v>
      </c>
      <c r="B53" s="19">
        <f>B52+'Soil Moisture Worksheet'!S57</f>
        <v>203.05795982597266</v>
      </c>
      <c r="C53" s="20">
        <f>C52+'Application Rate'!C56</f>
        <v>34</v>
      </c>
    </row>
    <row r="54" spans="1:3" x14ac:dyDescent="0.45">
      <c r="A54" s="6">
        <f t="shared" si="0"/>
        <v>45800</v>
      </c>
      <c r="B54" s="19">
        <f>B53+'Soil Moisture Worksheet'!S58</f>
        <v>209.57763357259134</v>
      </c>
      <c r="C54" s="20">
        <f>C53+'Application Rate'!C57</f>
        <v>34</v>
      </c>
    </row>
    <row r="55" spans="1:3" x14ac:dyDescent="0.45">
      <c r="A55" s="6">
        <f t="shared" si="0"/>
        <v>45801</v>
      </c>
      <c r="B55" s="19">
        <f>B54+'Soil Moisture Worksheet'!S59</f>
        <v>216.22839567032733</v>
      </c>
      <c r="C55" s="20">
        <f>C54+'Application Rate'!C58</f>
        <v>34</v>
      </c>
    </row>
    <row r="56" spans="1:3" x14ac:dyDescent="0.45">
      <c r="A56" s="6">
        <f t="shared" si="0"/>
        <v>45802</v>
      </c>
      <c r="B56" s="19">
        <f>B55+'Soil Moisture Worksheet'!S60</f>
        <v>223.01023427990992</v>
      </c>
      <c r="C56" s="20">
        <f>C55+'Application Rate'!C59</f>
        <v>34</v>
      </c>
    </row>
    <row r="57" spans="1:3" x14ac:dyDescent="0.45">
      <c r="A57" s="6">
        <f t="shared" si="0"/>
        <v>45803</v>
      </c>
      <c r="B57" s="19">
        <f>B56+'Soil Moisture Worksheet'!S61</f>
        <v>229.78469642574723</v>
      </c>
      <c r="C57" s="20">
        <f>C56+'Application Rate'!C60</f>
        <v>34</v>
      </c>
    </row>
    <row r="58" spans="1:3" x14ac:dyDescent="0.45">
      <c r="A58" s="6">
        <f t="shared" si="0"/>
        <v>45804</v>
      </c>
      <c r="B58" s="19">
        <f>B57+'Soil Moisture Worksheet'!S62</f>
        <v>236.56223977540253</v>
      </c>
      <c r="C58" s="20">
        <f>C57+'Application Rate'!C61</f>
        <v>34</v>
      </c>
    </row>
    <row r="59" spans="1:3" x14ac:dyDescent="0.45">
      <c r="A59" s="6">
        <f t="shared" si="0"/>
        <v>45805</v>
      </c>
      <c r="B59" s="19">
        <f>B58+'Soil Moisture Worksheet'!S63</f>
        <v>243.34272504663349</v>
      </c>
      <c r="C59" s="20">
        <f>C58+'Application Rate'!C62</f>
        <v>34</v>
      </c>
    </row>
    <row r="60" spans="1:3" x14ac:dyDescent="0.45">
      <c r="A60" s="6">
        <f t="shared" si="0"/>
        <v>45806</v>
      </c>
      <c r="B60" s="19">
        <f>B59+'Soil Moisture Worksheet'!S64</f>
        <v>250.12601440566118</v>
      </c>
      <c r="C60" s="20">
        <f>C59+'Application Rate'!C63</f>
        <v>34</v>
      </c>
    </row>
    <row r="61" spans="1:3" x14ac:dyDescent="0.45">
      <c r="A61" s="6">
        <f t="shared" si="0"/>
        <v>45807</v>
      </c>
      <c r="B61" s="19">
        <f>B60+'Soil Moisture Worksheet'!S65</f>
        <v>256.91197140319707</v>
      </c>
      <c r="C61" s="20">
        <f>C60+'Application Rate'!C64</f>
        <v>34</v>
      </c>
    </row>
    <row r="62" spans="1:3" x14ac:dyDescent="0.45">
      <c r="A62" s="6">
        <f t="shared" si="0"/>
        <v>45808</v>
      </c>
      <c r="B62" s="19">
        <f>B61+'Soil Moisture Worksheet'!S66</f>
        <v>263.70046091106235</v>
      </c>
      <c r="C62" s="20">
        <f>C61+'Application Rate'!C65</f>
        <v>34</v>
      </c>
    </row>
    <row r="63" spans="1:3" x14ac:dyDescent="0.45">
      <c r="A63" s="6">
        <f t="shared" si="0"/>
        <v>45809</v>
      </c>
      <c r="B63" s="19">
        <f>B62+'Soil Moisture Worksheet'!S67</f>
        <v>270.49134905939366</v>
      </c>
      <c r="C63" s="20">
        <f>C62+'Application Rate'!C66</f>
        <v>34</v>
      </c>
    </row>
    <row r="64" spans="1:3" x14ac:dyDescent="0.45">
      <c r="A64" s="6">
        <f t="shared" si="0"/>
        <v>45810</v>
      </c>
      <c r="B64" s="19">
        <f>B63+'Soil Moisture Worksheet'!S68</f>
        <v>277.2845031744273</v>
      </c>
      <c r="C64" s="20">
        <f>C63+'Application Rate'!C67</f>
        <v>34</v>
      </c>
    </row>
    <row r="65" spans="1:3" x14ac:dyDescent="0.45">
      <c r="A65" s="6">
        <f t="shared" si="0"/>
        <v>45811</v>
      </c>
      <c r="B65" s="19">
        <f>B64+'Soil Moisture Worksheet'!S69</f>
        <v>284.07979171685167</v>
      </c>
      <c r="C65" s="20">
        <f>C64+'Application Rate'!C68</f>
        <v>34</v>
      </c>
    </row>
    <row r="66" spans="1:3" x14ac:dyDescent="0.45">
      <c r="A66" s="6">
        <f t="shared" si="0"/>
        <v>45812</v>
      </c>
      <c r="B66" s="19">
        <f>B65+'Soil Moisture Worksheet'!S70</f>
        <v>290.87708422071626</v>
      </c>
      <c r="C66" s="20">
        <f>C65+'Application Rate'!C69</f>
        <v>34</v>
      </c>
    </row>
    <row r="67" spans="1:3" x14ac:dyDescent="0.45">
      <c r="A67" s="6">
        <f t="shared" si="0"/>
        <v>45813</v>
      </c>
      <c r="B67" s="19">
        <f>B66+'Soil Moisture Worksheet'!S71</f>
        <v>297.67625123288258</v>
      </c>
      <c r="C67" s="20">
        <f>C66+'Application Rate'!C70</f>
        <v>34</v>
      </c>
    </row>
    <row r="68" spans="1:3" x14ac:dyDescent="0.45">
      <c r="A68" s="6">
        <f t="shared" ref="A68:A131" si="1">A67+1</f>
        <v>45814</v>
      </c>
      <c r="B68" s="19">
        <f>B67+'Soil Moisture Worksheet'!S72</f>
        <v>304.47716425300132</v>
      </c>
      <c r="C68" s="20">
        <f>C67+'Application Rate'!C71</f>
        <v>34</v>
      </c>
    </row>
    <row r="69" spans="1:3" x14ac:dyDescent="0.45">
      <c r="A69" s="6">
        <f t="shared" si="1"/>
        <v>45815</v>
      </c>
      <c r="B69" s="19">
        <f>B68+'Soil Moisture Worksheet'!S73</f>
        <v>311.2796956739972</v>
      </c>
      <c r="C69" s="20">
        <f>C68+'Application Rate'!C72</f>
        <v>34</v>
      </c>
    </row>
    <row r="70" spans="1:3" x14ac:dyDescent="0.45">
      <c r="A70" s="6">
        <f t="shared" si="1"/>
        <v>45816</v>
      </c>
      <c r="B70" s="19">
        <f>B69+'Soil Moisture Worksheet'!S74</f>
        <v>318.08371872304178</v>
      </c>
      <c r="C70" s="20">
        <f>C69+'Application Rate'!C73</f>
        <v>34</v>
      </c>
    </row>
    <row r="71" spans="1:3" x14ac:dyDescent="0.45">
      <c r="A71" s="6">
        <f t="shared" si="1"/>
        <v>45817</v>
      </c>
      <c r="B71" s="19">
        <f>B70+'Soil Moisture Worksheet'!S75</f>
        <v>324.88910740299207</v>
      </c>
      <c r="C71" s="20">
        <f>C70+'Application Rate'!C74</f>
        <v>34</v>
      </c>
    </row>
    <row r="72" spans="1:3" x14ac:dyDescent="0.45">
      <c r="A72" s="6">
        <f t="shared" si="1"/>
        <v>45818</v>
      </c>
      <c r="B72" s="19">
        <f>B71+'Soil Moisture Worksheet'!S76</f>
        <v>331.69573643427088</v>
      </c>
      <c r="C72" s="20">
        <f>C71+'Application Rate'!C75</f>
        <v>34</v>
      </c>
    </row>
    <row r="73" spans="1:3" x14ac:dyDescent="0.45">
      <c r="A73" s="6">
        <f t="shared" si="1"/>
        <v>45819</v>
      </c>
      <c r="B73" s="19">
        <f>B72+'Soil Moisture Worksheet'!S77</f>
        <v>338.50348119716386</v>
      </c>
      <c r="C73" s="20">
        <f>C72+'Application Rate'!C76</f>
        <v>34</v>
      </c>
    </row>
    <row r="74" spans="1:3" x14ac:dyDescent="0.45">
      <c r="A74" s="6">
        <f t="shared" si="1"/>
        <v>45820</v>
      </c>
      <c r="B74" s="19">
        <f>B73+'Soil Moisture Worksheet'!S78</f>
        <v>345.31221767450546</v>
      </c>
      <c r="C74" s="20">
        <f>C73+'Application Rate'!C77</f>
        <v>34</v>
      </c>
    </row>
    <row r="75" spans="1:3" x14ac:dyDescent="0.45">
      <c r="A75" s="6">
        <f t="shared" si="1"/>
        <v>45821</v>
      </c>
      <c r="B75" s="19">
        <f>B74+'Soil Moisture Worksheet'!S79</f>
        <v>352.12182239472486</v>
      </c>
      <c r="C75" s="20">
        <f>C74+'Application Rate'!C78</f>
        <v>34</v>
      </c>
    </row>
    <row r="76" spans="1:3" x14ac:dyDescent="0.45">
      <c r="A76" s="6">
        <f t="shared" si="1"/>
        <v>45822</v>
      </c>
      <c r="B76" s="19">
        <f>B75+'Soil Moisture Worksheet'!S80</f>
        <v>358.93217237522174</v>
      </c>
      <c r="C76" s="20">
        <f>C75+'Application Rate'!C79</f>
        <v>34</v>
      </c>
    </row>
    <row r="77" spans="1:3" x14ac:dyDescent="0.45">
      <c r="A77" s="6">
        <f t="shared" si="1"/>
        <v>45823</v>
      </c>
      <c r="B77" s="19">
        <f>B76+'Soil Moisture Worksheet'!S81</f>
        <v>365.74314506604009</v>
      </c>
      <c r="C77" s="20">
        <f>C76+'Application Rate'!C80</f>
        <v>34</v>
      </c>
    </row>
    <row r="78" spans="1:3" x14ac:dyDescent="0.45">
      <c r="A78" s="6">
        <f t="shared" si="1"/>
        <v>45824</v>
      </c>
      <c r="B78" s="19">
        <f>B77+'Soil Moisture Worksheet'!S82</f>
        <v>372.55461829380647</v>
      </c>
      <c r="C78" s="20">
        <f>C77+'Application Rate'!C81</f>
        <v>34</v>
      </c>
    </row>
    <row r="79" spans="1:3" x14ac:dyDescent="0.45">
      <c r="A79" s="6">
        <f t="shared" si="1"/>
        <v>45825</v>
      </c>
      <c r="B79" s="19">
        <f>B78+'Soil Moisture Worksheet'!S83</f>
        <v>379.36647020589896</v>
      </c>
      <c r="C79" s="20">
        <f>C78+'Application Rate'!C82</f>
        <v>34</v>
      </c>
    </row>
    <row r="80" spans="1:3" x14ac:dyDescent="0.45">
      <c r="A80" s="6">
        <f t="shared" si="1"/>
        <v>45826</v>
      </c>
      <c r="B80" s="19">
        <f>B79+'Soil Moisture Worksheet'!S84</f>
        <v>386.17857921481141</v>
      </c>
      <c r="C80" s="20">
        <f>C79+'Application Rate'!C83</f>
        <v>34</v>
      </c>
    </row>
    <row r="81" spans="1:3" x14ac:dyDescent="0.45">
      <c r="A81" s="6">
        <f t="shared" si="1"/>
        <v>45827</v>
      </c>
      <c r="B81" s="19">
        <f>B80+'Soil Moisture Worksheet'!S85</f>
        <v>392.99082394267663</v>
      </c>
      <c r="C81" s="20">
        <f>C80+'Application Rate'!C84</f>
        <v>34</v>
      </c>
    </row>
    <row r="82" spans="1:3" x14ac:dyDescent="0.45">
      <c r="A82" s="6">
        <f t="shared" si="1"/>
        <v>45828</v>
      </c>
      <c r="B82" s="19">
        <f>B81+'Soil Moisture Worksheet'!S86</f>
        <v>399.80308316591226</v>
      </c>
      <c r="C82" s="20">
        <f>C81+'Application Rate'!C85</f>
        <v>34</v>
      </c>
    </row>
    <row r="83" spans="1:3" x14ac:dyDescent="0.45">
      <c r="A83" s="6">
        <f t="shared" si="1"/>
        <v>45829</v>
      </c>
      <c r="B83" s="19">
        <f>B82+'Soil Moisture Worksheet'!S87</f>
        <v>406.61523575995091</v>
      </c>
      <c r="C83" s="20">
        <f>C82+'Application Rate'!C86</f>
        <v>34</v>
      </c>
    </row>
    <row r="84" spans="1:3" x14ac:dyDescent="0.45">
      <c r="A84" s="6">
        <f t="shared" si="1"/>
        <v>45830</v>
      </c>
      <c r="B84" s="19">
        <f>B83+'Soil Moisture Worksheet'!S88</f>
        <v>413.42716064401799</v>
      </c>
      <c r="C84" s="20">
        <f>C83+'Application Rate'!C87</f>
        <v>34</v>
      </c>
    </row>
    <row r="85" spans="1:3" x14ac:dyDescent="0.45">
      <c r="A85" s="6">
        <f t="shared" si="1"/>
        <v>45831</v>
      </c>
      <c r="B85" s="19">
        <f>B84+'Soil Moisture Worksheet'!S89</f>
        <v>420.23873672591816</v>
      </c>
      <c r="C85" s="20">
        <f>C84+'Application Rate'!C88</f>
        <v>34</v>
      </c>
    </row>
    <row r="86" spans="1:3" x14ac:dyDescent="0.45">
      <c r="A86" s="6">
        <f t="shared" si="1"/>
        <v>45832</v>
      </c>
      <c r="B86" s="19">
        <f>B85+'Soil Moisture Worksheet'!S90</f>
        <v>427.0498428467929</v>
      </c>
      <c r="C86" s="20">
        <f>C85+'Application Rate'!C89</f>
        <v>34</v>
      </c>
    </row>
    <row r="87" spans="1:3" x14ac:dyDescent="0.45">
      <c r="A87" s="6">
        <f t="shared" si="1"/>
        <v>45833</v>
      </c>
      <c r="B87" s="19">
        <f>B86+'Soil Moisture Worksheet'!S91</f>
        <v>433.86035772581096</v>
      </c>
      <c r="C87" s="20">
        <f>C86+'Application Rate'!C90</f>
        <v>34</v>
      </c>
    </row>
    <row r="88" spans="1:3" x14ac:dyDescent="0.45">
      <c r="A88" s="6">
        <f t="shared" si="1"/>
        <v>45834</v>
      </c>
      <c r="B88" s="19">
        <f>B87+'Soil Moisture Worksheet'!S92</f>
        <v>440.67015990475397</v>
      </c>
      <c r="C88" s="20">
        <f>C87+'Application Rate'!C91</f>
        <v>34</v>
      </c>
    </row>
    <row r="89" spans="1:3" x14ac:dyDescent="0.45">
      <c r="A89" s="6">
        <f t="shared" si="1"/>
        <v>45835</v>
      </c>
      <c r="B89" s="19">
        <f>B88+'Soil Moisture Worksheet'!S93</f>
        <v>447.47912769246017</v>
      </c>
      <c r="C89" s="20">
        <f>C88+'Application Rate'!C92</f>
        <v>34</v>
      </c>
    </row>
    <row r="90" spans="1:3" x14ac:dyDescent="0.45">
      <c r="A90" s="6">
        <f t="shared" si="1"/>
        <v>45836</v>
      </c>
      <c r="B90" s="19">
        <f>B89+'Soil Moisture Worksheet'!S94</f>
        <v>454.28713910908908</v>
      </c>
      <c r="C90" s="20">
        <f>C89+'Application Rate'!C93</f>
        <v>34</v>
      </c>
    </row>
    <row r="91" spans="1:3" x14ac:dyDescent="0.45">
      <c r="A91" s="6">
        <f t="shared" si="1"/>
        <v>45837</v>
      </c>
      <c r="B91" s="19">
        <f>B90+'Soil Moisture Worksheet'!S95</f>
        <v>461.09407183017163</v>
      </c>
      <c r="C91" s="20">
        <f>C90+'Application Rate'!C94</f>
        <v>34</v>
      </c>
    </row>
    <row r="92" spans="1:3" x14ac:dyDescent="0.45">
      <c r="A92" s="6">
        <f t="shared" si="1"/>
        <v>45838</v>
      </c>
      <c r="B92" s="19">
        <f>B91+'Soil Moisture Worksheet'!S96</f>
        <v>467.89980313041042</v>
      </c>
      <c r="C92" s="20">
        <f>C91+'Application Rate'!C95</f>
        <v>34</v>
      </c>
    </row>
    <row r="93" spans="1:3" x14ac:dyDescent="0.45">
      <c r="A93" s="6">
        <f t="shared" si="1"/>
        <v>45839</v>
      </c>
      <c r="B93" s="19">
        <f>B92+'Soil Moisture Worksheet'!S97</f>
        <v>474.70420982719628</v>
      </c>
      <c r="C93" s="20">
        <f>C92+'Application Rate'!C96</f>
        <v>34</v>
      </c>
    </row>
    <row r="94" spans="1:3" x14ac:dyDescent="0.45">
      <c r="A94" s="6">
        <f t="shared" si="1"/>
        <v>45840</v>
      </c>
      <c r="B94" s="19">
        <f>B93+'Soil Moisture Worksheet'!S98</f>
        <v>481.50716822380826</v>
      </c>
      <c r="C94" s="20">
        <f>C93+'Application Rate'!C97</f>
        <v>34</v>
      </c>
    </row>
    <row r="95" spans="1:3" x14ac:dyDescent="0.45">
      <c r="A95" s="6">
        <f t="shared" si="1"/>
        <v>45841</v>
      </c>
      <c r="B95" s="19">
        <f>B94+'Soil Moisture Worksheet'!S99</f>
        <v>488.30855405226572</v>
      </c>
      <c r="C95" s="20">
        <f>C94+'Application Rate'!C98</f>
        <v>34</v>
      </c>
    </row>
    <row r="96" spans="1:3" x14ac:dyDescent="0.45">
      <c r="A96" s="6">
        <f t="shared" si="1"/>
        <v>45842</v>
      </c>
      <c r="B96" s="19">
        <f>B95+'Soil Moisture Worksheet'!S100</f>
        <v>495.10824241580224</v>
      </c>
      <c r="C96" s="20">
        <f>C95+'Application Rate'!C99</f>
        <v>34</v>
      </c>
    </row>
    <row r="97" spans="1:3" x14ac:dyDescent="0.45">
      <c r="A97" s="6">
        <f t="shared" si="1"/>
        <v>45843</v>
      </c>
      <c r="B97" s="19" t="e">
        <f>B96+'Soil Moisture Worksheet'!#REF!</f>
        <v>#REF!</v>
      </c>
      <c r="C97" s="20">
        <f>C96+'Application Rate'!C100</f>
        <v>34</v>
      </c>
    </row>
    <row r="98" spans="1:3" x14ac:dyDescent="0.45">
      <c r="A98" s="6">
        <f t="shared" si="1"/>
        <v>45844</v>
      </c>
      <c r="B98" s="19" t="e">
        <f>B97+'Soil Moisture Worksheet'!#REF!</f>
        <v>#REF!</v>
      </c>
      <c r="C98" s="20">
        <f>C97+'Application Rate'!C101</f>
        <v>34</v>
      </c>
    </row>
    <row r="99" spans="1:3" x14ac:dyDescent="0.45">
      <c r="A99" s="6">
        <f t="shared" si="1"/>
        <v>45845</v>
      </c>
      <c r="B99" s="19" t="e">
        <f>B98+'Soil Moisture Worksheet'!#REF!</f>
        <v>#REF!</v>
      </c>
      <c r="C99" s="20">
        <f>C98+'Application Rate'!C102</f>
        <v>34</v>
      </c>
    </row>
    <row r="100" spans="1:3" x14ac:dyDescent="0.45">
      <c r="A100" s="6">
        <f t="shared" si="1"/>
        <v>45846</v>
      </c>
      <c r="B100" s="19" t="e">
        <f>B99+'Soil Moisture Worksheet'!#REF!</f>
        <v>#REF!</v>
      </c>
      <c r="C100" s="20">
        <f>C99+'Application Rate'!C103</f>
        <v>34</v>
      </c>
    </row>
    <row r="101" spans="1:3" x14ac:dyDescent="0.45">
      <c r="A101" s="6">
        <f t="shared" si="1"/>
        <v>45847</v>
      </c>
      <c r="B101" s="19" t="e">
        <f>B100+'Soil Moisture Worksheet'!#REF!</f>
        <v>#REF!</v>
      </c>
      <c r="C101" s="20">
        <f>C100+'Application Rate'!C104</f>
        <v>34</v>
      </c>
    </row>
    <row r="102" spans="1:3" x14ac:dyDescent="0.45">
      <c r="A102" s="6">
        <f t="shared" si="1"/>
        <v>45848</v>
      </c>
      <c r="B102" s="19" t="e">
        <f>B101+'Soil Moisture Worksheet'!#REF!</f>
        <v>#REF!</v>
      </c>
      <c r="C102" s="20">
        <f>C101+'Application Rate'!C105</f>
        <v>34</v>
      </c>
    </row>
    <row r="103" spans="1:3" x14ac:dyDescent="0.45">
      <c r="A103" s="6">
        <f t="shared" si="1"/>
        <v>45849</v>
      </c>
      <c r="B103" s="19" t="e">
        <f>B102+'Soil Moisture Worksheet'!#REF!</f>
        <v>#REF!</v>
      </c>
      <c r="C103" s="20">
        <f>C102+'Application Rate'!C106</f>
        <v>34</v>
      </c>
    </row>
    <row r="104" spans="1:3" x14ac:dyDescent="0.45">
      <c r="A104" s="6">
        <f t="shared" si="1"/>
        <v>45850</v>
      </c>
      <c r="B104" s="19" t="e">
        <f>B103+'Soil Moisture Worksheet'!#REF!</f>
        <v>#REF!</v>
      </c>
      <c r="C104" s="20">
        <f>C103+'Application Rate'!C107</f>
        <v>34</v>
      </c>
    </row>
    <row r="105" spans="1:3" x14ac:dyDescent="0.45">
      <c r="A105" s="6">
        <f t="shared" si="1"/>
        <v>45851</v>
      </c>
      <c r="B105" s="19" t="e">
        <f>B104+'Soil Moisture Worksheet'!#REF!</f>
        <v>#REF!</v>
      </c>
      <c r="C105" s="20">
        <f>C104+'Application Rate'!C108</f>
        <v>34</v>
      </c>
    </row>
    <row r="106" spans="1:3" x14ac:dyDescent="0.45">
      <c r="A106" s="6">
        <f t="shared" si="1"/>
        <v>45852</v>
      </c>
      <c r="B106" s="19" t="e">
        <f>B105+'Soil Moisture Worksheet'!#REF!</f>
        <v>#REF!</v>
      </c>
      <c r="C106" s="20">
        <f>C105+'Application Rate'!C109</f>
        <v>34</v>
      </c>
    </row>
    <row r="107" spans="1:3" x14ac:dyDescent="0.45">
      <c r="A107" s="6">
        <f t="shared" si="1"/>
        <v>45853</v>
      </c>
      <c r="B107" s="19" t="e">
        <f>B106+'Soil Moisture Worksheet'!#REF!</f>
        <v>#REF!</v>
      </c>
      <c r="C107" s="20">
        <f>C106+'Application Rate'!C110</f>
        <v>34</v>
      </c>
    </row>
    <row r="108" spans="1:3" x14ac:dyDescent="0.45">
      <c r="A108" s="6">
        <f t="shared" si="1"/>
        <v>45854</v>
      </c>
      <c r="B108" s="19" t="e">
        <f>B107+'Soil Moisture Worksheet'!#REF!</f>
        <v>#REF!</v>
      </c>
      <c r="C108" s="20">
        <f>C107+'Application Rate'!C111</f>
        <v>34</v>
      </c>
    </row>
    <row r="109" spans="1:3" x14ac:dyDescent="0.45">
      <c r="A109" s="6">
        <f t="shared" si="1"/>
        <v>45855</v>
      </c>
      <c r="B109" s="19" t="e">
        <f>B108+'Soil Moisture Worksheet'!#REF!</f>
        <v>#REF!</v>
      </c>
      <c r="C109" s="20">
        <f>C108+'Application Rate'!C112</f>
        <v>34</v>
      </c>
    </row>
    <row r="110" spans="1:3" x14ac:dyDescent="0.45">
      <c r="A110" s="6">
        <f t="shared" si="1"/>
        <v>45856</v>
      </c>
      <c r="B110" s="19" t="e">
        <f>B109+'Soil Moisture Worksheet'!#REF!</f>
        <v>#REF!</v>
      </c>
      <c r="C110" s="20">
        <f>C109+'Application Rate'!C113</f>
        <v>34</v>
      </c>
    </row>
    <row r="111" spans="1:3" x14ac:dyDescent="0.45">
      <c r="A111" s="6">
        <f t="shared" si="1"/>
        <v>45857</v>
      </c>
      <c r="B111" s="19" t="e">
        <f>B110+'Soil Moisture Worksheet'!#REF!</f>
        <v>#REF!</v>
      </c>
      <c r="C111" s="20">
        <f>C110+'Application Rate'!C114</f>
        <v>34</v>
      </c>
    </row>
    <row r="112" spans="1:3" x14ac:dyDescent="0.45">
      <c r="A112" s="6">
        <f t="shared" si="1"/>
        <v>45858</v>
      </c>
      <c r="B112" s="19" t="e">
        <f>B111+'Soil Moisture Worksheet'!#REF!</f>
        <v>#REF!</v>
      </c>
      <c r="C112" s="20">
        <f>C111+'Application Rate'!C115</f>
        <v>34</v>
      </c>
    </row>
    <row r="113" spans="1:3" x14ac:dyDescent="0.45">
      <c r="A113" s="6">
        <f t="shared" si="1"/>
        <v>45859</v>
      </c>
      <c r="B113" s="19" t="e">
        <f>B112+'Soil Moisture Worksheet'!#REF!</f>
        <v>#REF!</v>
      </c>
      <c r="C113" s="20">
        <f>C112+'Application Rate'!C116</f>
        <v>34</v>
      </c>
    </row>
    <row r="114" spans="1:3" x14ac:dyDescent="0.45">
      <c r="A114" s="6">
        <f t="shared" si="1"/>
        <v>45860</v>
      </c>
      <c r="B114" s="19" t="e">
        <f>B113+'Soil Moisture Worksheet'!#REF!</f>
        <v>#REF!</v>
      </c>
      <c r="C114" s="20">
        <f>C113+'Application Rate'!C117</f>
        <v>34</v>
      </c>
    </row>
    <row r="115" spans="1:3" x14ac:dyDescent="0.45">
      <c r="A115" s="6">
        <f t="shared" si="1"/>
        <v>45861</v>
      </c>
      <c r="B115" s="19" t="e">
        <f>B114+'Soil Moisture Worksheet'!#REF!</f>
        <v>#REF!</v>
      </c>
      <c r="C115" s="20">
        <f>C114+'Application Rate'!C118</f>
        <v>34</v>
      </c>
    </row>
    <row r="116" spans="1:3" x14ac:dyDescent="0.45">
      <c r="A116" s="6">
        <f t="shared" si="1"/>
        <v>45862</v>
      </c>
      <c r="B116" s="19" t="e">
        <f>B115+'Soil Moisture Worksheet'!#REF!</f>
        <v>#REF!</v>
      </c>
      <c r="C116" s="20">
        <f>C115+'Application Rate'!C119</f>
        <v>34</v>
      </c>
    </row>
    <row r="117" spans="1:3" x14ac:dyDescent="0.45">
      <c r="A117" s="6">
        <f t="shared" si="1"/>
        <v>45863</v>
      </c>
      <c r="B117" s="19" t="e">
        <f>B116+'Soil Moisture Worksheet'!#REF!</f>
        <v>#REF!</v>
      </c>
      <c r="C117" s="20">
        <f>C116+'Application Rate'!C120</f>
        <v>34</v>
      </c>
    </row>
    <row r="118" spans="1:3" x14ac:dyDescent="0.45">
      <c r="A118" s="6">
        <f t="shared" si="1"/>
        <v>45864</v>
      </c>
      <c r="B118" s="19" t="e">
        <f>B117+'Soil Moisture Worksheet'!#REF!</f>
        <v>#REF!</v>
      </c>
      <c r="C118" s="20">
        <f>C117+'Application Rate'!C121</f>
        <v>34</v>
      </c>
    </row>
    <row r="119" spans="1:3" x14ac:dyDescent="0.45">
      <c r="A119" s="6">
        <f t="shared" si="1"/>
        <v>45865</v>
      </c>
      <c r="B119" s="19" t="e">
        <f>B118+'Soil Moisture Worksheet'!#REF!</f>
        <v>#REF!</v>
      </c>
      <c r="C119" s="20">
        <f>C118+'Application Rate'!C122</f>
        <v>34</v>
      </c>
    </row>
    <row r="120" spans="1:3" x14ac:dyDescent="0.45">
      <c r="A120" s="6">
        <f t="shared" si="1"/>
        <v>45866</v>
      </c>
      <c r="B120" s="19" t="e">
        <f>B119+'Soil Moisture Worksheet'!#REF!</f>
        <v>#REF!</v>
      </c>
      <c r="C120" s="20">
        <f>C119+'Application Rate'!C123</f>
        <v>34</v>
      </c>
    </row>
    <row r="121" spans="1:3" x14ac:dyDescent="0.45">
      <c r="A121" s="6">
        <f t="shared" si="1"/>
        <v>45867</v>
      </c>
      <c r="B121" s="19" t="e">
        <f>B120+'Soil Moisture Worksheet'!#REF!</f>
        <v>#REF!</v>
      </c>
      <c r="C121" s="20">
        <f>C120+'Application Rate'!C124</f>
        <v>34</v>
      </c>
    </row>
    <row r="122" spans="1:3" x14ac:dyDescent="0.45">
      <c r="A122" s="6">
        <f t="shared" si="1"/>
        <v>45868</v>
      </c>
      <c r="B122" s="19" t="e">
        <f>B121+'Soil Moisture Worksheet'!#REF!</f>
        <v>#REF!</v>
      </c>
      <c r="C122" s="20">
        <f>C121+'Application Rate'!C125</f>
        <v>34</v>
      </c>
    </row>
    <row r="123" spans="1:3" x14ac:dyDescent="0.45">
      <c r="A123" s="6">
        <f t="shared" si="1"/>
        <v>45869</v>
      </c>
      <c r="B123" s="19" t="e">
        <f>B122+'Soil Moisture Worksheet'!#REF!</f>
        <v>#REF!</v>
      </c>
      <c r="C123" s="20">
        <f>C122+'Application Rate'!C126</f>
        <v>34</v>
      </c>
    </row>
    <row r="124" spans="1:3" x14ac:dyDescent="0.45">
      <c r="A124" s="6">
        <f t="shared" si="1"/>
        <v>45870</v>
      </c>
      <c r="B124" s="19" t="e">
        <f>B123+'Soil Moisture Worksheet'!#REF!</f>
        <v>#REF!</v>
      </c>
      <c r="C124" s="20">
        <f>C123+'Application Rate'!C127</f>
        <v>34</v>
      </c>
    </row>
    <row r="125" spans="1:3" x14ac:dyDescent="0.45">
      <c r="A125" s="6">
        <f t="shared" si="1"/>
        <v>45871</v>
      </c>
      <c r="B125" s="19" t="e">
        <f>B124+'Soil Moisture Worksheet'!#REF!</f>
        <v>#REF!</v>
      </c>
      <c r="C125" s="20">
        <f>C124+'Application Rate'!C128</f>
        <v>34</v>
      </c>
    </row>
    <row r="126" spans="1:3" x14ac:dyDescent="0.45">
      <c r="A126" s="6">
        <f t="shared" si="1"/>
        <v>45872</v>
      </c>
      <c r="B126" s="19" t="e">
        <f>B125+'Soil Moisture Worksheet'!#REF!</f>
        <v>#REF!</v>
      </c>
      <c r="C126" s="20">
        <f>C125+'Application Rate'!C129</f>
        <v>34</v>
      </c>
    </row>
    <row r="127" spans="1:3" x14ac:dyDescent="0.45">
      <c r="A127" s="6">
        <f t="shared" si="1"/>
        <v>45873</v>
      </c>
      <c r="B127" s="19" t="e">
        <f>B126+'Soil Moisture Worksheet'!#REF!</f>
        <v>#REF!</v>
      </c>
      <c r="C127" s="20">
        <f>C126+'Application Rate'!C130</f>
        <v>34</v>
      </c>
    </row>
    <row r="128" spans="1:3" x14ac:dyDescent="0.45">
      <c r="A128" s="6">
        <f t="shared" si="1"/>
        <v>45874</v>
      </c>
      <c r="B128" s="19" t="e">
        <f>B127+'Soil Moisture Worksheet'!#REF!</f>
        <v>#REF!</v>
      </c>
      <c r="C128" s="20">
        <f>C127+'Application Rate'!C131</f>
        <v>34</v>
      </c>
    </row>
    <row r="129" spans="1:3" x14ac:dyDescent="0.45">
      <c r="A129" s="6">
        <f t="shared" si="1"/>
        <v>45875</v>
      </c>
      <c r="B129" s="19" t="e">
        <f>B128+'Soil Moisture Worksheet'!#REF!</f>
        <v>#REF!</v>
      </c>
      <c r="C129" s="20">
        <f>C128+'Application Rate'!C132</f>
        <v>34</v>
      </c>
    </row>
    <row r="130" spans="1:3" x14ac:dyDescent="0.45">
      <c r="A130" s="6">
        <f t="shared" si="1"/>
        <v>45876</v>
      </c>
      <c r="B130" s="19" t="e">
        <f>B129+'Soil Moisture Worksheet'!#REF!</f>
        <v>#REF!</v>
      </c>
      <c r="C130" s="20">
        <f>C129+'Application Rate'!C133</f>
        <v>34</v>
      </c>
    </row>
    <row r="131" spans="1:3" x14ac:dyDescent="0.45">
      <c r="A131" s="6">
        <f t="shared" si="1"/>
        <v>45877</v>
      </c>
      <c r="B131" s="19" t="e">
        <f>B130+'Soil Moisture Worksheet'!#REF!</f>
        <v>#REF!</v>
      </c>
      <c r="C131" s="20">
        <f>C130+'Application Rate'!C134</f>
        <v>34</v>
      </c>
    </row>
    <row r="132" spans="1:3" x14ac:dyDescent="0.45">
      <c r="A132" s="6">
        <f t="shared" ref="A132:A179" si="2">A131+1</f>
        <v>45878</v>
      </c>
      <c r="B132" s="19" t="e">
        <f>B131+'Soil Moisture Worksheet'!S101</f>
        <v>#REF!</v>
      </c>
      <c r="C132" s="20">
        <f>C131+'Application Rate'!C135</f>
        <v>34</v>
      </c>
    </row>
    <row r="133" spans="1:3" x14ac:dyDescent="0.45">
      <c r="A133" s="6">
        <f t="shared" si="2"/>
        <v>45879</v>
      </c>
      <c r="B133" s="19" t="e">
        <f>B132+'Soil Moisture Worksheet'!S102</f>
        <v>#REF!</v>
      </c>
      <c r="C133" s="20">
        <f>C132+'Application Rate'!C136</f>
        <v>34</v>
      </c>
    </row>
    <row r="134" spans="1:3" x14ac:dyDescent="0.45">
      <c r="A134" s="6">
        <f t="shared" si="2"/>
        <v>45880</v>
      </c>
      <c r="B134" s="19" t="e">
        <f>B133+'Soil Moisture Worksheet'!S103</f>
        <v>#REF!</v>
      </c>
      <c r="C134" s="20">
        <f>C133+'Application Rate'!C137</f>
        <v>34</v>
      </c>
    </row>
    <row r="135" spans="1:3" x14ac:dyDescent="0.45">
      <c r="A135" s="6">
        <f t="shared" si="2"/>
        <v>45881</v>
      </c>
      <c r="B135" s="19" t="e">
        <f>B134+'Soil Moisture Worksheet'!S104</f>
        <v>#REF!</v>
      </c>
      <c r="C135" s="20">
        <f>C134+'Application Rate'!C138</f>
        <v>34</v>
      </c>
    </row>
    <row r="136" spans="1:3" x14ac:dyDescent="0.45">
      <c r="A136" s="6">
        <f t="shared" si="2"/>
        <v>45882</v>
      </c>
      <c r="B136" s="19" t="e">
        <f>B135+'Soil Moisture Worksheet'!S105</f>
        <v>#REF!</v>
      </c>
      <c r="C136" s="20">
        <f>C135+'Application Rate'!C139</f>
        <v>34</v>
      </c>
    </row>
    <row r="137" spans="1:3" x14ac:dyDescent="0.45">
      <c r="A137" s="6">
        <f t="shared" si="2"/>
        <v>45883</v>
      </c>
      <c r="B137" s="19" t="e">
        <f>B136+'Soil Moisture Worksheet'!S106</f>
        <v>#REF!</v>
      </c>
      <c r="C137" s="20">
        <f>C136+'Application Rate'!C140</f>
        <v>34</v>
      </c>
    </row>
    <row r="138" spans="1:3" x14ac:dyDescent="0.45">
      <c r="A138" s="6">
        <f t="shared" si="2"/>
        <v>45884</v>
      </c>
      <c r="B138" s="19" t="e">
        <f>B137+'Soil Moisture Worksheet'!S107</f>
        <v>#REF!</v>
      </c>
      <c r="C138" s="20">
        <f>C137+'Application Rate'!C141</f>
        <v>34</v>
      </c>
    </row>
    <row r="139" spans="1:3" x14ac:dyDescent="0.45">
      <c r="A139" s="6">
        <f t="shared" si="2"/>
        <v>45885</v>
      </c>
      <c r="B139" s="19" t="e">
        <f>B138+'Soil Moisture Worksheet'!S108</f>
        <v>#REF!</v>
      </c>
      <c r="C139" s="20">
        <f>C138+'Application Rate'!C142</f>
        <v>34</v>
      </c>
    </row>
    <row r="140" spans="1:3" x14ac:dyDescent="0.45">
      <c r="A140" s="6">
        <f t="shared" si="2"/>
        <v>45886</v>
      </c>
      <c r="B140" s="19" t="e">
        <f>B139+'Soil Moisture Worksheet'!S109</f>
        <v>#REF!</v>
      </c>
      <c r="C140" s="20">
        <f>C139+'Application Rate'!C143</f>
        <v>34</v>
      </c>
    </row>
    <row r="141" spans="1:3" x14ac:dyDescent="0.45">
      <c r="A141" s="6">
        <f t="shared" si="2"/>
        <v>45887</v>
      </c>
      <c r="B141" s="19" t="e">
        <f>B140+'Soil Moisture Worksheet'!S110</f>
        <v>#REF!</v>
      </c>
      <c r="C141" s="20">
        <f>C140+'Application Rate'!C144</f>
        <v>34</v>
      </c>
    </row>
    <row r="142" spans="1:3" x14ac:dyDescent="0.45">
      <c r="A142" s="6">
        <f t="shared" si="2"/>
        <v>45888</v>
      </c>
      <c r="B142" s="19" t="e">
        <f>B141+'Soil Moisture Worksheet'!S111</f>
        <v>#REF!</v>
      </c>
      <c r="C142" s="20">
        <f>C141+'Application Rate'!C145</f>
        <v>34</v>
      </c>
    </row>
    <row r="143" spans="1:3" x14ac:dyDescent="0.45">
      <c r="A143" s="6">
        <f t="shared" si="2"/>
        <v>45889</v>
      </c>
      <c r="B143" s="19" t="e">
        <f>B142+'Soil Moisture Worksheet'!S112</f>
        <v>#REF!</v>
      </c>
      <c r="C143" s="20">
        <f>C142+'Application Rate'!C146</f>
        <v>34</v>
      </c>
    </row>
    <row r="144" spans="1:3" x14ac:dyDescent="0.45">
      <c r="A144" s="6">
        <f t="shared" si="2"/>
        <v>45890</v>
      </c>
      <c r="B144" s="19" t="e">
        <f>B143+'Soil Moisture Worksheet'!S113</f>
        <v>#REF!</v>
      </c>
      <c r="C144" s="20">
        <f>C143+'Application Rate'!C147</f>
        <v>34</v>
      </c>
    </row>
    <row r="145" spans="1:3" x14ac:dyDescent="0.45">
      <c r="A145" s="6">
        <f t="shared" si="2"/>
        <v>45891</v>
      </c>
      <c r="B145" s="19" t="e">
        <f>B144+'Soil Moisture Worksheet'!S114</f>
        <v>#REF!</v>
      </c>
      <c r="C145" s="20">
        <f>C144+'Application Rate'!C148</f>
        <v>34</v>
      </c>
    </row>
    <row r="146" spans="1:3" x14ac:dyDescent="0.45">
      <c r="A146" s="6">
        <f t="shared" si="2"/>
        <v>45892</v>
      </c>
      <c r="B146" s="19" t="e">
        <f>B145+'Soil Moisture Worksheet'!S115</f>
        <v>#REF!</v>
      </c>
      <c r="C146" s="20">
        <f>C145+'Application Rate'!C149</f>
        <v>34</v>
      </c>
    </row>
    <row r="147" spans="1:3" x14ac:dyDescent="0.45">
      <c r="A147" s="6">
        <f t="shared" si="2"/>
        <v>45893</v>
      </c>
      <c r="B147" s="19" t="e">
        <f>B146+'Soil Moisture Worksheet'!S116</f>
        <v>#REF!</v>
      </c>
      <c r="C147" s="20">
        <f>C146+'Application Rate'!C150</f>
        <v>34</v>
      </c>
    </row>
    <row r="148" spans="1:3" x14ac:dyDescent="0.45">
      <c r="A148" s="6">
        <f t="shared" si="2"/>
        <v>45894</v>
      </c>
      <c r="B148" s="19" t="e">
        <f>B147+'Soil Moisture Worksheet'!S117</f>
        <v>#REF!</v>
      </c>
      <c r="C148" s="20">
        <f>C147+'Application Rate'!C151</f>
        <v>34</v>
      </c>
    </row>
    <row r="149" spans="1:3" x14ac:dyDescent="0.45">
      <c r="A149" s="6">
        <f t="shared" si="2"/>
        <v>45895</v>
      </c>
      <c r="B149" s="19" t="e">
        <f>B148+'Soil Moisture Worksheet'!S118</f>
        <v>#REF!</v>
      </c>
      <c r="C149" s="20">
        <f>C148+'Application Rate'!C152</f>
        <v>34</v>
      </c>
    </row>
    <row r="150" spans="1:3" x14ac:dyDescent="0.45">
      <c r="A150" s="6">
        <f t="shared" si="2"/>
        <v>45896</v>
      </c>
      <c r="B150" s="19" t="e">
        <f>B149+'Soil Moisture Worksheet'!S119</f>
        <v>#REF!</v>
      </c>
      <c r="C150" s="20">
        <f>C149+'Application Rate'!C153</f>
        <v>34</v>
      </c>
    </row>
    <row r="151" spans="1:3" x14ac:dyDescent="0.45">
      <c r="A151" s="6">
        <f t="shared" si="2"/>
        <v>45897</v>
      </c>
      <c r="B151" s="19" t="e">
        <f>B150+'Soil Moisture Worksheet'!S120</f>
        <v>#REF!</v>
      </c>
      <c r="C151" s="20">
        <f>C150+'Application Rate'!C154</f>
        <v>34</v>
      </c>
    </row>
    <row r="152" spans="1:3" x14ac:dyDescent="0.45">
      <c r="A152" s="6">
        <f t="shared" si="2"/>
        <v>45898</v>
      </c>
      <c r="B152" s="19" t="e">
        <f>B151+'Soil Moisture Worksheet'!S121</f>
        <v>#REF!</v>
      </c>
      <c r="C152" s="20">
        <f>C151+'Application Rate'!C155</f>
        <v>34</v>
      </c>
    </row>
    <row r="153" spans="1:3" x14ac:dyDescent="0.45">
      <c r="A153" s="6">
        <f t="shared" si="2"/>
        <v>45899</v>
      </c>
      <c r="B153" s="19" t="e">
        <f>B152+'Soil Moisture Worksheet'!S122</f>
        <v>#REF!</v>
      </c>
      <c r="C153" s="20">
        <f>C152+'Application Rate'!C156</f>
        <v>34</v>
      </c>
    </row>
    <row r="154" spans="1:3" x14ac:dyDescent="0.45">
      <c r="A154" s="6">
        <f t="shared" si="2"/>
        <v>45900</v>
      </c>
      <c r="B154" s="19" t="e">
        <f>B153+'Soil Moisture Worksheet'!S123</f>
        <v>#REF!</v>
      </c>
      <c r="C154" s="20">
        <f>C153+'Application Rate'!C157</f>
        <v>34</v>
      </c>
    </row>
    <row r="155" spans="1:3" x14ac:dyDescent="0.45">
      <c r="A155" s="6">
        <f t="shared" si="2"/>
        <v>45901</v>
      </c>
      <c r="B155" s="19" t="e">
        <f>B154+'Soil Moisture Worksheet'!S124</f>
        <v>#REF!</v>
      </c>
      <c r="C155" s="20">
        <f>C154+'Application Rate'!C158</f>
        <v>34</v>
      </c>
    </row>
    <row r="156" spans="1:3" x14ac:dyDescent="0.45">
      <c r="A156" s="6">
        <f t="shared" si="2"/>
        <v>45902</v>
      </c>
      <c r="B156" s="19" t="e">
        <f>B155+'Soil Moisture Worksheet'!S125</f>
        <v>#REF!</v>
      </c>
      <c r="C156" s="20">
        <f>C155+'Application Rate'!C159</f>
        <v>34</v>
      </c>
    </row>
    <row r="157" spans="1:3" x14ac:dyDescent="0.45">
      <c r="A157" s="6">
        <f t="shared" si="2"/>
        <v>45903</v>
      </c>
      <c r="B157" s="19" t="e">
        <f>B156+'Soil Moisture Worksheet'!S126</f>
        <v>#REF!</v>
      </c>
      <c r="C157" s="20">
        <f>C156+'Application Rate'!C160</f>
        <v>34</v>
      </c>
    </row>
    <row r="158" spans="1:3" x14ac:dyDescent="0.45">
      <c r="A158" s="6">
        <f t="shared" si="2"/>
        <v>45904</v>
      </c>
      <c r="B158" s="19" t="e">
        <f>B157+'Soil Moisture Worksheet'!S127</f>
        <v>#REF!</v>
      </c>
      <c r="C158" s="20">
        <f>C157+'Application Rate'!C161</f>
        <v>34</v>
      </c>
    </row>
    <row r="159" spans="1:3" x14ac:dyDescent="0.45">
      <c r="A159" s="6">
        <f t="shared" si="2"/>
        <v>45905</v>
      </c>
      <c r="B159" s="19" t="e">
        <f>B158+'Soil Moisture Worksheet'!S128</f>
        <v>#REF!</v>
      </c>
      <c r="C159" s="20">
        <f>C158+'Application Rate'!C162</f>
        <v>34</v>
      </c>
    </row>
    <row r="160" spans="1:3" x14ac:dyDescent="0.45">
      <c r="A160" s="6">
        <f t="shared" si="2"/>
        <v>45906</v>
      </c>
      <c r="B160" s="19" t="e">
        <f>B159+'Soil Moisture Worksheet'!S129</f>
        <v>#REF!</v>
      </c>
      <c r="C160" s="20">
        <f>C159+'Application Rate'!C163</f>
        <v>34</v>
      </c>
    </row>
    <row r="161" spans="1:3" x14ac:dyDescent="0.45">
      <c r="A161" s="6">
        <f t="shared" si="2"/>
        <v>45907</v>
      </c>
      <c r="B161" s="19" t="e">
        <f>B160+'Soil Moisture Worksheet'!S130</f>
        <v>#REF!</v>
      </c>
      <c r="C161" s="20">
        <f>C160+'Application Rate'!C164</f>
        <v>34</v>
      </c>
    </row>
    <row r="162" spans="1:3" x14ac:dyDescent="0.45">
      <c r="A162" s="6">
        <f t="shared" si="2"/>
        <v>45908</v>
      </c>
      <c r="B162" s="19" t="e">
        <f>B161+'Soil Moisture Worksheet'!S131</f>
        <v>#REF!</v>
      </c>
      <c r="C162" s="20">
        <f>C161+'Application Rate'!C165</f>
        <v>34</v>
      </c>
    </row>
    <row r="163" spans="1:3" x14ac:dyDescent="0.45">
      <c r="A163" s="6">
        <f t="shared" si="2"/>
        <v>45909</v>
      </c>
      <c r="B163" s="19" t="e">
        <f>B162+'Soil Moisture Worksheet'!S132</f>
        <v>#REF!</v>
      </c>
      <c r="C163" s="20">
        <f>C162+'Application Rate'!C166</f>
        <v>34</v>
      </c>
    </row>
    <row r="164" spans="1:3" x14ac:dyDescent="0.45">
      <c r="A164" s="6">
        <f t="shared" si="2"/>
        <v>45910</v>
      </c>
      <c r="B164" s="19" t="e">
        <f>B163+'Soil Moisture Worksheet'!S133</f>
        <v>#REF!</v>
      </c>
      <c r="C164" s="20">
        <f>C163+'Application Rate'!C167</f>
        <v>34</v>
      </c>
    </row>
    <row r="165" spans="1:3" x14ac:dyDescent="0.45">
      <c r="A165" s="6">
        <f t="shared" si="2"/>
        <v>45911</v>
      </c>
      <c r="B165" s="19" t="e">
        <f>B164+'Soil Moisture Worksheet'!S134</f>
        <v>#REF!</v>
      </c>
      <c r="C165" s="20">
        <f>C164+'Application Rate'!C168</f>
        <v>34</v>
      </c>
    </row>
    <row r="166" spans="1:3" x14ac:dyDescent="0.45">
      <c r="A166" s="6">
        <f t="shared" si="2"/>
        <v>45912</v>
      </c>
      <c r="B166" s="19" t="e">
        <f>B165+'Soil Moisture Worksheet'!S135</f>
        <v>#REF!</v>
      </c>
      <c r="C166" s="20">
        <f>C165+'Application Rate'!C169</f>
        <v>34</v>
      </c>
    </row>
    <row r="167" spans="1:3" x14ac:dyDescent="0.45">
      <c r="A167" s="6">
        <f t="shared" si="2"/>
        <v>45913</v>
      </c>
      <c r="B167" s="19" t="e">
        <f>B166+'Soil Moisture Worksheet'!S136</f>
        <v>#REF!</v>
      </c>
      <c r="C167" s="20">
        <f>C166+'Application Rate'!C170</f>
        <v>34</v>
      </c>
    </row>
    <row r="168" spans="1:3" x14ac:dyDescent="0.45">
      <c r="A168" s="6">
        <f t="shared" si="2"/>
        <v>45914</v>
      </c>
      <c r="B168" s="19" t="e">
        <f>B167+'Soil Moisture Worksheet'!#REF!</f>
        <v>#REF!</v>
      </c>
      <c r="C168" s="20">
        <f>C167+'Application Rate'!C171</f>
        <v>34</v>
      </c>
    </row>
    <row r="169" spans="1:3" x14ac:dyDescent="0.45">
      <c r="A169" s="6">
        <f t="shared" si="2"/>
        <v>45915</v>
      </c>
      <c r="B169" s="19" t="e">
        <f>B168+'Soil Moisture Worksheet'!#REF!</f>
        <v>#REF!</v>
      </c>
      <c r="C169" s="20">
        <f>C168+'Application Rate'!C172</f>
        <v>34</v>
      </c>
    </row>
    <row r="170" spans="1:3" x14ac:dyDescent="0.45">
      <c r="A170" s="6">
        <f t="shared" si="2"/>
        <v>45916</v>
      </c>
      <c r="B170" s="19" t="e">
        <f>B169+'Soil Moisture Worksheet'!#REF!</f>
        <v>#REF!</v>
      </c>
      <c r="C170" s="20">
        <f>C169+'Application Rate'!C173</f>
        <v>34</v>
      </c>
    </row>
    <row r="171" spans="1:3" x14ac:dyDescent="0.45">
      <c r="A171" s="6">
        <f t="shared" si="2"/>
        <v>45917</v>
      </c>
      <c r="B171" s="19" t="e">
        <f>B170+'Soil Moisture Worksheet'!#REF!</f>
        <v>#REF!</v>
      </c>
      <c r="C171" s="20">
        <f>C170+'Application Rate'!C174</f>
        <v>34</v>
      </c>
    </row>
    <row r="172" spans="1:3" x14ac:dyDescent="0.45">
      <c r="A172" s="6">
        <f t="shared" si="2"/>
        <v>45918</v>
      </c>
      <c r="B172" s="19" t="e">
        <f>B171+'Soil Moisture Worksheet'!#REF!</f>
        <v>#REF!</v>
      </c>
      <c r="C172" s="20">
        <f>C171+'Application Rate'!C175</f>
        <v>34</v>
      </c>
    </row>
    <row r="173" spans="1:3" x14ac:dyDescent="0.45">
      <c r="A173" s="6">
        <f t="shared" si="2"/>
        <v>45919</v>
      </c>
      <c r="B173" s="19" t="e">
        <f>B172+'Soil Moisture Worksheet'!#REF!</f>
        <v>#REF!</v>
      </c>
      <c r="C173" s="20">
        <f>C172+'Application Rate'!C176</f>
        <v>34</v>
      </c>
    </row>
    <row r="174" spans="1:3" x14ac:dyDescent="0.45">
      <c r="A174" s="6">
        <f t="shared" si="2"/>
        <v>45920</v>
      </c>
      <c r="B174" s="19" t="e">
        <f>B173+'Soil Moisture Worksheet'!#REF!</f>
        <v>#REF!</v>
      </c>
      <c r="C174" s="20">
        <f>C173+'Application Rate'!C177</f>
        <v>34</v>
      </c>
    </row>
    <row r="175" spans="1:3" x14ac:dyDescent="0.45">
      <c r="A175" s="6">
        <f t="shared" si="2"/>
        <v>45921</v>
      </c>
      <c r="B175" s="19" t="e">
        <f>B174+'Soil Moisture Worksheet'!S137</f>
        <v>#REF!</v>
      </c>
      <c r="C175" s="20">
        <f>C174+'Application Rate'!C178</f>
        <v>34</v>
      </c>
    </row>
    <row r="176" spans="1:3" x14ac:dyDescent="0.45">
      <c r="A176" s="6">
        <f t="shared" si="2"/>
        <v>45922</v>
      </c>
      <c r="B176" s="19" t="e">
        <f>B175+'Soil Moisture Worksheet'!S138</f>
        <v>#REF!</v>
      </c>
      <c r="C176" s="20">
        <f>C175+'Application Rate'!C179</f>
        <v>34</v>
      </c>
    </row>
    <row r="177" spans="1:3" x14ac:dyDescent="0.45">
      <c r="A177" s="6">
        <f t="shared" si="2"/>
        <v>45923</v>
      </c>
      <c r="B177" s="19" t="e">
        <f>B176+'Soil Moisture Worksheet'!S139</f>
        <v>#REF!</v>
      </c>
      <c r="C177" s="20">
        <f>C176+'Application Rate'!C180</f>
        <v>34</v>
      </c>
    </row>
    <row r="178" spans="1:3" x14ac:dyDescent="0.45">
      <c r="A178" s="6">
        <f t="shared" si="2"/>
        <v>45924</v>
      </c>
      <c r="B178" s="19" t="e">
        <f>B177+'Soil Moisture Worksheet'!S140</f>
        <v>#REF!</v>
      </c>
      <c r="C178" s="20">
        <f>C177+'Application Rate'!C181</f>
        <v>34</v>
      </c>
    </row>
    <row r="179" spans="1:3" x14ac:dyDescent="0.45">
      <c r="A179" s="6">
        <f t="shared" si="2"/>
        <v>45925</v>
      </c>
      <c r="B179" s="19" t="e">
        <f>B178+'Soil Moisture Worksheet'!S141</f>
        <v>#REF!</v>
      </c>
      <c r="C179" s="20">
        <f>C178+'Application Rate'!C182</f>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241F1-F618-4737-9ADB-1AE4EE6FC992}">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ETo Penman Montheit FAO 56</vt:lpstr>
      <vt:lpstr>Soil Moisture Worksheet</vt:lpstr>
      <vt:lpstr>Application Rate</vt:lpstr>
      <vt:lpstr>Kc calculation</vt:lpstr>
      <vt:lpstr>Soil Moisture Graph</vt:lpstr>
      <vt:lpstr>ETc adj</vt:lpstr>
      <vt:lpstr>Crop Stress Factor</vt:lpstr>
      <vt:lpstr>Cumulative ET vs. Irrigation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eharmsen</dc:creator>
  <cp:lastModifiedBy>ANAS MANSOURI (RDI)</cp:lastModifiedBy>
  <dcterms:created xsi:type="dcterms:W3CDTF">2008-03-04T16:15:06Z</dcterms:created>
  <dcterms:modified xsi:type="dcterms:W3CDTF">2025-04-02T14:25:05Z</dcterms:modified>
</cp:coreProperties>
</file>