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<sst xmlns="http://schemas.openxmlformats.org/spreadsheetml/2006/main" count="655" uniqueCount="432">
  <si>
    <t>Product code</t>
  </si>
  <si>
    <t>Product</t>
  </si>
  <si>
    <t>Manufacturer</t>
  </si>
  <si>
    <t>Manufacturer code</t>
  </si>
  <si>
    <t>Vendor</t>
  </si>
  <si>
    <t>Vendor code</t>
  </si>
  <si>
    <t>Total Order Quantity Round Up</t>
  </si>
  <si>
    <t>Order notes</t>
  </si>
  <si>
    <t>Lead time</t>
  </si>
  <si>
    <t>Package cost</t>
  </si>
  <si>
    <t>Units per package</t>
  </si>
  <si>
    <t>Unit cost</t>
  </si>
  <si>
    <t>Quantity of units quoted</t>
  </si>
  <si>
    <t>Total cost</t>
  </si>
  <si>
    <t>Quote notes</t>
  </si>
  <si>
    <t>Quantity to expedite to Miami</t>
  </si>
  <si>
    <t>Remaining</t>
  </si>
  <si>
    <t>Miami Status</t>
  </si>
  <si>
    <t>UHM Status</t>
  </si>
  <si>
    <t>Reception notes</t>
  </si>
  <si>
    <t>BR50</t>
  </si>
  <si>
    <t>Adapter, Metered dose inhaler</t>
  </si>
  <si>
    <t>Teleflex Medical</t>
  </si>
  <si>
    <t>McKesson Medical</t>
  </si>
  <si>
    <t>UU25</t>
  </si>
  <si>
    <t>Administration set, IV solution, Gravity, 60 drops/mL, with 110in tubing</t>
  </si>
  <si>
    <t>Baxter</t>
  </si>
  <si>
    <t>2C7554</t>
  </si>
  <si>
    <t>MF33</t>
  </si>
  <si>
    <t>Airway, Nasopharyngeal, Sterile, 26Fr x 140mm</t>
  </si>
  <si>
    <t>TC75</t>
  </si>
  <si>
    <t>Airway, Nasopharyngeal, Sterile, 30Fr x 165mm</t>
  </si>
  <si>
    <t>UP39</t>
  </si>
  <si>
    <t>Airway, Nasopharyngeal, Sterile, 34Fr x 175mm</t>
  </si>
  <si>
    <t>HE07</t>
  </si>
  <si>
    <t>Airway, Oropharyngeal, Guedel, Nonsterile, Single-use, 50mm</t>
  </si>
  <si>
    <t>McKesson Brand</t>
  </si>
  <si>
    <t>16-251G</t>
  </si>
  <si>
    <t>JP71</t>
  </si>
  <si>
    <t>Airway, Oropharyngeal, Guedel, Nonsterile, Single-use, 90mm, Size 9</t>
  </si>
  <si>
    <t>16-291G</t>
  </si>
  <si>
    <t>NM55</t>
  </si>
  <si>
    <t>Alcohol, Isopropyl 70%, 16oz</t>
  </si>
  <si>
    <t>23-D0022</t>
  </si>
  <si>
    <t>RG92</t>
  </si>
  <si>
    <t>Applicator, Cotton tip, Wood shaft, Nonsterile, 6in</t>
  </si>
  <si>
    <t>24-106</t>
  </si>
  <si>
    <t>ST77</t>
  </si>
  <si>
    <t>Apron, Utility, 36in x 42in</t>
  </si>
  <si>
    <t>Graham-Field</t>
  </si>
  <si>
    <t>BA03</t>
  </si>
  <si>
    <t>Bag, Infectious waste, 24in x 32in</t>
  </si>
  <si>
    <t>DP78</t>
  </si>
  <si>
    <t>Bag, Infuser, 1000mL</t>
  </si>
  <si>
    <t>Ethox</t>
  </si>
  <si>
    <t>JQ88</t>
  </si>
  <si>
    <t>Bag, Specimen transport, 6in x 9in</t>
  </si>
  <si>
    <t>79-LAB20609</t>
  </si>
  <si>
    <t>EB95</t>
  </si>
  <si>
    <t>Bakri Postpartum Balloon</t>
  </si>
  <si>
    <t>Cook Medical</t>
  </si>
  <si>
    <t>G30673</t>
  </si>
  <si>
    <t>GP75</t>
  </si>
  <si>
    <t>Bandage, Elastic, with Clip, Nonsterile, 4in x 5yd</t>
  </si>
  <si>
    <t>16-1233-4</t>
  </si>
  <si>
    <t>AD19</t>
  </si>
  <si>
    <t>Bandage, Self-adhesive, Nonsterile, 4in x 5yd</t>
  </si>
  <si>
    <t>16-3404</t>
  </si>
  <si>
    <t>CN01</t>
  </si>
  <si>
    <t>Bandage, Self-adhesive, Nonsterile, 6in x 5yd</t>
  </si>
  <si>
    <t>16-3606</t>
  </si>
  <si>
    <t>AD16</t>
  </si>
  <si>
    <t>Blade, Clipper Assembly, Disposable</t>
  </si>
  <si>
    <t>3m</t>
  </si>
  <si>
    <t>UP41</t>
  </si>
  <si>
    <t>Blade, Scalpel, Sterile, Single-use, Size 10</t>
  </si>
  <si>
    <t>16-63410</t>
  </si>
  <si>
    <t>ZB92</t>
  </si>
  <si>
    <t>Blade, Scalpel, Sterile, Single-use, Size 11</t>
  </si>
  <si>
    <t>16-63411</t>
  </si>
  <si>
    <t>SR70</t>
  </si>
  <si>
    <t>Blade, Scalpel, Sterile, Single-use, Size 15</t>
  </si>
  <si>
    <t>16-63415</t>
  </si>
  <si>
    <t>HR36</t>
  </si>
  <si>
    <t>Body bag, Adult</t>
  </si>
  <si>
    <t>Busse Hospital Disposables</t>
  </si>
  <si>
    <t>AT97</t>
  </si>
  <si>
    <t>Breathing circuit, with filter, 2 limb, Unheated, 1L breathing bag, 60in, Pediatric</t>
  </si>
  <si>
    <t>Smiths Medical</t>
  </si>
  <si>
    <t>XP22</t>
  </si>
  <si>
    <t>Cannula, Nasal, 7ft, Adult</t>
  </si>
  <si>
    <t>86-302E</t>
  </si>
  <si>
    <t>GS97</t>
  </si>
  <si>
    <t>Cannula, Nasal, 7ft, Infant</t>
  </si>
  <si>
    <t>Salter Labs</t>
  </si>
  <si>
    <t>1601-7-50</t>
  </si>
  <si>
    <t>AV85</t>
  </si>
  <si>
    <t>Cannula, Nasal, 7ft, Pediatric</t>
  </si>
  <si>
    <t>86-332E</t>
  </si>
  <si>
    <t>BA69</t>
  </si>
  <si>
    <t>Cap, Bouffant, Spunbond, 21in</t>
  </si>
  <si>
    <t>Mckesson</t>
  </si>
  <si>
    <t>CZ26</t>
  </si>
  <si>
    <t>Cap, Surgeon, Nonsterile, Single use</t>
  </si>
  <si>
    <t>New product; replacing CZ26; McKesson code 16-SC2</t>
  </si>
  <si>
    <t>SV26</t>
  </si>
  <si>
    <t>Catheter, Intermittent, Round tip, Sterile, 12Fr</t>
  </si>
  <si>
    <t>Kendall</t>
  </si>
  <si>
    <t>VH30</t>
  </si>
  <si>
    <t>Catheter, Intermittent, Round tip, Sterile, 14Fr</t>
  </si>
  <si>
    <t>JQ51</t>
  </si>
  <si>
    <t>Charger, Surgical clipper</t>
  </si>
  <si>
    <t>3M</t>
  </si>
  <si>
    <t>MD43</t>
  </si>
  <si>
    <t>Clipper, Fixed Head, Rechargable</t>
  </si>
  <si>
    <t>JP11</t>
  </si>
  <si>
    <t>Connector, for Tubing 5mm to 11mm (3/16, 1/4, 5/16, 3/8, 7/16in), Nonsterile</t>
  </si>
  <si>
    <t>TV97</t>
  </si>
  <si>
    <t>Container, Specimen, Prefilled 10% Neutral Buffered Formalin, with Orange top, 90mL</t>
  </si>
  <si>
    <t>Fisher</t>
  </si>
  <si>
    <t>XJ03</t>
  </si>
  <si>
    <t>Cover, Mayo stand, Sterile, 23in x 54in</t>
  </si>
  <si>
    <t>Welmed</t>
  </si>
  <si>
    <t>1222-150</t>
  </si>
  <si>
    <t>EY36</t>
  </si>
  <si>
    <t>Developer, for Fecal occult blood test (FOB), 15mL</t>
  </si>
  <si>
    <t>Propper Manufacturing</t>
  </si>
  <si>
    <t>HY89</t>
  </si>
  <si>
    <t>Diaper, Adult, Size medium</t>
  </si>
  <si>
    <t>27-BRCLMD</t>
  </si>
  <si>
    <t>VP18</t>
  </si>
  <si>
    <t>Diaper, Newborn, 6-10 lbs</t>
  </si>
  <si>
    <t>Proctor &amp; Gamble</t>
  </si>
  <si>
    <t>JT36</t>
  </si>
  <si>
    <t>Drain, Wound, Penrose, Latex, Sterile, 0.5in</t>
  </si>
  <si>
    <t>QJ40</t>
  </si>
  <si>
    <t>Drain, Wound, Penrose, Sterile, 0.25in x 18in (6mm x 46cm)</t>
  </si>
  <si>
    <t>MB37</t>
  </si>
  <si>
    <t>Drainage Unit, Single chamber, Self-sealing sample ports, Sterile, 2500mL</t>
  </si>
  <si>
    <t>A-7000-08L</t>
  </si>
  <si>
    <t>DK60</t>
  </si>
  <si>
    <t>Drape, Fenestrated, 44in x 60in</t>
  </si>
  <si>
    <t>Kimberly Clark</t>
  </si>
  <si>
    <t>FQ45</t>
  </si>
  <si>
    <t>Drape, Laparotomy T, Abdominal, Fenestrated, Sterile, 106in x 78in x 120in</t>
  </si>
  <si>
    <t>1222-2110</t>
  </si>
  <si>
    <t>ZM67</t>
  </si>
  <si>
    <t>Drape, Laparotomy Transverse, Abdominal, Sterile, 72in x 120in</t>
  </si>
  <si>
    <t>FX50</t>
  </si>
  <si>
    <t>Drape, Minor procedure, with Adhesive, 57cm x 66cm</t>
  </si>
  <si>
    <t>3M, Steri-Drape</t>
  </si>
  <si>
    <t>XJ57</t>
  </si>
  <si>
    <t>Drape, Orthopedic, Extremity, Sterile, 90in x 131in</t>
  </si>
  <si>
    <t>1222-8410</t>
  </si>
  <si>
    <t>TH64</t>
  </si>
  <si>
    <t>Drape, Orthopedic, U-Drape, Sterile, 60in x 72in</t>
  </si>
  <si>
    <t>1222-1910</t>
  </si>
  <si>
    <t>QV29</t>
  </si>
  <si>
    <t>Drape, Sterile, 18in x 26in</t>
  </si>
  <si>
    <t>Mckesson Brand</t>
  </si>
  <si>
    <t>25-515</t>
  </si>
  <si>
    <t>McKesson</t>
  </si>
  <si>
    <t>CY43</t>
  </si>
  <si>
    <t>Dressing, Transparent, 4in x 11yd</t>
  </si>
  <si>
    <t>GC10</t>
  </si>
  <si>
    <t>Ear curette, Single-use, 4mm</t>
  </si>
  <si>
    <t>16-98913</t>
  </si>
  <si>
    <t>UC94</t>
  </si>
  <si>
    <t>Silver Mactrode Plus Resting ECG Electrodes</t>
  </si>
  <si>
    <t>GE</t>
  </si>
  <si>
    <t>Ge 9623-003p</t>
  </si>
  <si>
    <t>GU51</t>
  </si>
  <si>
    <t>Electrosurgical pencil, Single-use</t>
  </si>
  <si>
    <t>Aaron Medical</t>
  </si>
  <si>
    <t>ESP1</t>
  </si>
  <si>
    <t>XJ91</t>
  </si>
  <si>
    <t>Evacuator, Silicone, Bulb, Latex free, Single use, 100mL</t>
  </si>
  <si>
    <t>MX06</t>
  </si>
  <si>
    <t>Extension set, 1 port, 2.2mL, 12in</t>
  </si>
  <si>
    <t>Amsino International</t>
  </si>
  <si>
    <t>AF2202</t>
  </si>
  <si>
    <t>Order without a filter; The length is not important,  we need two connecting ends and the port</t>
  </si>
  <si>
    <t>New product; replacing MX06; Amsino code AE0303</t>
  </si>
  <si>
    <t>ED98</t>
  </si>
  <si>
    <t>Eye irrigation system, One size fits most, 6in tubing</t>
  </si>
  <si>
    <t>Mortan</t>
  </si>
  <si>
    <t>MT2000</t>
  </si>
  <si>
    <t>HE42</t>
  </si>
  <si>
    <t>Feeding tube, Sterile, 12in x 3.5Fr</t>
  </si>
  <si>
    <t>UA13</t>
  </si>
  <si>
    <t>Filter, Bacterial/Viral</t>
  </si>
  <si>
    <t>CN98</t>
  </si>
  <si>
    <t>Gauze sponge, X-Ray, Sterile, 8in x 4in</t>
  </si>
  <si>
    <t>Dukal</t>
  </si>
  <si>
    <t>482-2X</t>
  </si>
  <si>
    <t>GP43</t>
  </si>
  <si>
    <t>Gauze, Petrolatum, Sterile, 3in x 9in</t>
  </si>
  <si>
    <t>61-20056</t>
  </si>
  <si>
    <t>UK84</t>
  </si>
  <si>
    <t>Gel, Ultrasound, 8.5oz</t>
  </si>
  <si>
    <t>23-USGC8</t>
  </si>
  <si>
    <t>VB83</t>
  </si>
  <si>
    <t>Glove, Exam, Latex-free, Powder-free, Nonsterile, Nitrile, Large</t>
  </si>
  <si>
    <t>14-6978C</t>
  </si>
  <si>
    <t>EB60</t>
  </si>
  <si>
    <t>Glove, Surgical, Contains latex, Powdered, Sterile, Latex, Size 6.5</t>
  </si>
  <si>
    <t>20-1565</t>
  </si>
  <si>
    <t>Remove HU12 (size 6) from stock lists</t>
  </si>
  <si>
    <t>FB13</t>
  </si>
  <si>
    <t>Glove, Surgical, Contains latex, Powdered, Sterile, Latex, Size 7</t>
  </si>
  <si>
    <t>20-1570</t>
  </si>
  <si>
    <t>AS05</t>
  </si>
  <si>
    <t>Glove, Surgical, Contains latex, Powdered, Sterile, Latex, Size 7.5</t>
  </si>
  <si>
    <t>20-1575</t>
  </si>
  <si>
    <t>YP84</t>
  </si>
  <si>
    <t>Glove, Surgical, Contains latex, Powdered, Sterile, Latex, Size 8</t>
  </si>
  <si>
    <t>20-1580</t>
  </si>
  <si>
    <t>UQ16</t>
  </si>
  <si>
    <t>Glove, Surgical, Contains latex, Powdered, Sterile, Latex, Size 8.5</t>
  </si>
  <si>
    <t>20-1585</t>
  </si>
  <si>
    <t>XP17</t>
  </si>
  <si>
    <t>Gown, Surgical, Sterile, Extra large</t>
  </si>
  <si>
    <t>1231-050XL</t>
  </si>
  <si>
    <t>FC00</t>
  </si>
  <si>
    <t>Gown, Surgical, Sterile, Large</t>
  </si>
  <si>
    <t>Wellmed</t>
  </si>
  <si>
    <t>1231050L</t>
  </si>
  <si>
    <t>JM63</t>
  </si>
  <si>
    <t>Gown, Surgical, Sterile, Medium</t>
  </si>
  <si>
    <t>1231100M</t>
  </si>
  <si>
    <t>DY75</t>
  </si>
  <si>
    <t>Dressing, Hemostat, Absorbable, 0.5in x 2in</t>
  </si>
  <si>
    <t>Systagenix</t>
  </si>
  <si>
    <t>RK56</t>
  </si>
  <si>
    <t>Iv Admin Set, Primary, Ported, 103in</t>
  </si>
  <si>
    <t>Hospira</t>
  </si>
  <si>
    <t>12538-28</t>
  </si>
  <si>
    <t>EF32</t>
  </si>
  <si>
    <t>Lancet, 26G needle, Fixed depth, 1.8mm </t>
  </si>
  <si>
    <t>16-218-100</t>
  </si>
  <si>
    <t>NY60</t>
  </si>
  <si>
    <t>Mask, Anesthesia, with valve, Single-use, Child</t>
  </si>
  <si>
    <t>86-586E</t>
  </si>
  <si>
    <t>TD27</t>
  </si>
  <si>
    <t>Mask, Nebulizer, with 80in oxygen tubing, Pediatric</t>
  </si>
  <si>
    <t>86777E</t>
  </si>
  <si>
    <t>CA62</t>
  </si>
  <si>
    <t>Mask, Nebulizer, with 84in (2.1m) oxygen tubing, Adult</t>
  </si>
  <si>
    <t>86-776E</t>
  </si>
  <si>
    <t>KN62</t>
  </si>
  <si>
    <t>Mask, Oxygen, High concentration, Elongated, with 80in tubing, Single-use, Adult</t>
  </si>
  <si>
    <t>86-108E</t>
  </si>
  <si>
    <t>AA30</t>
  </si>
  <si>
    <t>Mask, Oxygen, High concentration, Elongated, with 80in tubing, Single-use, Pediatric</t>
  </si>
  <si>
    <t>86-3226E</t>
  </si>
  <si>
    <t>ZS94</t>
  </si>
  <si>
    <t>Mask, Oxygen, Medium concentration, Elongated, with 7ft tubing, Adult</t>
  </si>
  <si>
    <t>86-102E</t>
  </si>
  <si>
    <t>QE48</t>
  </si>
  <si>
    <t>Mask, Oxygen, Medium concentration, Elongated, with 7ft tubing, Infant</t>
  </si>
  <si>
    <t>1114-7-10</t>
  </si>
  <si>
    <t>CK20</t>
  </si>
  <si>
    <t>Mask, Oxygen, Medium concentration, Standard, with 80in tubing, Single-use, Adult</t>
  </si>
  <si>
    <t>86-202E</t>
  </si>
  <si>
    <t>YN83</t>
  </si>
  <si>
    <t>Mask, Surgical</t>
  </si>
  <si>
    <t>91-1000</t>
  </si>
  <si>
    <t>VU90</t>
  </si>
  <si>
    <t>Meter, Peak flow, Full range (60-810LPM)</t>
  </si>
  <si>
    <t>Respironics</t>
  </si>
  <si>
    <t>HS755-012</t>
  </si>
  <si>
    <t>JG06</t>
  </si>
  <si>
    <t>Needle counter, 10 capacity, Plastic, Sterile</t>
  </si>
  <si>
    <t>Medical Action Industries</t>
  </si>
  <si>
    <t>JR17</t>
  </si>
  <si>
    <t>Ophthalmoscope, Pocket set, 2.5v</t>
  </si>
  <si>
    <t>ADC</t>
  </si>
  <si>
    <t>5112N</t>
  </si>
  <si>
    <t>ZS48</t>
  </si>
  <si>
    <t>Otoscope tip, Single-use, 2.75mm</t>
  </si>
  <si>
    <t>Welch Allyn</t>
  </si>
  <si>
    <t>52432-U</t>
  </si>
  <si>
    <t>TG84</t>
  </si>
  <si>
    <t>Otoscope tip, Single-use, 4.25mm</t>
  </si>
  <si>
    <t>52434-U</t>
  </si>
  <si>
    <t>CV95</t>
  </si>
  <si>
    <t>Packing strip, Iodoform 5%, Cotton, Sterile, 0.5in x 5yd</t>
  </si>
  <si>
    <t>61-59245</t>
  </si>
  <si>
    <t>ZR31</t>
  </si>
  <si>
    <t>Packing, Nasal, Sterile, Medium</t>
  </si>
  <si>
    <t>Stradis Medical Professional</t>
  </si>
  <si>
    <t>SO500-08AS</t>
  </si>
  <si>
    <t>RB70</t>
  </si>
  <si>
    <t>Pad, Alcohol prep</t>
  </si>
  <si>
    <t>McKesson Brand, Medi-Pak</t>
  </si>
  <si>
    <t>58-204</t>
  </si>
  <si>
    <t>TC83</t>
  </si>
  <si>
    <t>Pad, Cautery tip cleaner, 5cm x 5cm</t>
  </si>
  <si>
    <t>MJ33</t>
  </si>
  <si>
    <t>Pad, Maternity, 4.3in x 12.25in</t>
  </si>
  <si>
    <t>2022A</t>
  </si>
  <si>
    <t>RC21</t>
  </si>
  <si>
    <t>Paper, ECG</t>
  </si>
  <si>
    <t>VM25</t>
  </si>
  <si>
    <t>Paper, Table, Nonsterile, 18in x 225ft</t>
  </si>
  <si>
    <t>18-912</t>
  </si>
  <si>
    <t>MS56</t>
  </si>
  <si>
    <t>Probe cover, Ultrasound, 1.25in x 8 in</t>
  </si>
  <si>
    <t>Sheathing Technologies</t>
  </si>
  <si>
    <t>GB18</t>
  </si>
  <si>
    <t>Resuscitator, with Bag, Disposable, Pediatric</t>
  </si>
  <si>
    <t>Ambu</t>
  </si>
  <si>
    <t>DN47</t>
  </si>
  <si>
    <t>Scrub brush, with Chlorhexidine gluconate, 25mL</t>
  </si>
  <si>
    <t>CareFusion</t>
  </si>
  <si>
    <t>4458A</t>
  </si>
  <si>
    <t>KS93</t>
  </si>
  <si>
    <t>Sharps container insert, Horizontal entry lid, Clear, 3 gallon</t>
  </si>
  <si>
    <t>8536SA</t>
  </si>
  <si>
    <t>NE63</t>
  </si>
  <si>
    <t>Sharps container insert, Horizontal entry lid, Clear, 5qt</t>
  </si>
  <si>
    <t>ET92</t>
  </si>
  <si>
    <t>Shoecover, Non-skid, Nonsterile, Extra large</t>
  </si>
  <si>
    <t>16-3557</t>
  </si>
  <si>
    <t>change unit to pair on stock lists</t>
  </si>
  <si>
    <t>DT24</t>
  </si>
  <si>
    <t>Shoecover, Non-skid, Nonsterile, Universal size</t>
  </si>
  <si>
    <t>16-3511</t>
  </si>
  <si>
    <t>YK25</t>
  </si>
  <si>
    <t>Sphygmomanometer, Anaeroid, Adult small</t>
  </si>
  <si>
    <t>01-720-10SARBGM</t>
  </si>
  <si>
    <t>EV08</t>
  </si>
  <si>
    <t>Sphygmomanometer, Anaeroid, Infant</t>
  </si>
  <si>
    <t>720-9CBK</t>
  </si>
  <si>
    <t>NA83</t>
  </si>
  <si>
    <t>Sphygmomanometer, Anaeroid, Pediatric</t>
  </si>
  <si>
    <t>01-720-9CGRGM</t>
  </si>
  <si>
    <t>MS60</t>
  </si>
  <si>
    <t>Sponge, Gauze, 8 ply, Sterile, 4in X 4in (10cm x 10cm)</t>
  </si>
  <si>
    <t>16-42448</t>
  </si>
  <si>
    <t>CU38</t>
  </si>
  <si>
    <t>Sponge, Gauze, Cotton, 12 ply, Nonsterile, 2in x 2in (5cm x 5cm)</t>
  </si>
  <si>
    <t>UY49</t>
  </si>
  <si>
    <t>Sponge, Gauze, Cotton, 12 ply, Nonsterile, 4in x 4in (10cm x 10cm)</t>
  </si>
  <si>
    <t>CC25</t>
  </si>
  <si>
    <t>Sponge, Laparotomy, Sterile, 12in x 12in</t>
  </si>
  <si>
    <t>16-2112121</t>
  </si>
  <si>
    <t>PR83</t>
  </si>
  <si>
    <t>Sterilization pouch, Self seal, 7.5in x 13in</t>
  </si>
  <si>
    <t>73ESP603</t>
  </si>
  <si>
    <t>DP46</t>
  </si>
  <si>
    <t>Stethoscope, Pediatric/Infant</t>
  </si>
  <si>
    <t>Allheart</t>
  </si>
  <si>
    <t>AD-DST0600ROY</t>
  </si>
  <si>
    <t>New product; replace DP46; use ADC product 675LV</t>
  </si>
  <si>
    <t>EF44</t>
  </si>
  <si>
    <t>Stockinette, Cotton, Nonsterile, 2in x 25yd</t>
  </si>
  <si>
    <t>16-4T-225</t>
  </si>
  <si>
    <t>PF13</t>
  </si>
  <si>
    <t>Stockinette, Cotton, Sterile, 4in x 36in</t>
  </si>
  <si>
    <t>16-3S-436</t>
  </si>
  <si>
    <t>MM63</t>
  </si>
  <si>
    <t>Stopcock, 4 way, Swivel male luer lock</t>
  </si>
  <si>
    <t>MX2341L</t>
  </si>
  <si>
    <t>PX60</t>
  </si>
  <si>
    <t>Suction Yankauer Non Vented Rigid W/ Regular tip</t>
  </si>
  <si>
    <t>HQ77</t>
  </si>
  <si>
    <t>Syringe, Bulb, Irrigation, Plastic, Sterile, Single-use, 60mL</t>
  </si>
  <si>
    <t>AS011</t>
  </si>
  <si>
    <t>HJ51</t>
  </si>
  <si>
    <t>Syringe, Ear bulb, Sterile, 2oz (Neonatal suction bulb)</t>
  </si>
  <si>
    <t>BZ12</t>
  </si>
  <si>
    <t>Tape, Surgical, Transparent, Nonsterile, 2in x 10yd</t>
  </si>
  <si>
    <t>16-47220</t>
  </si>
  <si>
    <t>MY75</t>
  </si>
  <si>
    <t>Test kit, Fecal occult blood test (FOB)</t>
  </si>
  <si>
    <t>BH17</t>
  </si>
  <si>
    <t>Thermometer, Oral, Digital</t>
  </si>
  <si>
    <t>would like a better quality product than 732284</t>
  </si>
  <si>
    <t>New product; Replace BH17; McKesson product 01-415</t>
  </si>
  <si>
    <t>CK74</t>
  </si>
  <si>
    <t>Tongue depressor, Wood, Nonsterile, Disposable, 6in</t>
  </si>
  <si>
    <t>24-202</t>
  </si>
  <si>
    <t>KF73</t>
  </si>
  <si>
    <t>Tourniquet, 18in</t>
  </si>
  <si>
    <t>16-6335</t>
  </si>
  <si>
    <t>AF22</t>
  </si>
  <si>
    <t>Towel, OR, Sterile, 17in x 27in</t>
  </si>
  <si>
    <t>16-6008-B</t>
  </si>
  <si>
    <t>AK91</t>
  </si>
  <si>
    <t>Tube, Endotracheal, Cuffed, Murphy eye, Magill curve, Nasal/oral, Sterile, 6mm</t>
  </si>
  <si>
    <t>Teleflex Medical, Sheridan HVT</t>
  </si>
  <si>
    <t>5-10312</t>
  </si>
  <si>
    <t>CP98</t>
  </si>
  <si>
    <t>Tube, Endotracheal, Cuffed, Murphy eye, Magill curve, Nasal/oral, Sterile, 7mm</t>
  </si>
  <si>
    <t>5-10314</t>
  </si>
  <si>
    <t>RZ29</t>
  </si>
  <si>
    <t>Tube, Endotracheal, Uncuffed, Murphy eye, Magill curve, Nasal/oral, Sterile, Single-use, 2.5mm</t>
  </si>
  <si>
    <t>5-10405</t>
  </si>
  <si>
    <t>JT24</t>
  </si>
  <si>
    <t>Tube, Endotracheal, Uncuffed, Murphy eye, Magill curve, Nasal/oral, Sterile, Single-use, 3.5mm</t>
  </si>
  <si>
    <t>Teleflex Medical, Sheridan Uncuffed</t>
  </si>
  <si>
    <t>5-10407</t>
  </si>
  <si>
    <t>TR82</t>
  </si>
  <si>
    <t>Tube, Endotracheal, Uncuffed, Murphy eye, Magill curve, Nasal/oral, sterile, single-use, 3mm</t>
  </si>
  <si>
    <t>Teleflex Medical, Inc., Sheridan Uncuffed</t>
  </si>
  <si>
    <t>YH15</t>
  </si>
  <si>
    <t>Tubing, Suction, 0.1875in x 10ft</t>
  </si>
  <si>
    <t>16-66302</t>
  </si>
  <si>
    <t>KT88</t>
  </si>
  <si>
    <t>Tubing, Suction, with Female/Male connector, Sterile, 0.1875in x 6ft</t>
  </si>
  <si>
    <t>16-66301</t>
  </si>
  <si>
    <t>GR70</t>
  </si>
  <si>
    <t>Undergarments, Plastic, Extra large</t>
  </si>
  <si>
    <t>Vision Medical</t>
  </si>
  <si>
    <t>UN-XL</t>
  </si>
  <si>
    <t>QG02</t>
  </si>
  <si>
    <t>Underpad, Tissue, 3 ply, 17in x 24in (chux)</t>
  </si>
  <si>
    <t>18-16650</t>
  </si>
  <si>
    <t>VZ41</t>
  </si>
  <si>
    <t>Wound drain kit,  with Bulb evacuator and trocar, Flat, 3/4 perforated, Sterile, 10mm</t>
  </si>
  <si>
    <t>new</t>
  </si>
  <si>
    <t>sharps container, round lid, 18 gallon</t>
  </si>
  <si>
    <t>New product; Kendal 8991; Need to be added to stock SOP stock list</t>
  </si>
  <si>
    <t>oxygen tube ch.10 40cm disp.</t>
  </si>
  <si>
    <t>New product; Kendal 31020; Needs to be added to stock lists</t>
  </si>
  <si>
    <t>Premie diapers: 9000</t>
  </si>
  <si>
    <t>New product; Proctor and Gamble 4261; Needs to be added to stock lists</t>
  </si>
  <si>
    <t>Straight catheter, 5 fr</t>
  </si>
  <si>
    <t>New product; Bard product 177805; needs to be added to stock lists</t>
  </si>
  <si>
    <t>Filter, Bacterial/Viral, pediatric</t>
  </si>
  <si>
    <t>New product; Teleflex product 11012; Needs to be added to stock lists</t>
  </si>
</sst>
</file>

<file path=xl/styles.xml><?xml version="1.0" encoding="utf-8"?>
<styleSheet xmlns="http://schemas.openxmlformats.org/spreadsheetml/2006/main">
  <numFmts count="5">
    <numFmt formatCode="GENERAL" numFmtId="164"/>
    <numFmt formatCode="_(\$* #,##0.00_);_(\$* \(#,##0.00\);_(\$* \-??_);_(@_)" numFmtId="165"/>
    <numFmt formatCode="#,##0" numFmtId="166"/>
    <numFmt formatCode="MMM\-YY" numFmtId="167"/>
    <numFmt formatCode="\$#,##0.00_);[RED]&quot;($&quot;#,##0.00\)" numFmtId="168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 xfId="17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true" borderId="1" fillId="0" fontId="0" numFmtId="165" xfId="17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0" fontId="0" numFmtId="165" xfId="17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5" xfId="17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6" xfId="0">
      <alignment horizontal="general" indent="0" shrinkToFit="false" textRotation="0" vertical="bottom" wrapText="true"/>
      <protection hidden="false" locked="true"/>
    </xf>
    <xf applyAlignment="true" applyBorder="true" applyFont="false" applyProtection="false" borderId="1" fillId="0" fontId="0" numFmtId="167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2" fontId="5" numFmtId="165" xfId="17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8" xfId="0">
      <alignment horizontal="right" indent="0" shrinkToFit="false" textRotation="0" vertical="top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8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8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37"/>
  <sheetViews>
    <sheetView colorId="64" defaultGridColor="true" rightToLeft="false" showFormulas="false" showGridLines="true" showOutlineSymbols="true" showRowColHeaders="true" showZeros="true" tabSelected="true" topLeftCell="C1" view="normal" windowProtection="true" workbookViewId="0" zoomScale="91" zoomScaleNormal="91" zoomScalePageLayoutView="100">
      <pane activePane="bottomLeft" state="frozen" topLeftCell="A2" xSplit="0" ySplit="1"/>
      <selection activeCell="C1" activeCellId="0" pane="topLeft" sqref="C1"/>
      <selection activeCell="Q51" activeCellId="0" pane="bottomLeft" sqref="Q51"/>
    </sheetView>
  </sheetViews>
  <sheetFormatPr defaultRowHeight="15"/>
  <cols>
    <col collapsed="false" hidden="false" max="1" min="1" style="1" width="9.1417004048583"/>
    <col collapsed="false" hidden="false" max="2" min="2" style="1" width="30.4210526315789"/>
    <col collapsed="false" hidden="false" max="3" min="3" style="1" width="13.2834008097166"/>
    <col collapsed="false" hidden="false" max="4" min="4" style="1" width="14.5668016194332"/>
    <col collapsed="false" hidden="false" max="5" min="5" style="1" width="11.7125506072874"/>
    <col collapsed="false" hidden="false" max="6" min="6" style="1" width="9"/>
    <col collapsed="false" hidden="false" max="7" min="7" style="1" width="11.2834008097166"/>
    <col collapsed="false" hidden="false" max="8" min="8" style="1" width="19.7085020242915"/>
    <col collapsed="false" hidden="false" max="9" min="9" style="1" width="12.995951417004"/>
    <col collapsed="false" hidden="false" max="10" min="10" style="2" width="9.1417004048583"/>
    <col collapsed="false" hidden="false" max="11" min="11" style="1" width="9.1417004048583"/>
    <col collapsed="false" hidden="false" max="12" min="12" style="2" width="9.1417004048583"/>
    <col collapsed="false" hidden="false" max="13" min="13" style="1" width="9.1417004048583"/>
    <col collapsed="false" hidden="false" max="14" min="14" style="2" width="12.8542510121458"/>
    <col collapsed="false" hidden="false" max="15" min="15" style="1" width="12.7125506072875"/>
    <col collapsed="false" hidden="false" max="16" min="16" style="0" width="8.5748987854251"/>
    <col collapsed="false" hidden="false" max="17" min="17" style="0" width="10.4251012145749"/>
    <col collapsed="false" hidden="false" max="18" min="18" style="0" width="14.1417004048583"/>
    <col collapsed="false" hidden="false" max="19" min="19" style="0" width="16.1376518218624"/>
    <col collapsed="false" hidden="false" max="20" min="20" style="0" width="21.1457489878542"/>
    <col collapsed="false" hidden="false" max="1025" min="21" style="0" width="8.5748987854251"/>
  </cols>
  <sheetData>
    <row collapsed="false" customFormat="false" customHeight="false" hidden="false" ht="63" outlineLevel="0"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3" t="s">
        <v>12</v>
      </c>
      <c r="N1" s="5" t="s">
        <v>13</v>
      </c>
      <c r="O1" s="3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collapsed="false" customFormat="false" customHeight="false" hidden="false" ht="30" outlineLevel="0" r="2">
      <c r="A2" s="7" t="s">
        <v>20</v>
      </c>
      <c r="B2" s="7" t="s">
        <v>21</v>
      </c>
      <c r="C2" s="7" t="s">
        <v>22</v>
      </c>
      <c r="D2" s="7" t="n">
        <v>1659</v>
      </c>
      <c r="E2" s="7" t="s">
        <v>23</v>
      </c>
      <c r="F2" s="7" t="n">
        <v>202808</v>
      </c>
      <c r="G2" s="7" t="n">
        <v>92</v>
      </c>
      <c r="H2" s="7"/>
      <c r="I2" s="7"/>
      <c r="J2" s="8" t="n">
        <v>71</v>
      </c>
      <c r="K2" s="7" t="n">
        <v>50</v>
      </c>
      <c r="L2" s="8" t="n">
        <f aca="false">J2/K2</f>
        <v>1.42</v>
      </c>
      <c r="M2" s="7" t="n">
        <v>100</v>
      </c>
      <c r="N2" s="8" t="n">
        <f aca="false">L2*M2</f>
        <v>142</v>
      </c>
      <c r="O2" s="7"/>
      <c r="P2" s="9"/>
      <c r="Q2" s="9"/>
      <c r="R2" s="9"/>
      <c r="S2" s="9"/>
      <c r="T2" s="9"/>
    </row>
    <row collapsed="false" customFormat="false" customHeight="false" hidden="false" ht="45" outlineLevel="0" r="3">
      <c r="A3" s="7" t="s">
        <v>24</v>
      </c>
      <c r="B3" s="7" t="s">
        <v>25</v>
      </c>
      <c r="C3" s="7" t="s">
        <v>26</v>
      </c>
      <c r="D3" s="7" t="s">
        <v>27</v>
      </c>
      <c r="E3" s="7" t="s">
        <v>23</v>
      </c>
      <c r="F3" s="7" t="n">
        <v>382469</v>
      </c>
      <c r="G3" s="7" t="n">
        <v>428</v>
      </c>
      <c r="H3" s="7"/>
      <c r="I3" s="7"/>
      <c r="J3" s="8" t="n">
        <v>212.72</v>
      </c>
      <c r="K3" s="7" t="n">
        <v>48</v>
      </c>
      <c r="L3" s="8" t="n">
        <f aca="false">J3/K3</f>
        <v>4.43166666666667</v>
      </c>
      <c r="M3" s="7" t="n">
        <f aca="false">48*9</f>
        <v>432</v>
      </c>
      <c r="N3" s="8" t="n">
        <f aca="false">L3*M3</f>
        <v>1914.48</v>
      </c>
      <c r="O3" s="7"/>
      <c r="P3" s="9"/>
      <c r="Q3" s="9"/>
      <c r="R3" s="9"/>
      <c r="S3" s="9"/>
      <c r="T3" s="9"/>
    </row>
    <row collapsed="false" customFormat="false" customHeight="false" hidden="false" ht="30" outlineLevel="0" r="4">
      <c r="A4" s="7" t="s">
        <v>28</v>
      </c>
      <c r="B4" s="7" t="s">
        <v>29</v>
      </c>
      <c r="C4" s="7" t="s">
        <v>22</v>
      </c>
      <c r="D4" s="7" t="n">
        <v>123326</v>
      </c>
      <c r="E4" s="7" t="s">
        <v>23</v>
      </c>
      <c r="F4" s="7" t="n">
        <v>286510</v>
      </c>
      <c r="G4" s="7" t="n">
        <v>25</v>
      </c>
      <c r="H4" s="7"/>
      <c r="I4" s="7"/>
      <c r="J4" s="8" t="n">
        <v>25.71</v>
      </c>
      <c r="K4" s="7" t="n">
        <v>10</v>
      </c>
      <c r="L4" s="8" t="n">
        <f aca="false">J4/K4</f>
        <v>2.571</v>
      </c>
      <c r="M4" s="7" t="n">
        <v>30</v>
      </c>
      <c r="N4" s="8" t="n">
        <f aca="false">L4*M4</f>
        <v>77.13</v>
      </c>
      <c r="O4" s="7"/>
      <c r="P4" s="9"/>
      <c r="Q4" s="9"/>
      <c r="R4" s="9"/>
      <c r="S4" s="9"/>
      <c r="T4" s="9"/>
    </row>
    <row collapsed="false" customFormat="false" customHeight="false" hidden="false" ht="30" outlineLevel="0" r="5">
      <c r="A5" s="7" t="s">
        <v>30</v>
      </c>
      <c r="B5" s="7" t="s">
        <v>31</v>
      </c>
      <c r="C5" s="7" t="s">
        <v>22</v>
      </c>
      <c r="D5" s="7" t="n">
        <v>123330</v>
      </c>
      <c r="E5" s="7" t="s">
        <v>23</v>
      </c>
      <c r="F5" s="7" t="n">
        <v>286513</v>
      </c>
      <c r="G5" s="7" t="n">
        <v>9</v>
      </c>
      <c r="H5" s="7"/>
      <c r="I5" s="7"/>
      <c r="J5" s="8" t="n">
        <v>25.71</v>
      </c>
      <c r="K5" s="7" t="n">
        <v>10</v>
      </c>
      <c r="L5" s="8" t="n">
        <f aca="false">J5/K5</f>
        <v>2.571</v>
      </c>
      <c r="M5" s="7" t="n">
        <v>10</v>
      </c>
      <c r="N5" s="8" t="n">
        <f aca="false">L5*M5</f>
        <v>25.71</v>
      </c>
      <c r="O5" s="7"/>
      <c r="P5" s="9"/>
      <c r="Q5" s="9"/>
      <c r="R5" s="9"/>
      <c r="S5" s="9"/>
      <c r="T5" s="9"/>
    </row>
    <row collapsed="false" customFormat="false" customHeight="false" hidden="false" ht="30" outlineLevel="0" r="6">
      <c r="A6" s="7" t="s">
        <v>32</v>
      </c>
      <c r="B6" s="7" t="s">
        <v>33</v>
      </c>
      <c r="C6" s="7" t="s">
        <v>22</v>
      </c>
      <c r="D6" s="7" t="n">
        <v>123334</v>
      </c>
      <c r="E6" s="7" t="s">
        <v>23</v>
      </c>
      <c r="F6" s="7" t="n">
        <v>346047</v>
      </c>
      <c r="G6" s="7" t="n">
        <v>29</v>
      </c>
      <c r="H6" s="7"/>
      <c r="I6" s="7"/>
      <c r="J6" s="8" t="n">
        <v>25.71</v>
      </c>
      <c r="K6" s="7" t="n">
        <v>10</v>
      </c>
      <c r="L6" s="8" t="n">
        <f aca="false">J6/K6</f>
        <v>2.571</v>
      </c>
      <c r="M6" s="7" t="n">
        <v>30</v>
      </c>
      <c r="N6" s="8" t="n">
        <f aca="false">L6*M6</f>
        <v>77.13</v>
      </c>
      <c r="O6" s="7"/>
      <c r="P6" s="9"/>
      <c r="Q6" s="9"/>
      <c r="R6" s="9"/>
      <c r="S6" s="9"/>
      <c r="T6" s="9"/>
    </row>
    <row collapsed="false" customFormat="false" customHeight="false" hidden="false" ht="30" outlineLevel="0" r="7">
      <c r="A7" s="7" t="s">
        <v>34</v>
      </c>
      <c r="B7" s="7" t="s">
        <v>35</v>
      </c>
      <c r="C7" s="7" t="s">
        <v>36</v>
      </c>
      <c r="D7" s="7" t="s">
        <v>37</v>
      </c>
      <c r="E7" s="7" t="s">
        <v>23</v>
      </c>
      <c r="F7" s="7" t="n">
        <v>485073</v>
      </c>
      <c r="G7" s="7" t="n">
        <v>5</v>
      </c>
      <c r="H7" s="7"/>
      <c r="I7" s="7"/>
      <c r="J7" s="8" t="n">
        <v>13.72</v>
      </c>
      <c r="K7" s="7" t="n">
        <v>24</v>
      </c>
      <c r="L7" s="8" t="n">
        <f aca="false">J7/K7</f>
        <v>0.571666666666667</v>
      </c>
      <c r="M7" s="7" t="n">
        <v>24</v>
      </c>
      <c r="N7" s="8" t="n">
        <f aca="false">L7*M7</f>
        <v>13.72</v>
      </c>
      <c r="O7" s="7"/>
      <c r="P7" s="9"/>
      <c r="Q7" s="9"/>
      <c r="R7" s="9"/>
      <c r="S7" s="9"/>
      <c r="T7" s="9"/>
    </row>
    <row collapsed="false" customFormat="false" customHeight="false" hidden="false" ht="45" outlineLevel="0" r="8">
      <c r="A8" s="7" t="s">
        <v>38</v>
      </c>
      <c r="B8" s="7" t="s">
        <v>39</v>
      </c>
      <c r="C8" s="7" t="s">
        <v>36</v>
      </c>
      <c r="D8" s="7" t="s">
        <v>40</v>
      </c>
      <c r="E8" s="7" t="s">
        <v>23</v>
      </c>
      <c r="F8" s="7" t="n">
        <v>485077</v>
      </c>
      <c r="G8" s="7" t="n">
        <v>20</v>
      </c>
      <c r="H8" s="7"/>
      <c r="I8" s="7"/>
      <c r="J8" s="10" t="n">
        <v>0.57</v>
      </c>
      <c r="K8" s="11" t="n">
        <v>1</v>
      </c>
      <c r="L8" s="8" t="n">
        <f aca="false">J8/K8</f>
        <v>0.57</v>
      </c>
      <c r="M8" s="11" t="n">
        <v>20</v>
      </c>
      <c r="N8" s="8" t="n">
        <f aca="false">L8*M8</f>
        <v>11.4</v>
      </c>
      <c r="O8" s="7"/>
      <c r="P8" s="9"/>
      <c r="Q8" s="9"/>
      <c r="R8" s="9"/>
      <c r="S8" s="9"/>
      <c r="T8" s="9"/>
    </row>
    <row collapsed="false" customFormat="false" customHeight="false" hidden="false" ht="30" outlineLevel="0" r="9">
      <c r="A9" s="7" t="s">
        <v>41</v>
      </c>
      <c r="B9" s="7" t="s">
        <v>42</v>
      </c>
      <c r="C9" s="7" t="s">
        <v>36</v>
      </c>
      <c r="D9" s="7" t="s">
        <v>43</v>
      </c>
      <c r="E9" s="7" t="s">
        <v>23</v>
      </c>
      <c r="F9" s="7" t="n">
        <v>49176</v>
      </c>
      <c r="G9" s="7" t="n">
        <v>822</v>
      </c>
      <c r="H9" s="7"/>
      <c r="I9" s="7"/>
      <c r="J9" s="8" t="n">
        <v>17.6</v>
      </c>
      <c r="K9" s="7" t="n">
        <v>12</v>
      </c>
      <c r="L9" s="8" t="n">
        <f aca="false">J9/K9</f>
        <v>1.46666666666667</v>
      </c>
      <c r="M9" s="7" t="n">
        <f aca="false">12*69</f>
        <v>828</v>
      </c>
      <c r="N9" s="8" t="n">
        <f aca="false">L9*M9</f>
        <v>1214.4</v>
      </c>
      <c r="O9" s="7"/>
      <c r="P9" s="9"/>
      <c r="Q9" s="9"/>
      <c r="R9" s="9"/>
      <c r="S9" s="9"/>
      <c r="T9" s="9"/>
    </row>
    <row collapsed="false" customFormat="false" customHeight="false" hidden="false" ht="30" outlineLevel="0" r="10">
      <c r="A10" s="7" t="s">
        <v>44</v>
      </c>
      <c r="B10" s="7" t="s">
        <v>45</v>
      </c>
      <c r="C10" s="7" t="s">
        <v>36</v>
      </c>
      <c r="D10" s="7" t="s">
        <v>46</v>
      </c>
      <c r="E10" s="7" t="s">
        <v>23</v>
      </c>
      <c r="F10" s="7" t="n">
        <v>508716</v>
      </c>
      <c r="G10" s="7" t="n">
        <v>9243</v>
      </c>
      <c r="H10" s="7"/>
      <c r="I10" s="7"/>
      <c r="J10" s="8" t="n">
        <v>5.41</v>
      </c>
      <c r="K10" s="11" t="n">
        <v>1000</v>
      </c>
      <c r="L10" s="8" t="n">
        <f aca="false">J10/K10</f>
        <v>0.00541</v>
      </c>
      <c r="M10" s="12" t="n">
        <v>10000</v>
      </c>
      <c r="N10" s="8" t="n">
        <f aca="false">L10*M10</f>
        <v>54.1</v>
      </c>
      <c r="O10" s="11"/>
      <c r="P10" s="9"/>
      <c r="Q10" s="9"/>
      <c r="R10" s="9"/>
      <c r="S10" s="9"/>
      <c r="T10" s="9"/>
    </row>
    <row collapsed="false" customFormat="false" customHeight="false" hidden="false" ht="30" outlineLevel="0" r="11">
      <c r="A11" s="7" t="s">
        <v>47</v>
      </c>
      <c r="B11" s="7" t="s">
        <v>48</v>
      </c>
      <c r="C11" s="7" t="s">
        <v>49</v>
      </c>
      <c r="D11" s="7" t="n">
        <v>3855</v>
      </c>
      <c r="E11" s="7" t="s">
        <v>23</v>
      </c>
      <c r="F11" s="7" t="n">
        <v>181531</v>
      </c>
      <c r="G11" s="7" t="n">
        <v>66</v>
      </c>
      <c r="H11" s="7"/>
      <c r="I11" s="7"/>
      <c r="J11" s="8" t="n">
        <v>3.63</v>
      </c>
      <c r="K11" s="7" t="n">
        <v>1</v>
      </c>
      <c r="L11" s="8" t="n">
        <f aca="false">J11/K11</f>
        <v>3.63</v>
      </c>
      <c r="M11" s="7" t="n">
        <v>66</v>
      </c>
      <c r="N11" s="8" t="n">
        <f aca="false">L11*M11</f>
        <v>239.58</v>
      </c>
      <c r="O11" s="7"/>
      <c r="P11" s="9"/>
      <c r="Q11" s="9"/>
      <c r="R11" s="9"/>
      <c r="S11" s="9"/>
      <c r="T11" s="9"/>
    </row>
    <row collapsed="false" customFormat="false" customHeight="false" hidden="false" ht="30" outlineLevel="0" r="12">
      <c r="A12" s="7" t="s">
        <v>50</v>
      </c>
      <c r="B12" s="7" t="s">
        <v>51</v>
      </c>
      <c r="C12" s="7" t="s">
        <v>36</v>
      </c>
      <c r="D12" s="13" t="n">
        <v>19784</v>
      </c>
      <c r="E12" s="7" t="s">
        <v>23</v>
      </c>
      <c r="F12" s="7" t="n">
        <v>233155</v>
      </c>
      <c r="G12" s="7" t="n">
        <v>4235</v>
      </c>
      <c r="H12" s="7"/>
      <c r="I12" s="7"/>
      <c r="J12" s="8" t="n">
        <v>39.33</v>
      </c>
      <c r="K12" s="7" t="n">
        <v>250</v>
      </c>
      <c r="L12" s="8" t="n">
        <f aca="false">J12/K12</f>
        <v>0.15732</v>
      </c>
      <c r="M12" s="7" t="n">
        <f aca="false">250*17</f>
        <v>4250</v>
      </c>
      <c r="N12" s="8" t="n">
        <f aca="false">L12*M12</f>
        <v>668.61</v>
      </c>
      <c r="O12" s="7"/>
      <c r="P12" s="9" t="n">
        <v>1000</v>
      </c>
      <c r="Q12" s="9" t="n">
        <v>3250</v>
      </c>
      <c r="R12" s="9"/>
      <c r="S12" s="9"/>
      <c r="T12" s="9"/>
    </row>
    <row collapsed="false" customFormat="false" customHeight="false" hidden="false" ht="30" outlineLevel="0" r="13">
      <c r="A13" s="7" t="s">
        <v>52</v>
      </c>
      <c r="B13" s="7" t="s">
        <v>53</v>
      </c>
      <c r="C13" s="7" t="s">
        <v>54</v>
      </c>
      <c r="D13" s="7" t="n">
        <v>4010</v>
      </c>
      <c r="E13" s="7" t="s">
        <v>23</v>
      </c>
      <c r="F13" s="7" t="n">
        <v>199316</v>
      </c>
      <c r="G13" s="7" t="n">
        <v>225</v>
      </c>
      <c r="H13" s="7"/>
      <c r="I13" s="7"/>
      <c r="J13" s="8" t="n">
        <v>82.02</v>
      </c>
      <c r="K13" s="7" t="n">
        <v>5</v>
      </c>
      <c r="L13" s="8" t="n">
        <f aca="false">J13/K13</f>
        <v>16.404</v>
      </c>
      <c r="M13" s="7" t="n">
        <f aca="false">5*45</f>
        <v>225</v>
      </c>
      <c r="N13" s="8" t="n">
        <f aca="false">L13*M13</f>
        <v>3690.9</v>
      </c>
      <c r="O13" s="7"/>
      <c r="P13" s="9"/>
      <c r="Q13" s="9"/>
      <c r="R13" s="9"/>
      <c r="S13" s="9"/>
      <c r="T13" s="9"/>
    </row>
    <row collapsed="false" customFormat="false" customHeight="false" hidden="false" ht="30" outlineLevel="0" r="14">
      <c r="A14" s="7" t="s">
        <v>55</v>
      </c>
      <c r="B14" s="7" t="s">
        <v>56</v>
      </c>
      <c r="C14" s="7" t="s">
        <v>36</v>
      </c>
      <c r="D14" s="7" t="s">
        <v>57</v>
      </c>
      <c r="E14" s="7" t="s">
        <v>23</v>
      </c>
      <c r="F14" s="7" t="n">
        <v>547075</v>
      </c>
      <c r="G14" s="7" t="n">
        <v>463</v>
      </c>
      <c r="H14" s="7"/>
      <c r="I14" s="7"/>
      <c r="J14" s="8" t="n">
        <v>74.8</v>
      </c>
      <c r="K14" s="7" t="n">
        <v>1000</v>
      </c>
      <c r="L14" s="8" t="n">
        <f aca="false">J14/K14</f>
        <v>0.0748</v>
      </c>
      <c r="M14" s="7" t="n">
        <v>1000</v>
      </c>
      <c r="N14" s="8" t="n">
        <f aca="false">L14*M14</f>
        <v>74.8</v>
      </c>
      <c r="O14" s="7"/>
      <c r="P14" s="9"/>
      <c r="Q14" s="9"/>
      <c r="R14" s="9"/>
      <c r="S14" s="9"/>
      <c r="T14" s="9"/>
    </row>
    <row collapsed="false" customFormat="false" customHeight="false" hidden="false" ht="30" outlineLevel="0" r="15">
      <c r="A15" s="7" t="s">
        <v>58</v>
      </c>
      <c r="B15" s="7" t="s">
        <v>59</v>
      </c>
      <c r="C15" s="7" t="s">
        <v>60</v>
      </c>
      <c r="D15" s="7" t="s">
        <v>61</v>
      </c>
      <c r="E15" s="7" t="s">
        <v>23</v>
      </c>
      <c r="F15" s="7" t="n">
        <v>648133</v>
      </c>
      <c r="G15" s="7" t="n">
        <v>25</v>
      </c>
      <c r="H15" s="7"/>
      <c r="I15" s="7"/>
      <c r="J15" s="8" t="n">
        <v>293.24</v>
      </c>
      <c r="K15" s="7" t="n">
        <v>1</v>
      </c>
      <c r="L15" s="8" t="n">
        <f aca="false">J15/K15</f>
        <v>293.24</v>
      </c>
      <c r="M15" s="7" t="n">
        <v>25</v>
      </c>
      <c r="N15" s="8" t="n">
        <f aca="false">L15*M15</f>
        <v>7331</v>
      </c>
      <c r="O15" s="7"/>
      <c r="P15" s="9" t="n">
        <v>5</v>
      </c>
      <c r="Q15" s="9" t="n">
        <v>20</v>
      </c>
      <c r="R15" s="9"/>
      <c r="S15" s="9"/>
      <c r="T15" s="9"/>
    </row>
    <row collapsed="false" customFormat="false" customHeight="false" hidden="false" ht="30" outlineLevel="0" r="16">
      <c r="A16" s="7" t="s">
        <v>62</v>
      </c>
      <c r="B16" s="7" t="s">
        <v>63</v>
      </c>
      <c r="C16" s="7" t="s">
        <v>36</v>
      </c>
      <c r="D16" s="7" t="s">
        <v>64</v>
      </c>
      <c r="E16" s="7" t="s">
        <v>23</v>
      </c>
      <c r="F16" s="7" t="n">
        <v>454624</v>
      </c>
      <c r="G16" s="7" t="n">
        <v>1564</v>
      </c>
      <c r="H16" s="7"/>
      <c r="I16" s="7"/>
      <c r="J16" s="10" t="n">
        <v>7.87</v>
      </c>
      <c r="K16" s="7" t="n">
        <v>10</v>
      </c>
      <c r="L16" s="8" t="n">
        <f aca="false">J16/K16</f>
        <v>0.787</v>
      </c>
      <c r="M16" s="7" t="n">
        <v>1570</v>
      </c>
      <c r="N16" s="8" t="n">
        <f aca="false">L16*M16</f>
        <v>1235.59</v>
      </c>
      <c r="O16" s="7"/>
      <c r="P16" s="9"/>
      <c r="Q16" s="9"/>
      <c r="R16" s="9"/>
      <c r="S16" s="9"/>
      <c r="T16" s="9"/>
    </row>
    <row collapsed="false" customFormat="false" customHeight="false" hidden="false" ht="30" outlineLevel="0" r="17">
      <c r="A17" s="7" t="s">
        <v>65</v>
      </c>
      <c r="B17" s="7" t="s">
        <v>66</v>
      </c>
      <c r="C17" s="7" t="s">
        <v>36</v>
      </c>
      <c r="D17" s="7" t="s">
        <v>67</v>
      </c>
      <c r="E17" s="7" t="s">
        <v>23</v>
      </c>
      <c r="F17" s="7" t="n">
        <v>464154</v>
      </c>
      <c r="G17" s="7" t="n">
        <v>258</v>
      </c>
      <c r="H17" s="7"/>
      <c r="I17" s="7"/>
      <c r="J17" s="8" t="n">
        <v>24.8</v>
      </c>
      <c r="K17" s="7" t="n">
        <v>18</v>
      </c>
      <c r="L17" s="8" t="n">
        <f aca="false">J17/K17</f>
        <v>1.37777777777778</v>
      </c>
      <c r="M17" s="7" t="n">
        <f aca="false">15*18</f>
        <v>270</v>
      </c>
      <c r="N17" s="8" t="n">
        <f aca="false">L17*M17</f>
        <v>372</v>
      </c>
      <c r="O17" s="7"/>
      <c r="P17" s="9"/>
      <c r="Q17" s="9"/>
      <c r="R17" s="9"/>
      <c r="S17" s="9"/>
      <c r="T17" s="9"/>
    </row>
    <row collapsed="false" customFormat="false" customHeight="false" hidden="false" ht="30" outlineLevel="0" r="18">
      <c r="A18" s="7" t="s">
        <v>68</v>
      </c>
      <c r="B18" s="7" t="s">
        <v>69</v>
      </c>
      <c r="C18" s="7" t="s">
        <v>36</v>
      </c>
      <c r="D18" s="7" t="s">
        <v>70</v>
      </c>
      <c r="E18" s="7" t="s">
        <v>23</v>
      </c>
      <c r="F18" s="7" t="n">
        <v>464155</v>
      </c>
      <c r="G18" s="7" t="n">
        <v>124</v>
      </c>
      <c r="H18" s="7"/>
      <c r="I18" s="7"/>
      <c r="J18" s="8" t="n">
        <v>31.36</v>
      </c>
      <c r="K18" s="7" t="n">
        <v>12</v>
      </c>
      <c r="L18" s="8" t="n">
        <f aca="false">J18/K18</f>
        <v>2.61333333333333</v>
      </c>
      <c r="M18" s="7" t="n">
        <f aca="false">11*12</f>
        <v>132</v>
      </c>
      <c r="N18" s="8" t="n">
        <f aca="false">L18*M18</f>
        <v>344.96</v>
      </c>
      <c r="O18" s="7"/>
      <c r="P18" s="9"/>
      <c r="Q18" s="9"/>
      <c r="R18" s="9"/>
      <c r="S18" s="9"/>
      <c r="T18" s="9"/>
    </row>
    <row collapsed="false" customFormat="false" customHeight="false" hidden="false" ht="30" outlineLevel="0" r="19">
      <c r="A19" s="7" t="s">
        <v>71</v>
      </c>
      <c r="B19" s="7" t="s">
        <v>72</v>
      </c>
      <c r="C19" s="7" t="s">
        <v>73</v>
      </c>
      <c r="D19" s="7" t="n">
        <v>9670</v>
      </c>
      <c r="E19" s="7" t="s">
        <v>23</v>
      </c>
      <c r="F19" s="7" t="n">
        <v>459277</v>
      </c>
      <c r="G19" s="7" t="n">
        <v>1000</v>
      </c>
      <c r="H19" s="7"/>
      <c r="I19" s="7"/>
      <c r="J19" s="8" t="n">
        <v>167.57</v>
      </c>
      <c r="K19" s="7" t="n">
        <v>50</v>
      </c>
      <c r="L19" s="8" t="n">
        <f aca="false">J19/K19</f>
        <v>3.3514</v>
      </c>
      <c r="M19" s="7" t="n">
        <f aca="false">20*50</f>
        <v>1000</v>
      </c>
      <c r="N19" s="8" t="n">
        <f aca="false">L19*M19</f>
        <v>3351.4</v>
      </c>
      <c r="O19" s="7"/>
      <c r="P19" s="9"/>
      <c r="Q19" s="9"/>
      <c r="R19" s="9"/>
      <c r="S19" s="9"/>
      <c r="T19" s="9"/>
    </row>
    <row collapsed="false" customFormat="false" customHeight="false" hidden="false" ht="30" outlineLevel="0" r="20">
      <c r="A20" s="7" t="s">
        <v>74</v>
      </c>
      <c r="B20" s="7" t="s">
        <v>75</v>
      </c>
      <c r="C20" s="7" t="s">
        <v>36</v>
      </c>
      <c r="D20" s="7" t="s">
        <v>76</v>
      </c>
      <c r="E20" s="7" t="s">
        <v>23</v>
      </c>
      <c r="F20" s="7" t="n">
        <v>630431</v>
      </c>
      <c r="G20" s="7" t="n">
        <v>5970</v>
      </c>
      <c r="H20" s="7"/>
      <c r="I20" s="7"/>
      <c r="J20" s="8" t="n">
        <v>24.87</v>
      </c>
      <c r="K20" s="7" t="n">
        <v>100</v>
      </c>
      <c r="L20" s="8" t="n">
        <f aca="false">J20/K20</f>
        <v>0.2487</v>
      </c>
      <c r="M20" s="7" t="n">
        <v>6000</v>
      </c>
      <c r="N20" s="8" t="n">
        <f aca="false">L20*M20</f>
        <v>1492.2</v>
      </c>
      <c r="O20" s="7"/>
      <c r="P20" s="9"/>
      <c r="Q20" s="9"/>
      <c r="R20" s="9"/>
      <c r="S20" s="9"/>
      <c r="T20" s="9"/>
    </row>
    <row collapsed="false" customFormat="false" customHeight="false" hidden="false" ht="30" outlineLevel="0" r="21">
      <c r="A21" s="7" t="s">
        <v>77</v>
      </c>
      <c r="B21" s="7" t="s">
        <v>78</v>
      </c>
      <c r="C21" s="7" t="s">
        <v>36</v>
      </c>
      <c r="D21" s="7" t="s">
        <v>79</v>
      </c>
      <c r="E21" s="7" t="s">
        <v>23</v>
      </c>
      <c r="F21" s="7" t="n">
        <v>630432</v>
      </c>
      <c r="G21" s="7" t="n">
        <v>2510</v>
      </c>
      <c r="H21" s="7"/>
      <c r="I21" s="7"/>
      <c r="J21" s="8" t="n">
        <v>24.83</v>
      </c>
      <c r="K21" s="7" t="n">
        <v>100</v>
      </c>
      <c r="L21" s="8" t="n">
        <f aca="false">J21/K21</f>
        <v>0.2483</v>
      </c>
      <c r="M21" s="7" t="n">
        <v>2600</v>
      </c>
      <c r="N21" s="8" t="n">
        <f aca="false">L21*M21</f>
        <v>645.58</v>
      </c>
      <c r="O21" s="7"/>
      <c r="P21" s="9"/>
      <c r="Q21" s="9"/>
      <c r="R21" s="9"/>
      <c r="S21" s="9"/>
      <c r="T21" s="9"/>
    </row>
    <row collapsed="false" customFormat="false" customHeight="false" hidden="false" ht="30" outlineLevel="0" r="22">
      <c r="A22" s="7" t="s">
        <v>80</v>
      </c>
      <c r="B22" s="7" t="s">
        <v>81</v>
      </c>
      <c r="C22" s="7" t="s">
        <v>36</v>
      </c>
      <c r="D22" s="7" t="s">
        <v>82</v>
      </c>
      <c r="E22" s="7" t="s">
        <v>23</v>
      </c>
      <c r="F22" s="7" t="n">
        <v>630433</v>
      </c>
      <c r="G22" s="7" t="n">
        <v>7236</v>
      </c>
      <c r="H22" s="7"/>
      <c r="I22" s="7"/>
      <c r="J22" s="8" t="n">
        <v>24.83</v>
      </c>
      <c r="K22" s="7" t="n">
        <v>100</v>
      </c>
      <c r="L22" s="8" t="n">
        <f aca="false">J22/K22</f>
        <v>0.2483</v>
      </c>
      <c r="M22" s="7" t="n">
        <v>7300</v>
      </c>
      <c r="N22" s="8" t="n">
        <f aca="false">L22*M22</f>
        <v>1812.59</v>
      </c>
      <c r="O22" s="7"/>
      <c r="P22" s="9"/>
      <c r="Q22" s="9"/>
      <c r="R22" s="9"/>
      <c r="S22" s="9"/>
      <c r="T22" s="9"/>
    </row>
    <row collapsed="false" customFormat="false" customHeight="false" hidden="false" ht="45" outlineLevel="0" r="23">
      <c r="A23" s="7" t="s">
        <v>83</v>
      </c>
      <c r="B23" s="7" t="s">
        <v>84</v>
      </c>
      <c r="C23" s="7" t="s">
        <v>85</v>
      </c>
      <c r="D23" s="7" t="n">
        <v>901</v>
      </c>
      <c r="E23" s="7" t="s">
        <v>23</v>
      </c>
      <c r="F23" s="7" t="n">
        <v>170780</v>
      </c>
      <c r="G23" s="7" t="n">
        <v>356</v>
      </c>
      <c r="H23" s="7"/>
      <c r="I23" s="7"/>
      <c r="J23" s="10" t="n">
        <v>76.47</v>
      </c>
      <c r="K23" s="11" t="n">
        <v>10</v>
      </c>
      <c r="L23" s="8" t="n">
        <f aca="false">J23/K23</f>
        <v>7.647</v>
      </c>
      <c r="M23" s="11" t="n">
        <v>360</v>
      </c>
      <c r="N23" s="8" t="n">
        <f aca="false">L23*M23</f>
        <v>2752.92</v>
      </c>
      <c r="O23" s="9"/>
      <c r="P23" s="9"/>
      <c r="Q23" s="9"/>
      <c r="R23" s="9"/>
      <c r="S23" s="9"/>
      <c r="T23" s="9"/>
    </row>
    <row collapsed="false" customFormat="false" customHeight="false" hidden="false" ht="45" outlineLevel="0" r="24">
      <c r="A24" s="7" t="s">
        <v>86</v>
      </c>
      <c r="B24" s="7" t="s">
        <v>87</v>
      </c>
      <c r="C24" s="7" t="s">
        <v>88</v>
      </c>
      <c r="D24" s="7" t="n">
        <v>375204</v>
      </c>
      <c r="E24" s="7" t="s">
        <v>23</v>
      </c>
      <c r="F24" s="7" t="n">
        <v>377523</v>
      </c>
      <c r="G24" s="7" t="n">
        <v>34</v>
      </c>
      <c r="H24" s="7"/>
      <c r="I24" s="7"/>
      <c r="J24" s="14" t="n">
        <v>65.4</v>
      </c>
      <c r="K24" s="7" t="n">
        <v>15</v>
      </c>
      <c r="L24" s="8" t="n">
        <f aca="false">J24/K24</f>
        <v>4.36</v>
      </c>
      <c r="M24" s="7" t="n">
        <v>45</v>
      </c>
      <c r="N24" s="8" t="n">
        <f aca="false">L24*M24</f>
        <v>196.2</v>
      </c>
      <c r="O24" s="7"/>
      <c r="P24" s="9"/>
      <c r="Q24" s="9"/>
      <c r="R24" s="9"/>
      <c r="S24" s="9"/>
      <c r="T24" s="9"/>
    </row>
    <row collapsed="false" customFormat="false" customHeight="false" hidden="false" ht="30" outlineLevel="0" r="25">
      <c r="A25" s="7" t="s">
        <v>89</v>
      </c>
      <c r="B25" s="7" t="s">
        <v>90</v>
      </c>
      <c r="C25" s="7" t="s">
        <v>36</v>
      </c>
      <c r="D25" s="7" t="s">
        <v>91</v>
      </c>
      <c r="E25" s="7" t="s">
        <v>23</v>
      </c>
      <c r="F25" s="7" t="n">
        <v>543534</v>
      </c>
      <c r="G25" s="7" t="n">
        <v>1626</v>
      </c>
      <c r="H25" s="7"/>
      <c r="I25" s="7"/>
      <c r="J25" s="14" t="n">
        <v>20.38</v>
      </c>
      <c r="K25" s="7" t="n">
        <v>50</v>
      </c>
      <c r="L25" s="8" t="n">
        <f aca="false">J25/K25</f>
        <v>0.4076</v>
      </c>
      <c r="M25" s="7" t="n">
        <f aca="false">33*50</f>
        <v>1650</v>
      </c>
      <c r="N25" s="8" t="n">
        <f aca="false">L25*M25</f>
        <v>672.54</v>
      </c>
      <c r="O25" s="7"/>
      <c r="P25" s="9"/>
      <c r="Q25" s="9"/>
      <c r="R25" s="9"/>
      <c r="S25" s="9"/>
      <c r="T25" s="9"/>
    </row>
    <row collapsed="false" customFormat="false" customHeight="false" hidden="false" ht="30" outlineLevel="0" r="26">
      <c r="A26" s="7" t="s">
        <v>92</v>
      </c>
      <c r="B26" s="7" t="s">
        <v>93</v>
      </c>
      <c r="C26" s="7" t="s">
        <v>94</v>
      </c>
      <c r="D26" s="7" t="s">
        <v>95</v>
      </c>
      <c r="E26" s="7" t="s">
        <v>23</v>
      </c>
      <c r="F26" s="7" t="n">
        <v>262287</v>
      </c>
      <c r="G26" s="7" t="n">
        <v>892</v>
      </c>
      <c r="H26" s="7"/>
      <c r="I26" s="7"/>
      <c r="J26" s="14" t="n">
        <v>102.94</v>
      </c>
      <c r="K26" s="7" t="n">
        <v>50</v>
      </c>
      <c r="L26" s="8" t="n">
        <f aca="false">J26/K26</f>
        <v>2.0588</v>
      </c>
      <c r="M26" s="7" t="n">
        <f aca="false">50*18</f>
        <v>900</v>
      </c>
      <c r="N26" s="8" t="n">
        <f aca="false">L26*M26</f>
        <v>1852.92</v>
      </c>
      <c r="O26" s="7"/>
      <c r="P26" s="9" t="n">
        <v>200</v>
      </c>
      <c r="Q26" s="9" t="n">
        <v>700</v>
      </c>
      <c r="R26" s="9"/>
      <c r="S26" s="9"/>
      <c r="T26" s="9"/>
    </row>
    <row collapsed="false" customFormat="false" customHeight="false" hidden="false" ht="30" outlineLevel="0" r="27">
      <c r="A27" s="7" t="s">
        <v>96</v>
      </c>
      <c r="B27" s="7" t="s">
        <v>97</v>
      </c>
      <c r="C27" s="7" t="s">
        <v>36</v>
      </c>
      <c r="D27" s="7" t="s">
        <v>98</v>
      </c>
      <c r="E27" s="7" t="s">
        <v>23</v>
      </c>
      <c r="F27" s="7" t="n">
        <v>543704</v>
      </c>
      <c r="G27" s="7" t="n">
        <v>247</v>
      </c>
      <c r="H27" s="7"/>
      <c r="I27" s="7"/>
      <c r="J27" s="14" t="n">
        <v>65.32</v>
      </c>
      <c r="K27" s="7" t="n">
        <v>50</v>
      </c>
      <c r="L27" s="8" t="n">
        <f aca="false">J27/K27</f>
        <v>1.3064</v>
      </c>
      <c r="M27" s="7" t="n">
        <v>250</v>
      </c>
      <c r="N27" s="8" t="n">
        <f aca="false">L27*M27</f>
        <v>326.6</v>
      </c>
      <c r="O27" s="7"/>
      <c r="P27" s="9"/>
      <c r="Q27" s="9"/>
      <c r="R27" s="9"/>
      <c r="S27" s="9"/>
      <c r="T27" s="9"/>
    </row>
    <row collapsed="false" customFormat="false" customHeight="false" hidden="false" ht="30" outlineLevel="0" r="28">
      <c r="A28" s="7" t="s">
        <v>99</v>
      </c>
      <c r="B28" s="7" t="s">
        <v>100</v>
      </c>
      <c r="C28" s="7" t="s">
        <v>101</v>
      </c>
      <c r="D28" s="7" t="n">
        <v>40171100</v>
      </c>
      <c r="E28" s="7" t="s">
        <v>23</v>
      </c>
      <c r="F28" s="7" t="n">
        <v>237326</v>
      </c>
      <c r="G28" s="7" t="n">
        <v>24030</v>
      </c>
      <c r="H28" s="7"/>
      <c r="I28" s="7"/>
      <c r="J28" s="10" t="n">
        <v>45.96</v>
      </c>
      <c r="K28" s="7" t="n">
        <v>500</v>
      </c>
      <c r="L28" s="8" t="n">
        <f aca="false">J28/K28</f>
        <v>0.09192</v>
      </c>
      <c r="M28" s="7" t="n">
        <f aca="false">500*49</f>
        <v>24500</v>
      </c>
      <c r="N28" s="8" t="n">
        <f aca="false">L28*M28</f>
        <v>2252.04</v>
      </c>
      <c r="O28" s="7"/>
      <c r="P28" s="9"/>
      <c r="Q28" s="9"/>
      <c r="R28" s="9"/>
      <c r="S28" s="9"/>
      <c r="T28" s="9"/>
    </row>
    <row collapsed="false" customFormat="false" customHeight="false" hidden="false" ht="30" outlineLevel="0" r="29">
      <c r="A29" s="7" t="s">
        <v>102</v>
      </c>
      <c r="B29" s="7" t="s">
        <v>103</v>
      </c>
      <c r="C29" s="7" t="s">
        <v>36</v>
      </c>
      <c r="D29" s="7" t="n">
        <v>82551200</v>
      </c>
      <c r="E29" s="7" t="s">
        <v>23</v>
      </c>
      <c r="F29" s="7" t="n">
        <v>293644</v>
      </c>
      <c r="G29" s="7" t="n">
        <v>21884</v>
      </c>
      <c r="H29" s="7"/>
      <c r="I29" s="7"/>
      <c r="J29" s="14" t="n">
        <v>70.6</v>
      </c>
      <c r="K29" s="7" t="n">
        <v>500</v>
      </c>
      <c r="L29" s="8" t="n">
        <f aca="false">J29/K29</f>
        <v>0.1412</v>
      </c>
      <c r="M29" s="7" t="n">
        <f aca="false">44*500</f>
        <v>22000</v>
      </c>
      <c r="N29" s="8" t="n">
        <f aca="false">L29*M29</f>
        <v>3106.4</v>
      </c>
      <c r="O29" s="7"/>
      <c r="P29" s="9"/>
      <c r="Q29" s="9"/>
      <c r="R29" s="9"/>
      <c r="S29" s="9"/>
      <c r="T29" s="15" t="s">
        <v>104</v>
      </c>
    </row>
    <row collapsed="false" customFormat="false" customHeight="false" hidden="false" ht="30" outlineLevel="0" r="30">
      <c r="A30" s="7" t="s">
        <v>105</v>
      </c>
      <c r="B30" s="7" t="s">
        <v>106</v>
      </c>
      <c r="C30" s="7" t="s">
        <v>107</v>
      </c>
      <c r="D30" s="7" t="n">
        <v>8887660127</v>
      </c>
      <c r="E30" s="7" t="s">
        <v>23</v>
      </c>
      <c r="F30" s="7" t="n">
        <v>163821</v>
      </c>
      <c r="G30" s="7" t="n">
        <v>705</v>
      </c>
      <c r="H30" s="7"/>
      <c r="I30" s="7"/>
      <c r="J30" s="14" t="n">
        <v>51.1</v>
      </c>
      <c r="K30" s="7" t="n">
        <v>100</v>
      </c>
      <c r="L30" s="8" t="n">
        <f aca="false">J30/K30</f>
        <v>0.511</v>
      </c>
      <c r="M30" s="7" t="n">
        <v>800</v>
      </c>
      <c r="N30" s="8" t="n">
        <f aca="false">L30*M30</f>
        <v>408.8</v>
      </c>
      <c r="O30" s="7"/>
      <c r="P30" s="9" t="n">
        <v>300</v>
      </c>
      <c r="Q30" s="9" t="n">
        <v>500</v>
      </c>
      <c r="R30" s="9"/>
      <c r="S30" s="9"/>
      <c r="T30" s="9"/>
    </row>
    <row collapsed="false" customFormat="false" customHeight="false" hidden="false" ht="30" outlineLevel="0" r="31">
      <c r="A31" s="7" t="s">
        <v>108</v>
      </c>
      <c r="B31" s="7" t="s">
        <v>109</v>
      </c>
      <c r="C31" s="7" t="s">
        <v>107</v>
      </c>
      <c r="D31" s="7" t="n">
        <v>8887660143</v>
      </c>
      <c r="E31" s="7" t="s">
        <v>23</v>
      </c>
      <c r="F31" s="7" t="n">
        <v>163822</v>
      </c>
      <c r="G31" s="7" t="n">
        <v>191</v>
      </c>
      <c r="H31" s="7"/>
      <c r="I31" s="7"/>
      <c r="J31" s="14" t="n">
        <v>51.1</v>
      </c>
      <c r="K31" s="7" t="n">
        <v>100</v>
      </c>
      <c r="L31" s="8" t="n">
        <f aca="false">J31/K31</f>
        <v>0.511</v>
      </c>
      <c r="M31" s="7" t="n">
        <v>200</v>
      </c>
      <c r="N31" s="8" t="n">
        <f aca="false">L31*M31</f>
        <v>102.2</v>
      </c>
      <c r="O31" s="7"/>
      <c r="P31" s="9"/>
      <c r="Q31" s="9"/>
      <c r="R31" s="9"/>
      <c r="S31" s="9"/>
      <c r="T31" s="9"/>
    </row>
    <row collapsed="false" customFormat="false" customHeight="false" hidden="false" ht="30" outlineLevel="0" r="32">
      <c r="A32" s="7" t="s">
        <v>110</v>
      </c>
      <c r="B32" s="7" t="s">
        <v>111</v>
      </c>
      <c r="C32" s="7" t="s">
        <v>112</v>
      </c>
      <c r="D32" s="7" t="n">
        <v>9672</v>
      </c>
      <c r="E32" s="7" t="s">
        <v>23</v>
      </c>
      <c r="F32" s="7" t="n">
        <v>459279</v>
      </c>
      <c r="G32" s="7" t="n">
        <v>1</v>
      </c>
      <c r="H32" s="7"/>
      <c r="I32" s="7"/>
      <c r="J32" s="14" t="n">
        <v>15.72</v>
      </c>
      <c r="K32" s="7" t="n">
        <v>1</v>
      </c>
      <c r="L32" s="8" t="n">
        <f aca="false">J32/K32</f>
        <v>15.72</v>
      </c>
      <c r="M32" s="7" t="n">
        <v>1</v>
      </c>
      <c r="N32" s="8" t="n">
        <f aca="false">L32*M32</f>
        <v>15.72</v>
      </c>
      <c r="O32" s="7"/>
      <c r="P32" s="9"/>
      <c r="Q32" s="9"/>
      <c r="R32" s="9"/>
      <c r="S32" s="9"/>
      <c r="T32" s="9"/>
    </row>
    <row collapsed="false" customFormat="false" customHeight="false" hidden="false" ht="30" outlineLevel="0" r="33">
      <c r="A33" s="7" t="s">
        <v>113</v>
      </c>
      <c r="B33" s="7" t="s">
        <v>114</v>
      </c>
      <c r="C33" s="7" t="s">
        <v>73</v>
      </c>
      <c r="D33" s="7" t="n">
        <v>9671</v>
      </c>
      <c r="E33" s="7" t="s">
        <v>23</v>
      </c>
      <c r="F33" s="7" t="n">
        <v>459278</v>
      </c>
      <c r="G33" s="7" t="n">
        <v>1</v>
      </c>
      <c r="H33" s="7"/>
      <c r="I33" s="7"/>
      <c r="J33" s="14" t="n">
        <v>49.04</v>
      </c>
      <c r="K33" s="7" t="n">
        <v>1</v>
      </c>
      <c r="L33" s="8" t="n">
        <f aca="false">J33/K33</f>
        <v>49.04</v>
      </c>
      <c r="M33" s="7" t="n">
        <v>1</v>
      </c>
      <c r="N33" s="8" t="n">
        <f aca="false">L33*M33</f>
        <v>49.04</v>
      </c>
      <c r="O33" s="7"/>
      <c r="P33" s="9"/>
      <c r="Q33" s="9"/>
      <c r="R33" s="9"/>
      <c r="S33" s="9"/>
      <c r="T33" s="9"/>
    </row>
    <row collapsed="false" customFormat="false" customHeight="false" hidden="false" ht="45" outlineLevel="0" r="34">
      <c r="A34" s="7" t="s">
        <v>115</v>
      </c>
      <c r="B34" s="7" t="s">
        <v>116</v>
      </c>
      <c r="C34" s="7" t="s">
        <v>85</v>
      </c>
      <c r="D34" s="7" t="n">
        <v>511</v>
      </c>
      <c r="E34" s="7" t="s">
        <v>23</v>
      </c>
      <c r="F34" s="7" t="n">
        <v>214904</v>
      </c>
      <c r="G34" s="7" t="n">
        <v>645</v>
      </c>
      <c r="H34" s="7"/>
      <c r="I34" s="7"/>
      <c r="J34" s="14" t="n">
        <v>14.35</v>
      </c>
      <c r="K34" s="7" t="n">
        <v>50</v>
      </c>
      <c r="L34" s="8" t="n">
        <f aca="false">J34/K34</f>
        <v>0.287</v>
      </c>
      <c r="M34" s="7" t="n">
        <f aca="false">50*13</f>
        <v>650</v>
      </c>
      <c r="N34" s="8" t="n">
        <f aca="false">L34*M34</f>
        <v>186.55</v>
      </c>
      <c r="O34" s="7"/>
      <c r="P34" s="9"/>
      <c r="Q34" s="9"/>
      <c r="R34" s="9"/>
      <c r="S34" s="9"/>
      <c r="T34" s="9"/>
    </row>
    <row collapsed="false" customFormat="false" customHeight="false" hidden="false" ht="45" outlineLevel="0" r="35">
      <c r="A35" s="7" t="s">
        <v>117</v>
      </c>
      <c r="B35" s="7" t="s">
        <v>118</v>
      </c>
      <c r="C35" s="7" t="s">
        <v>119</v>
      </c>
      <c r="D35" s="7" t="n">
        <v>23316156</v>
      </c>
      <c r="E35" s="7" t="s">
        <v>23</v>
      </c>
      <c r="F35" s="7" t="n">
        <v>530581</v>
      </c>
      <c r="G35" s="7" t="n">
        <v>156</v>
      </c>
      <c r="H35" s="7"/>
      <c r="I35" s="7"/>
      <c r="J35" s="14" t="n">
        <v>65.93</v>
      </c>
      <c r="K35" s="7" t="n">
        <v>75</v>
      </c>
      <c r="L35" s="8" t="n">
        <f aca="false">J35/K35</f>
        <v>0.879066666666667</v>
      </c>
      <c r="M35" s="7" t="n">
        <f aca="false">3*75</f>
        <v>225</v>
      </c>
      <c r="N35" s="8" t="n">
        <f aca="false">L35*M35</f>
        <v>197.79</v>
      </c>
      <c r="O35" s="7"/>
      <c r="P35" s="9"/>
      <c r="Q35" s="9"/>
      <c r="R35" s="9"/>
      <c r="S35" s="9"/>
      <c r="T35" s="9"/>
    </row>
    <row collapsed="false" customFormat="false" customHeight="false" hidden="false" ht="30" outlineLevel="0" r="36">
      <c r="A36" s="7" t="s">
        <v>120</v>
      </c>
      <c r="B36" s="7" t="s">
        <v>121</v>
      </c>
      <c r="C36" s="7" t="s">
        <v>122</v>
      </c>
      <c r="D36" s="7" t="s">
        <v>123</v>
      </c>
      <c r="E36" s="7" t="s">
        <v>23</v>
      </c>
      <c r="F36" s="7" t="n">
        <v>747127</v>
      </c>
      <c r="G36" s="7" t="n">
        <v>5232</v>
      </c>
      <c r="H36" s="7"/>
      <c r="I36" s="7"/>
      <c r="J36" s="14" t="n">
        <v>72.38</v>
      </c>
      <c r="K36" s="7" t="n">
        <v>60</v>
      </c>
      <c r="L36" s="8" t="n">
        <f aca="false">J36/K36</f>
        <v>1.20633333333333</v>
      </c>
      <c r="M36" s="7" t="n">
        <f aca="false">60*88</f>
        <v>5280</v>
      </c>
      <c r="N36" s="8" t="n">
        <f aca="false">L36*M36</f>
        <v>6369.44</v>
      </c>
      <c r="O36" s="7"/>
      <c r="P36" s="9"/>
      <c r="Q36" s="9"/>
      <c r="R36" s="9"/>
      <c r="S36" s="9"/>
      <c r="T36" s="9"/>
    </row>
    <row collapsed="false" customFormat="false" customHeight="false" hidden="false" ht="45" outlineLevel="0" r="37">
      <c r="A37" s="7" t="s">
        <v>124</v>
      </c>
      <c r="B37" s="7" t="s">
        <v>125</v>
      </c>
      <c r="C37" s="7" t="s">
        <v>126</v>
      </c>
      <c r="D37" s="7" t="n">
        <v>379015</v>
      </c>
      <c r="E37" s="7" t="s">
        <v>23</v>
      </c>
      <c r="F37" s="7" t="n">
        <v>151200</v>
      </c>
      <c r="G37" s="7" t="n">
        <v>450</v>
      </c>
      <c r="H37" s="7"/>
      <c r="I37" s="7"/>
      <c r="J37" s="14" t="n">
        <v>41.89</v>
      </c>
      <c r="K37" s="7" t="n">
        <v>20</v>
      </c>
      <c r="L37" s="8" t="n">
        <f aca="false">J37/K37</f>
        <v>2.0945</v>
      </c>
      <c r="M37" s="7" t="n">
        <f aca="false">20*23</f>
        <v>460</v>
      </c>
      <c r="N37" s="8" t="n">
        <f aca="false">L37*M37</f>
        <v>963.47</v>
      </c>
      <c r="O37" s="7"/>
      <c r="P37" s="9"/>
      <c r="Q37" s="9"/>
      <c r="R37" s="9"/>
      <c r="S37" s="9"/>
      <c r="T37" s="9"/>
    </row>
    <row collapsed="false" customFormat="false" customHeight="false" hidden="false" ht="30" outlineLevel="0" r="38">
      <c r="A38" s="7" t="s">
        <v>127</v>
      </c>
      <c r="B38" s="7" t="s">
        <v>128</v>
      </c>
      <c r="C38" s="7" t="s">
        <v>36</v>
      </c>
      <c r="D38" s="7" t="s">
        <v>129</v>
      </c>
      <c r="E38" s="7" t="s">
        <v>23</v>
      </c>
      <c r="F38" s="7" t="n">
        <v>730974</v>
      </c>
      <c r="G38" s="7" t="n">
        <v>4625</v>
      </c>
      <c r="H38" s="7"/>
      <c r="I38" s="7"/>
      <c r="J38" s="14" t="n">
        <v>28.01</v>
      </c>
      <c r="K38" s="7" t="n">
        <v>96</v>
      </c>
      <c r="L38" s="8" t="n">
        <f aca="false">J38/K38</f>
        <v>0.291770833333333</v>
      </c>
      <c r="M38" s="7" t="n">
        <f aca="false">96*49</f>
        <v>4704</v>
      </c>
      <c r="N38" s="8" t="n">
        <f aca="false">L38*M38</f>
        <v>1372.49</v>
      </c>
      <c r="O38" s="7"/>
      <c r="P38" s="9"/>
      <c r="Q38" s="9"/>
      <c r="R38" s="9"/>
      <c r="S38" s="9"/>
      <c r="T38" s="9"/>
    </row>
    <row collapsed="false" customFormat="false" customHeight="false" hidden="false" ht="30" outlineLevel="0" r="39">
      <c r="A39" s="7" t="s">
        <v>130</v>
      </c>
      <c r="B39" s="7" t="s">
        <v>131</v>
      </c>
      <c r="C39" s="7" t="s">
        <v>132</v>
      </c>
      <c r="D39" s="7" t="n">
        <v>30374</v>
      </c>
      <c r="E39" s="7" t="s">
        <v>23</v>
      </c>
      <c r="F39" s="7" t="n">
        <v>330696</v>
      </c>
      <c r="G39" s="7" t="n">
        <v>17260</v>
      </c>
      <c r="H39" s="7"/>
      <c r="I39" s="7"/>
      <c r="J39" s="14" t="n">
        <v>19.92</v>
      </c>
      <c r="K39" s="7" t="n">
        <v>240</v>
      </c>
      <c r="L39" s="8" t="n">
        <f aca="false">J39/K39</f>
        <v>0.083</v>
      </c>
      <c r="M39" s="7" t="n">
        <f aca="false">240*72</f>
        <v>17280</v>
      </c>
      <c r="N39" s="8" t="n">
        <f aca="false">L39*M39</f>
        <v>1434.24</v>
      </c>
      <c r="O39" s="7"/>
      <c r="P39" s="9"/>
      <c r="Q39" s="9"/>
      <c r="R39" s="9"/>
      <c r="S39" s="9"/>
      <c r="T39" s="9"/>
    </row>
    <row collapsed="false" customFormat="false" customHeight="false" hidden="false" ht="30" outlineLevel="0" r="40">
      <c r="A40" s="7" t="s">
        <v>133</v>
      </c>
      <c r="B40" s="7" t="s">
        <v>134</v>
      </c>
      <c r="C40" s="7" t="s">
        <v>107</v>
      </c>
      <c r="D40" s="7" t="n">
        <v>8888515205</v>
      </c>
      <c r="E40" s="7" t="s">
        <v>23</v>
      </c>
      <c r="F40" s="7" t="n">
        <v>161374</v>
      </c>
      <c r="G40" s="7" t="n">
        <v>22</v>
      </c>
      <c r="H40" s="7"/>
      <c r="I40" s="7"/>
      <c r="J40" s="14" t="n">
        <v>48.52</v>
      </c>
      <c r="K40" s="7" t="n">
        <v>50</v>
      </c>
      <c r="L40" s="8" t="n">
        <f aca="false">J40/K40</f>
        <v>0.9704</v>
      </c>
      <c r="M40" s="7" t="n">
        <v>50</v>
      </c>
      <c r="N40" s="8" t="n">
        <f aca="false">L40*M40</f>
        <v>48.52</v>
      </c>
      <c r="O40" s="7"/>
      <c r="P40" s="9"/>
      <c r="Q40" s="9"/>
      <c r="R40" s="9"/>
      <c r="S40" s="9"/>
      <c r="T40" s="9"/>
    </row>
    <row collapsed="false" customFormat="false" customHeight="false" hidden="false" ht="30" outlineLevel="0" r="41">
      <c r="A41" s="7" t="s">
        <v>135</v>
      </c>
      <c r="B41" s="7" t="s">
        <v>136</v>
      </c>
      <c r="C41" s="7" t="s">
        <v>107</v>
      </c>
      <c r="D41" s="7" t="n">
        <v>8888514604</v>
      </c>
      <c r="E41" s="7" t="s">
        <v>23</v>
      </c>
      <c r="F41" s="7" t="n">
        <v>163850</v>
      </c>
      <c r="G41" s="7" t="n">
        <v>183</v>
      </c>
      <c r="H41" s="7"/>
      <c r="I41" s="7"/>
      <c r="J41" s="14" t="n">
        <v>46.34</v>
      </c>
      <c r="K41" s="7" t="n">
        <v>50</v>
      </c>
      <c r="L41" s="8" t="n">
        <f aca="false">J41/K41</f>
        <v>0.9268</v>
      </c>
      <c r="M41" s="7" t="n">
        <v>200</v>
      </c>
      <c r="N41" s="8" t="n">
        <f aca="false">L41*M41</f>
        <v>185.36</v>
      </c>
      <c r="O41" s="7"/>
      <c r="P41" s="9"/>
      <c r="Q41" s="9"/>
      <c r="R41" s="9"/>
      <c r="S41" s="9"/>
      <c r="T41" s="9"/>
    </row>
    <row collapsed="false" customFormat="false" customHeight="false" hidden="false" ht="45" outlineLevel="0" r="42">
      <c r="A42" s="7" t="s">
        <v>137</v>
      </c>
      <c r="B42" s="7" t="s">
        <v>138</v>
      </c>
      <c r="C42" s="7" t="s">
        <v>22</v>
      </c>
      <c r="D42" s="7" t="s">
        <v>139</v>
      </c>
      <c r="E42" s="7" t="s">
        <v>23</v>
      </c>
      <c r="F42" s="7" t="n">
        <v>409243</v>
      </c>
      <c r="G42" s="7" t="n">
        <v>19</v>
      </c>
      <c r="H42" s="7"/>
      <c r="I42" s="7"/>
      <c r="J42" s="14" t="n">
        <v>431.22</v>
      </c>
      <c r="K42" s="7" t="n">
        <v>6</v>
      </c>
      <c r="L42" s="8" t="n">
        <f aca="false">J42/K42</f>
        <v>71.87</v>
      </c>
      <c r="M42" s="7" t="n">
        <v>24</v>
      </c>
      <c r="N42" s="8" t="n">
        <f aca="false">L42*M42</f>
        <v>1724.88</v>
      </c>
      <c r="O42" s="7"/>
      <c r="P42" s="9"/>
      <c r="Q42" s="9"/>
      <c r="R42" s="9"/>
      <c r="S42" s="9"/>
      <c r="T42" s="9"/>
    </row>
    <row collapsed="false" customFormat="false" customHeight="false" hidden="false" ht="30" outlineLevel="0" r="43">
      <c r="A43" s="7" t="s">
        <v>140</v>
      </c>
      <c r="B43" s="7" t="s">
        <v>141</v>
      </c>
      <c r="C43" s="7" t="s">
        <v>142</v>
      </c>
      <c r="D43" s="7" t="n">
        <v>89207</v>
      </c>
      <c r="E43" s="7" t="s">
        <v>23</v>
      </c>
      <c r="F43" s="7" t="n">
        <v>471671</v>
      </c>
      <c r="G43" s="7" t="n">
        <v>720</v>
      </c>
      <c r="H43" s="7"/>
      <c r="I43" s="7"/>
      <c r="J43" s="14" t="n">
        <v>114.06</v>
      </c>
      <c r="K43" s="7" t="n">
        <v>40</v>
      </c>
      <c r="L43" s="8" t="n">
        <f aca="false">J43/K43</f>
        <v>2.8515</v>
      </c>
      <c r="M43" s="7" t="n">
        <f aca="false">40*18</f>
        <v>720</v>
      </c>
      <c r="N43" s="8" t="n">
        <f aca="false">L43*M43</f>
        <v>2053.08</v>
      </c>
      <c r="O43" s="7"/>
      <c r="P43" s="9"/>
      <c r="Q43" s="9"/>
      <c r="R43" s="9"/>
      <c r="S43" s="9"/>
      <c r="T43" s="9"/>
    </row>
    <row collapsed="false" customFormat="false" customHeight="false" hidden="false" ht="45" outlineLevel="0" r="44">
      <c r="A44" s="7" t="s">
        <v>143</v>
      </c>
      <c r="B44" s="7" t="s">
        <v>144</v>
      </c>
      <c r="C44" s="7" t="s">
        <v>122</v>
      </c>
      <c r="D44" s="7" t="s">
        <v>145</v>
      </c>
      <c r="E44" s="7" t="s">
        <v>23</v>
      </c>
      <c r="F44" s="7" t="n">
        <v>738371</v>
      </c>
      <c r="G44" s="7" t="n">
        <v>2167</v>
      </c>
      <c r="H44" s="7"/>
      <c r="I44" s="7"/>
      <c r="J44" s="14" t="n">
        <v>107.57</v>
      </c>
      <c r="K44" s="7" t="n">
        <v>18</v>
      </c>
      <c r="L44" s="8" t="n">
        <f aca="false">J44/K44</f>
        <v>5.97611111111111</v>
      </c>
      <c r="M44" s="7" t="n">
        <f aca="false">18*121</f>
        <v>2178</v>
      </c>
      <c r="N44" s="8" t="n">
        <f aca="false">L44*M44</f>
        <v>13015.97</v>
      </c>
      <c r="O44" s="7"/>
      <c r="P44" s="9"/>
      <c r="Q44" s="9"/>
      <c r="R44" s="9"/>
      <c r="S44" s="9"/>
      <c r="T44" s="9"/>
    </row>
    <row collapsed="false" customFormat="false" customHeight="false" hidden="false" ht="30" outlineLevel="0" r="45">
      <c r="A45" s="7" t="s">
        <v>146</v>
      </c>
      <c r="B45" s="7" t="s">
        <v>147</v>
      </c>
      <c r="C45" s="7" t="s">
        <v>142</v>
      </c>
      <c r="D45" s="7" t="n">
        <v>89231</v>
      </c>
      <c r="E45" s="7" t="s">
        <v>23</v>
      </c>
      <c r="F45" s="7" t="n">
        <v>141443</v>
      </c>
      <c r="G45" s="7" t="n">
        <v>702</v>
      </c>
      <c r="H45" s="7"/>
      <c r="I45" s="7"/>
      <c r="J45" s="14" t="n">
        <v>105.83</v>
      </c>
      <c r="K45" s="7" t="n">
        <v>14</v>
      </c>
      <c r="L45" s="8" t="n">
        <f aca="false">J45/K45</f>
        <v>7.55928571428571</v>
      </c>
      <c r="M45" s="7" t="n">
        <f aca="false">14*51</f>
        <v>714</v>
      </c>
      <c r="N45" s="8" t="n">
        <f aca="false">L45*M45</f>
        <v>5397.33</v>
      </c>
      <c r="O45" s="7"/>
      <c r="P45" s="9"/>
      <c r="Q45" s="9"/>
      <c r="R45" s="9"/>
      <c r="S45" s="9"/>
      <c r="T45" s="9"/>
    </row>
    <row collapsed="false" customFormat="false" customHeight="false" hidden="false" ht="30" outlineLevel="0" r="46">
      <c r="A46" s="7" t="s">
        <v>148</v>
      </c>
      <c r="B46" s="7" t="s">
        <v>149</v>
      </c>
      <c r="C46" s="7" t="s">
        <v>150</v>
      </c>
      <c r="D46" s="7" t="n">
        <v>1092</v>
      </c>
      <c r="E46" s="7" t="s">
        <v>23</v>
      </c>
      <c r="F46" s="7"/>
      <c r="G46" s="7" t="n">
        <v>2160</v>
      </c>
      <c r="H46" s="7"/>
      <c r="I46" s="7"/>
      <c r="J46" s="14" t="n">
        <v>54.78</v>
      </c>
      <c r="K46" s="7" t="n">
        <v>25</v>
      </c>
      <c r="L46" s="8" t="n">
        <f aca="false">J46/K46</f>
        <v>2.1912</v>
      </c>
      <c r="M46" s="7" t="n">
        <f aca="false">25*87</f>
        <v>2175</v>
      </c>
      <c r="N46" s="8" t="n">
        <f aca="false">L46*M46</f>
        <v>4765.86</v>
      </c>
      <c r="O46" s="7"/>
      <c r="P46" s="9"/>
      <c r="Q46" s="9"/>
      <c r="R46" s="9"/>
      <c r="S46" s="9"/>
      <c r="T46" s="9"/>
    </row>
    <row collapsed="false" customFormat="false" customHeight="false" hidden="false" ht="30" outlineLevel="0" r="47">
      <c r="A47" s="7" t="s">
        <v>151</v>
      </c>
      <c r="B47" s="7" t="s">
        <v>152</v>
      </c>
      <c r="C47" s="7" t="s">
        <v>122</v>
      </c>
      <c r="D47" s="7" t="s">
        <v>153</v>
      </c>
      <c r="E47" s="7" t="s">
        <v>23</v>
      </c>
      <c r="F47" s="7" t="n">
        <v>738383</v>
      </c>
      <c r="G47" s="7" t="n">
        <v>2133</v>
      </c>
      <c r="H47" s="7"/>
      <c r="I47" s="7"/>
      <c r="J47" s="14" t="n">
        <v>126.4</v>
      </c>
      <c r="K47" s="7" t="n">
        <v>18</v>
      </c>
      <c r="L47" s="8" t="n">
        <f aca="false">J47/K47</f>
        <v>7.02222222222222</v>
      </c>
      <c r="M47" s="7" t="n">
        <f aca="false">18*120</f>
        <v>2160</v>
      </c>
      <c r="N47" s="8" t="n">
        <f aca="false">L47*M47</f>
        <v>15168</v>
      </c>
      <c r="O47" s="7"/>
      <c r="P47" s="9"/>
      <c r="Q47" s="9"/>
      <c r="R47" s="9"/>
      <c r="S47" s="9"/>
      <c r="T47" s="9"/>
    </row>
    <row collapsed="false" customFormat="false" customHeight="false" hidden="false" ht="30" outlineLevel="0" r="48">
      <c r="A48" s="7" t="s">
        <v>154</v>
      </c>
      <c r="B48" s="7" t="s">
        <v>155</v>
      </c>
      <c r="C48" s="7" t="s">
        <v>122</v>
      </c>
      <c r="D48" s="7" t="s">
        <v>156</v>
      </c>
      <c r="E48" s="7" t="s">
        <v>23</v>
      </c>
      <c r="F48" s="7" t="n">
        <v>738367</v>
      </c>
      <c r="G48" s="7" t="n">
        <v>8820</v>
      </c>
      <c r="H48" s="7"/>
      <c r="I48" s="7"/>
      <c r="J48" s="14" t="n">
        <v>137.98</v>
      </c>
      <c r="K48" s="7" t="n">
        <v>60</v>
      </c>
      <c r="L48" s="8" t="n">
        <f aca="false">J48/K48</f>
        <v>2.29966666666667</v>
      </c>
      <c r="M48" s="7" t="n">
        <f aca="false">60*147</f>
        <v>8820</v>
      </c>
      <c r="N48" s="8" t="n">
        <f aca="false">L48*M48</f>
        <v>20283.06</v>
      </c>
      <c r="O48" s="7"/>
      <c r="P48" s="9" t="n">
        <v>1020</v>
      </c>
      <c r="Q48" s="9" t="n">
        <f aca="false">M48-P48</f>
        <v>7800</v>
      </c>
      <c r="R48" s="9"/>
      <c r="S48" s="9"/>
      <c r="T48" s="9"/>
    </row>
    <row collapsed="false" customFormat="false" customHeight="false" hidden="false" ht="30" outlineLevel="0" r="49">
      <c r="A49" s="7" t="s">
        <v>157</v>
      </c>
      <c r="B49" s="7" t="s">
        <v>158</v>
      </c>
      <c r="C49" s="7" t="s">
        <v>159</v>
      </c>
      <c r="D49" s="7" t="s">
        <v>160</v>
      </c>
      <c r="E49" s="7" t="s">
        <v>161</v>
      </c>
      <c r="F49" s="7" t="n">
        <v>68107</v>
      </c>
      <c r="G49" s="7" t="n">
        <v>5</v>
      </c>
      <c r="H49" s="7"/>
      <c r="I49" s="7"/>
      <c r="J49" s="14" t="n">
        <v>12.75</v>
      </c>
      <c r="K49" s="7" t="n">
        <v>50</v>
      </c>
      <c r="L49" s="8" t="n">
        <f aca="false">J49/K49</f>
        <v>0.255</v>
      </c>
      <c r="M49" s="7" t="n">
        <v>50</v>
      </c>
      <c r="N49" s="8" t="n">
        <f aca="false">L49*M49</f>
        <v>12.75</v>
      </c>
      <c r="O49" s="7"/>
      <c r="P49" s="9"/>
      <c r="Q49" s="9"/>
      <c r="R49" s="9"/>
      <c r="S49" s="9"/>
      <c r="T49" s="9"/>
    </row>
    <row collapsed="false" customFormat="false" customHeight="false" hidden="false" ht="30" outlineLevel="0" r="50">
      <c r="A50" s="7" t="s">
        <v>162</v>
      </c>
      <c r="B50" s="7" t="s">
        <v>163</v>
      </c>
      <c r="C50" s="7" t="s">
        <v>112</v>
      </c>
      <c r="D50" s="7" t="n">
        <v>16004</v>
      </c>
      <c r="E50" s="7" t="s">
        <v>23</v>
      </c>
      <c r="F50" s="7" t="n">
        <v>521719</v>
      </c>
      <c r="G50" s="7" t="n">
        <v>93</v>
      </c>
      <c r="H50" s="7"/>
      <c r="I50" s="7"/>
      <c r="J50" s="14" t="n">
        <v>143.45</v>
      </c>
      <c r="K50" s="7" t="n">
        <v>4</v>
      </c>
      <c r="L50" s="8" t="n">
        <f aca="false">J50/K50</f>
        <v>35.8625</v>
      </c>
      <c r="M50" s="7" t="n">
        <f aca="false">4*24</f>
        <v>96</v>
      </c>
      <c r="N50" s="8" t="n">
        <f aca="false">L50*M50</f>
        <v>3442.8</v>
      </c>
      <c r="O50" s="7"/>
      <c r="P50" s="9" t="n">
        <v>96</v>
      </c>
      <c r="Q50" s="9" t="n">
        <v>0</v>
      </c>
      <c r="R50" s="9"/>
      <c r="S50" s="9"/>
      <c r="T50" s="9"/>
    </row>
    <row collapsed="false" customFormat="false" customHeight="false" hidden="false" ht="30" outlineLevel="0" r="51">
      <c r="A51" s="7" t="s">
        <v>164</v>
      </c>
      <c r="B51" s="7" t="s">
        <v>165</v>
      </c>
      <c r="C51" s="7" t="s">
        <v>36</v>
      </c>
      <c r="D51" s="7" t="s">
        <v>166</v>
      </c>
      <c r="E51" s="7" t="s">
        <v>23</v>
      </c>
      <c r="F51" s="7" t="n">
        <v>521475</v>
      </c>
      <c r="G51" s="7" t="n">
        <v>875</v>
      </c>
      <c r="H51" s="7"/>
      <c r="I51" s="7"/>
      <c r="J51" s="14" t="n">
        <v>34.6</v>
      </c>
      <c r="K51" s="7" t="n">
        <v>50</v>
      </c>
      <c r="L51" s="8" t="n">
        <f aca="false">J51/K51</f>
        <v>0.692</v>
      </c>
      <c r="M51" s="7" t="n">
        <f aca="false">50*18</f>
        <v>900</v>
      </c>
      <c r="N51" s="8" t="n">
        <f aca="false">L51*M51</f>
        <v>622.8</v>
      </c>
      <c r="O51" s="7"/>
      <c r="P51" s="9"/>
      <c r="Q51" s="9"/>
      <c r="R51" s="9"/>
      <c r="S51" s="9"/>
      <c r="T51" s="9"/>
    </row>
    <row collapsed="false" customFormat="false" customHeight="false" hidden="false" ht="26.25" outlineLevel="0" r="52">
      <c r="A52" s="7" t="s">
        <v>167</v>
      </c>
      <c r="B52" s="16" t="s">
        <v>168</v>
      </c>
      <c r="C52" s="7" t="s">
        <v>169</v>
      </c>
      <c r="D52" s="17" t="s">
        <v>170</v>
      </c>
      <c r="E52" s="7" t="s">
        <v>161</v>
      </c>
      <c r="F52" s="7"/>
      <c r="G52" s="7" t="n">
        <v>12501</v>
      </c>
      <c r="H52" s="7"/>
      <c r="I52" s="7"/>
      <c r="J52" s="18" t="n">
        <v>57.6</v>
      </c>
      <c r="K52" s="11" t="n">
        <v>1000</v>
      </c>
      <c r="L52" s="8" t="n">
        <f aca="false">J52/K52</f>
        <v>0.0576</v>
      </c>
      <c r="M52" s="11" t="n">
        <v>14000</v>
      </c>
      <c r="N52" s="8" t="n">
        <f aca="false">L52*M52</f>
        <v>806.4</v>
      </c>
      <c r="O52" s="11"/>
      <c r="P52" s="9" t="n">
        <v>4000</v>
      </c>
      <c r="Q52" s="19" t="n">
        <v>10000</v>
      </c>
      <c r="R52" s="9"/>
      <c r="S52" s="9"/>
      <c r="T52" s="7"/>
    </row>
    <row collapsed="false" customFormat="false" customHeight="false" hidden="false" ht="30" outlineLevel="0" r="53">
      <c r="A53" s="7" t="s">
        <v>171</v>
      </c>
      <c r="B53" s="7" t="s">
        <v>172</v>
      </c>
      <c r="C53" s="7" t="s">
        <v>173</v>
      </c>
      <c r="D53" s="7" t="s">
        <v>174</v>
      </c>
      <c r="E53" s="7" t="s">
        <v>23</v>
      </c>
      <c r="F53" s="7" t="n">
        <v>295970</v>
      </c>
      <c r="G53" s="7" t="n">
        <v>2210</v>
      </c>
      <c r="H53" s="7"/>
      <c r="I53" s="7"/>
      <c r="J53" s="14" t="n">
        <v>212.97</v>
      </c>
      <c r="K53" s="7" t="n">
        <v>50</v>
      </c>
      <c r="L53" s="8" t="n">
        <f aca="false">J53/K53</f>
        <v>4.2594</v>
      </c>
      <c r="M53" s="7" t="n">
        <f aca="false">50*45</f>
        <v>2250</v>
      </c>
      <c r="N53" s="8" t="n">
        <f aca="false">L53*M53</f>
        <v>9583.65</v>
      </c>
      <c r="O53" s="7"/>
      <c r="P53" s="9"/>
      <c r="Q53" s="9"/>
      <c r="R53" s="9"/>
      <c r="S53" s="9"/>
      <c r="T53" s="9"/>
    </row>
    <row collapsed="false" customFormat="false" customHeight="false" hidden="false" ht="30" outlineLevel="0" r="54">
      <c r="A54" s="7" t="s">
        <v>175</v>
      </c>
      <c r="B54" s="7" t="s">
        <v>176</v>
      </c>
      <c r="C54" s="7" t="s">
        <v>161</v>
      </c>
      <c r="D54" s="7" t="n">
        <v>19322160</v>
      </c>
      <c r="E54" s="7" t="s">
        <v>23</v>
      </c>
      <c r="F54" s="7"/>
      <c r="G54" s="7" t="n">
        <v>335</v>
      </c>
      <c r="H54" s="7"/>
      <c r="I54" s="7"/>
      <c r="J54" s="14" t="n">
        <v>63.4</v>
      </c>
      <c r="K54" s="7" t="n">
        <v>10</v>
      </c>
      <c r="L54" s="8" t="n">
        <f aca="false">J54/K54</f>
        <v>6.34</v>
      </c>
      <c r="M54" s="7" t="n">
        <v>340</v>
      </c>
      <c r="N54" s="8" t="n">
        <f aca="false">L54*M54</f>
        <v>2155.6</v>
      </c>
      <c r="O54" s="7"/>
      <c r="P54" s="9"/>
      <c r="Q54" s="9"/>
      <c r="R54" s="9"/>
      <c r="S54" s="9"/>
      <c r="T54" s="9"/>
    </row>
    <row collapsed="false" customFormat="false" customHeight="false" hidden="false" ht="90" outlineLevel="0" r="55">
      <c r="A55" s="7" t="s">
        <v>177</v>
      </c>
      <c r="B55" s="7" t="s">
        <v>178</v>
      </c>
      <c r="C55" s="7" t="s">
        <v>179</v>
      </c>
      <c r="D55" s="7" t="s">
        <v>180</v>
      </c>
      <c r="E55" s="7" t="s">
        <v>23</v>
      </c>
      <c r="F55" s="7" t="n">
        <v>694933</v>
      </c>
      <c r="G55" s="7" t="n">
        <v>1193</v>
      </c>
      <c r="H55" s="7" t="s">
        <v>181</v>
      </c>
      <c r="I55" s="7"/>
      <c r="J55" s="10" t="n">
        <v>77.48</v>
      </c>
      <c r="K55" s="11" t="n">
        <v>50</v>
      </c>
      <c r="L55" s="8" t="n">
        <f aca="false">J55/K55</f>
        <v>1.5496</v>
      </c>
      <c r="M55" s="11" t="n">
        <f aca="false">50*24</f>
        <v>1200</v>
      </c>
      <c r="N55" s="8" t="n">
        <f aca="false">L55*M55</f>
        <v>1859.52</v>
      </c>
      <c r="O55" s="11"/>
      <c r="P55" s="9"/>
      <c r="Q55" s="9"/>
      <c r="R55" s="9"/>
      <c r="S55" s="9"/>
      <c r="T55" s="15" t="s">
        <v>182</v>
      </c>
    </row>
    <row collapsed="false" customFormat="false" customHeight="false" hidden="false" ht="30" outlineLevel="0" r="56">
      <c r="A56" s="7" t="s">
        <v>183</v>
      </c>
      <c r="B56" s="7" t="s">
        <v>184</v>
      </c>
      <c r="C56" s="7" t="s">
        <v>185</v>
      </c>
      <c r="D56" s="7" t="s">
        <v>186</v>
      </c>
      <c r="E56" s="7" t="s">
        <v>23</v>
      </c>
      <c r="F56" s="7" t="n">
        <v>382261</v>
      </c>
      <c r="G56" s="7" t="n">
        <v>56</v>
      </c>
      <c r="H56" s="7"/>
      <c r="I56" s="7"/>
      <c r="J56" s="14" t="n">
        <v>284.21</v>
      </c>
      <c r="K56" s="7" t="n">
        <v>12</v>
      </c>
      <c r="L56" s="8" t="n">
        <f aca="false">J56/K56</f>
        <v>23.6841666666667</v>
      </c>
      <c r="M56" s="7" t="n">
        <f aca="false">12*5</f>
        <v>60</v>
      </c>
      <c r="N56" s="8" t="n">
        <f aca="false">L56*M56</f>
        <v>1421.05</v>
      </c>
      <c r="O56" s="7"/>
      <c r="P56" s="9"/>
      <c r="Q56" s="9"/>
      <c r="R56" s="9"/>
      <c r="S56" s="9"/>
      <c r="T56" s="9"/>
    </row>
    <row collapsed="false" customFormat="false" customHeight="false" hidden="false" ht="30" outlineLevel="0" r="57">
      <c r="A57" s="7" t="s">
        <v>187</v>
      </c>
      <c r="B57" s="7" t="s">
        <v>188</v>
      </c>
      <c r="C57" s="7" t="s">
        <v>107</v>
      </c>
      <c r="D57" s="7" t="n">
        <v>8888261206</v>
      </c>
      <c r="E57" s="7" t="s">
        <v>23</v>
      </c>
      <c r="F57" s="7" t="n">
        <v>163090</v>
      </c>
      <c r="G57" s="7" t="n">
        <v>3</v>
      </c>
      <c r="H57" s="7"/>
      <c r="I57" s="7"/>
      <c r="J57" s="14" t="n">
        <v>16.4</v>
      </c>
      <c r="K57" s="7" t="n">
        <v>10</v>
      </c>
      <c r="L57" s="8" t="n">
        <f aca="false">J57/K57</f>
        <v>1.64</v>
      </c>
      <c r="M57" s="7" t="n">
        <v>10</v>
      </c>
      <c r="N57" s="8" t="n">
        <f aca="false">L57*M57</f>
        <v>16.4</v>
      </c>
      <c r="O57" s="7"/>
      <c r="P57" s="9"/>
      <c r="Q57" s="9"/>
      <c r="R57" s="9"/>
      <c r="S57" s="9"/>
      <c r="T57" s="9"/>
    </row>
    <row collapsed="false" customFormat="false" customHeight="false" hidden="false" ht="30" outlineLevel="0" r="58">
      <c r="A58" s="7" t="s">
        <v>189</v>
      </c>
      <c r="B58" s="7" t="s">
        <v>190</v>
      </c>
      <c r="C58" s="7" t="s">
        <v>22</v>
      </c>
      <c r="D58" s="7" t="n">
        <v>1605</v>
      </c>
      <c r="E58" s="7" t="s">
        <v>23</v>
      </c>
      <c r="F58" s="7" t="n">
        <v>349464</v>
      </c>
      <c r="G58" s="7" t="n">
        <v>891</v>
      </c>
      <c r="H58" s="7"/>
      <c r="I58" s="7"/>
      <c r="J58" s="14" t="n">
        <v>56.1</v>
      </c>
      <c r="K58" s="7" t="n">
        <v>50</v>
      </c>
      <c r="L58" s="8" t="n">
        <f aca="false">J58/K58</f>
        <v>1.122</v>
      </c>
      <c r="M58" s="7" t="n">
        <f aca="false">50*18</f>
        <v>900</v>
      </c>
      <c r="N58" s="8" t="n">
        <f aca="false">L58*M58</f>
        <v>1009.8</v>
      </c>
      <c r="O58" s="7"/>
      <c r="P58" s="9"/>
      <c r="Q58" s="9"/>
      <c r="R58" s="9"/>
      <c r="S58" s="9"/>
      <c r="T58" s="9"/>
    </row>
    <row collapsed="false" customFormat="false" customHeight="false" hidden="false" ht="30" outlineLevel="0" r="59">
      <c r="A59" s="7" t="s">
        <v>191</v>
      </c>
      <c r="B59" s="7" t="s">
        <v>192</v>
      </c>
      <c r="C59" s="7" t="s">
        <v>193</v>
      </c>
      <c r="D59" s="7" t="s">
        <v>194</v>
      </c>
      <c r="E59" s="7" t="s">
        <v>23</v>
      </c>
      <c r="F59" s="7" t="n">
        <v>697825</v>
      </c>
      <c r="G59" s="7" t="n">
        <v>6730</v>
      </c>
      <c r="H59" s="7"/>
      <c r="I59" s="7"/>
      <c r="J59" s="14" t="n">
        <v>90.58</v>
      </c>
      <c r="K59" s="7" t="n">
        <v>480</v>
      </c>
      <c r="L59" s="8" t="n">
        <f aca="false">J59/K59</f>
        <v>0.188708333333333</v>
      </c>
      <c r="M59" s="7" t="n">
        <f aca="false">480*15</f>
        <v>7200</v>
      </c>
      <c r="N59" s="8" t="n">
        <f aca="false">L59*M59</f>
        <v>1358.7</v>
      </c>
      <c r="O59" s="7"/>
      <c r="P59" s="9"/>
      <c r="Q59" s="9"/>
      <c r="R59" s="9"/>
      <c r="S59" s="9"/>
      <c r="T59" s="9"/>
    </row>
    <row collapsed="false" customFormat="false" customHeight="false" hidden="false" ht="30" outlineLevel="0" r="60">
      <c r="A60" s="7" t="s">
        <v>195</v>
      </c>
      <c r="B60" s="7" t="s">
        <v>196</v>
      </c>
      <c r="C60" s="7" t="s">
        <v>36</v>
      </c>
      <c r="D60" s="7" t="s">
        <v>197</v>
      </c>
      <c r="E60" s="7" t="s">
        <v>23</v>
      </c>
      <c r="F60" s="7" t="n">
        <v>488942</v>
      </c>
      <c r="G60" s="7" t="n">
        <v>147</v>
      </c>
      <c r="H60" s="7"/>
      <c r="I60" s="7"/>
      <c r="J60" s="14" t="n">
        <v>7.41</v>
      </c>
      <c r="K60" s="7" t="n">
        <v>12</v>
      </c>
      <c r="L60" s="8" t="n">
        <f aca="false">J60/K60</f>
        <v>0.6175</v>
      </c>
      <c r="M60" s="7" t="n">
        <f aca="false">12*13</f>
        <v>156</v>
      </c>
      <c r="N60" s="8" t="n">
        <f aca="false">L60*M60</f>
        <v>96.33</v>
      </c>
      <c r="O60" s="7"/>
      <c r="P60" s="9"/>
      <c r="Q60" s="9"/>
      <c r="R60" s="9"/>
      <c r="S60" s="9"/>
      <c r="T60" s="9"/>
    </row>
    <row collapsed="false" customFormat="false" customHeight="false" hidden="false" ht="30" outlineLevel="0" r="61">
      <c r="A61" s="7" t="s">
        <v>198</v>
      </c>
      <c r="B61" s="7" t="s">
        <v>199</v>
      </c>
      <c r="C61" s="7" t="s">
        <v>36</v>
      </c>
      <c r="D61" s="7" t="s">
        <v>200</v>
      </c>
      <c r="E61" s="7" t="s">
        <v>23</v>
      </c>
      <c r="F61" s="7" t="n">
        <v>786254</v>
      </c>
      <c r="G61" s="7" t="n">
        <v>642</v>
      </c>
      <c r="H61" s="7"/>
      <c r="I61" s="7"/>
      <c r="J61" s="14" t="n">
        <v>24.24</v>
      </c>
      <c r="K61" s="7" t="n">
        <v>12</v>
      </c>
      <c r="L61" s="8" t="n">
        <f aca="false">J61/K61</f>
        <v>2.02</v>
      </c>
      <c r="M61" s="7" t="n">
        <f aca="false">12*54</f>
        <v>648</v>
      </c>
      <c r="N61" s="8" t="n">
        <f aca="false">L61*M61</f>
        <v>1308.96</v>
      </c>
      <c r="O61" s="7"/>
      <c r="P61" s="9" t="n">
        <v>204</v>
      </c>
      <c r="Q61" s="9" t="n">
        <f aca="false">M61-P61</f>
        <v>444</v>
      </c>
      <c r="R61" s="9"/>
      <c r="S61" s="9"/>
      <c r="T61" s="9"/>
    </row>
    <row collapsed="false" customFormat="false" customHeight="false" hidden="false" ht="45" outlineLevel="0" r="62">
      <c r="A62" s="7" t="s">
        <v>201</v>
      </c>
      <c r="B62" s="7" t="s">
        <v>202</v>
      </c>
      <c r="C62" s="7" t="s">
        <v>36</v>
      </c>
      <c r="D62" s="7" t="s">
        <v>203</v>
      </c>
      <c r="E62" s="7" t="s">
        <v>23</v>
      </c>
      <c r="F62" s="7" t="n">
        <v>765876</v>
      </c>
      <c r="G62" s="7" t="n">
        <v>59925</v>
      </c>
      <c r="H62" s="7"/>
      <c r="I62" s="7"/>
      <c r="J62" s="14" t="n">
        <v>94.1</v>
      </c>
      <c r="K62" s="7" t="n">
        <v>2000</v>
      </c>
      <c r="L62" s="8" t="n">
        <f aca="false">J62/K62</f>
        <v>0.04705</v>
      </c>
      <c r="M62" s="7" t="n">
        <f aca="false">2000*30</f>
        <v>60000</v>
      </c>
      <c r="N62" s="8" t="n">
        <f aca="false">L62*M62</f>
        <v>2823</v>
      </c>
      <c r="O62" s="7"/>
      <c r="P62" s="9"/>
      <c r="Q62" s="9"/>
      <c r="R62" s="9"/>
      <c r="S62" s="9"/>
      <c r="T62" s="9"/>
    </row>
    <row collapsed="false" customFormat="false" customHeight="false" hidden="false" ht="45" outlineLevel="0" r="63">
      <c r="A63" s="7" t="s">
        <v>204</v>
      </c>
      <c r="B63" s="7" t="s">
        <v>205</v>
      </c>
      <c r="C63" s="7" t="s">
        <v>36</v>
      </c>
      <c r="D63" s="7" t="s">
        <v>206</v>
      </c>
      <c r="E63" s="7" t="s">
        <v>23</v>
      </c>
      <c r="F63" s="7" t="n">
        <v>504288</v>
      </c>
      <c r="G63" s="7" t="n">
        <v>8285</v>
      </c>
      <c r="H63" s="7"/>
      <c r="I63" s="7"/>
      <c r="J63" s="14" t="n">
        <v>56.72</v>
      </c>
      <c r="K63" s="7" t="n">
        <v>160</v>
      </c>
      <c r="L63" s="8" t="n">
        <f aca="false">J63/K63</f>
        <v>0.3545</v>
      </c>
      <c r="M63" s="7" t="n">
        <f aca="false">160*52</f>
        <v>8320</v>
      </c>
      <c r="N63" s="8" t="n">
        <f aca="false">L63*M63</f>
        <v>2949.44</v>
      </c>
      <c r="O63" s="7"/>
      <c r="P63" s="9"/>
      <c r="Q63" s="9"/>
      <c r="R63" s="9"/>
      <c r="S63" s="9"/>
      <c r="T63" s="15" t="s">
        <v>207</v>
      </c>
    </row>
    <row collapsed="false" customFormat="false" customHeight="false" hidden="false" ht="30" outlineLevel="0" r="64">
      <c r="A64" s="7" t="s">
        <v>208</v>
      </c>
      <c r="B64" s="7" t="s">
        <v>209</v>
      </c>
      <c r="C64" s="7" t="s">
        <v>36</v>
      </c>
      <c r="D64" s="7" t="s">
        <v>210</v>
      </c>
      <c r="E64" s="7" t="s">
        <v>23</v>
      </c>
      <c r="F64" s="7" t="n">
        <v>504289</v>
      </c>
      <c r="G64" s="7" t="n">
        <v>17271</v>
      </c>
      <c r="H64" s="7"/>
      <c r="I64" s="7"/>
      <c r="J64" s="14" t="n">
        <v>56.72</v>
      </c>
      <c r="K64" s="7" t="n">
        <v>160</v>
      </c>
      <c r="L64" s="8" t="n">
        <f aca="false">J64/K64</f>
        <v>0.3545</v>
      </c>
      <c r="M64" s="7" t="n">
        <f aca="false">160*108</f>
        <v>17280</v>
      </c>
      <c r="N64" s="8" t="n">
        <f aca="false">L64*M64</f>
        <v>6125.76</v>
      </c>
      <c r="O64" s="7"/>
      <c r="P64" s="9" t="n">
        <v>800</v>
      </c>
      <c r="Q64" s="9" t="n">
        <v>16480</v>
      </c>
      <c r="R64" s="9"/>
      <c r="S64" s="9"/>
      <c r="T64" s="9"/>
    </row>
    <row collapsed="false" customFormat="false" customHeight="false" hidden="false" ht="45" outlineLevel="0" r="65">
      <c r="A65" s="7" t="s">
        <v>211</v>
      </c>
      <c r="B65" s="7" t="s">
        <v>212</v>
      </c>
      <c r="C65" s="7" t="s">
        <v>36</v>
      </c>
      <c r="D65" s="7" t="s">
        <v>213</v>
      </c>
      <c r="E65" s="7" t="s">
        <v>23</v>
      </c>
      <c r="F65" s="7" t="n">
        <v>504290</v>
      </c>
      <c r="G65" s="7" t="n">
        <v>29643</v>
      </c>
      <c r="H65" s="7"/>
      <c r="I65" s="7"/>
      <c r="J65" s="14" t="n">
        <v>56.72</v>
      </c>
      <c r="K65" s="7" t="n">
        <v>160</v>
      </c>
      <c r="L65" s="8" t="n">
        <f aca="false">J65/K65</f>
        <v>0.3545</v>
      </c>
      <c r="M65" s="7" t="n">
        <f aca="false">160*186</f>
        <v>29760</v>
      </c>
      <c r="N65" s="8" t="n">
        <f aca="false">L65*M65</f>
        <v>10549.92</v>
      </c>
      <c r="O65" s="7"/>
      <c r="P65" s="9" t="n">
        <v>2400</v>
      </c>
      <c r="Q65" s="9" t="n">
        <f aca="false">M65-P65</f>
        <v>27360</v>
      </c>
      <c r="R65" s="9"/>
      <c r="S65" s="9"/>
      <c r="T65" s="9"/>
    </row>
    <row collapsed="false" customFormat="false" customHeight="false" hidden="false" ht="30" outlineLevel="0" r="66">
      <c r="A66" s="7" t="s">
        <v>214</v>
      </c>
      <c r="B66" s="7" t="s">
        <v>215</v>
      </c>
      <c r="C66" s="7" t="s">
        <v>36</v>
      </c>
      <c r="D66" s="7" t="s">
        <v>216</v>
      </c>
      <c r="E66" s="7" t="s">
        <v>23</v>
      </c>
      <c r="F66" s="7" t="n">
        <v>504291</v>
      </c>
      <c r="G66" s="7" t="n">
        <v>15777</v>
      </c>
      <c r="H66" s="7"/>
      <c r="I66" s="7"/>
      <c r="J66" s="14" t="n">
        <v>56.72</v>
      </c>
      <c r="K66" s="7" t="n">
        <v>160</v>
      </c>
      <c r="L66" s="8" t="n">
        <f aca="false">J66/K66</f>
        <v>0.3545</v>
      </c>
      <c r="M66" s="7" t="n">
        <f aca="false">160*99</f>
        <v>15840</v>
      </c>
      <c r="N66" s="8" t="n">
        <f aca="false">L66*M66</f>
        <v>5615.28</v>
      </c>
      <c r="O66" s="7"/>
      <c r="P66" s="9" t="n">
        <v>2400</v>
      </c>
      <c r="Q66" s="9" t="n">
        <f aca="false">M66-P66</f>
        <v>13440</v>
      </c>
      <c r="R66" s="9"/>
      <c r="S66" s="9"/>
      <c r="T66" s="9"/>
    </row>
    <row collapsed="false" customFormat="false" customHeight="false" hidden="false" ht="45" outlineLevel="0" r="67">
      <c r="A67" s="7" t="s">
        <v>217</v>
      </c>
      <c r="B67" s="7" t="s">
        <v>218</v>
      </c>
      <c r="C67" s="7" t="s">
        <v>36</v>
      </c>
      <c r="D67" s="7" t="s">
        <v>219</v>
      </c>
      <c r="E67" s="7" t="s">
        <v>23</v>
      </c>
      <c r="F67" s="7" t="n">
        <v>504292</v>
      </c>
      <c r="G67" s="7" t="n">
        <v>9401</v>
      </c>
      <c r="H67" s="7"/>
      <c r="I67" s="7"/>
      <c r="J67" s="14" t="n">
        <v>56.72</v>
      </c>
      <c r="K67" s="7" t="n">
        <v>160</v>
      </c>
      <c r="L67" s="8" t="n">
        <f aca="false">J67/K67</f>
        <v>0.3545</v>
      </c>
      <c r="M67" s="7" t="n">
        <f aca="false">160*59</f>
        <v>9440</v>
      </c>
      <c r="N67" s="8" t="n">
        <f aca="false">L67*M67</f>
        <v>3346.48</v>
      </c>
      <c r="O67" s="7"/>
      <c r="P67" s="9" t="n">
        <v>2400</v>
      </c>
      <c r="Q67" s="9" t="n">
        <f aca="false">M67-P67</f>
        <v>7040</v>
      </c>
      <c r="R67" s="9"/>
      <c r="S67" s="9"/>
      <c r="T67" s="9"/>
    </row>
    <row collapsed="false" customFormat="false" customHeight="false" hidden="false" ht="30" outlineLevel="0" r="68">
      <c r="A68" s="7" t="s">
        <v>220</v>
      </c>
      <c r="B68" s="7" t="s">
        <v>221</v>
      </c>
      <c r="C68" s="7" t="s">
        <v>122</v>
      </c>
      <c r="D68" s="7" t="s">
        <v>222</v>
      </c>
      <c r="E68" s="7" t="s">
        <v>23</v>
      </c>
      <c r="F68" s="7"/>
      <c r="G68" s="7" t="n">
        <v>4464</v>
      </c>
      <c r="H68" s="7"/>
      <c r="I68" s="7"/>
      <c r="J68" s="14" t="n">
        <v>61.53</v>
      </c>
      <c r="K68" s="7" t="n">
        <v>24</v>
      </c>
      <c r="L68" s="8" t="n">
        <f aca="false">J68/K68</f>
        <v>2.56375</v>
      </c>
      <c r="M68" s="7" t="n">
        <f aca="false">24*186</f>
        <v>4464</v>
      </c>
      <c r="N68" s="8" t="n">
        <f aca="false">L68*M68</f>
        <v>11444.58</v>
      </c>
      <c r="O68" s="7"/>
      <c r="P68" s="9"/>
      <c r="Q68" s="9"/>
      <c r="R68" s="9"/>
      <c r="S68" s="9"/>
      <c r="T68" s="9"/>
    </row>
    <row collapsed="false" customFormat="false" customHeight="false" hidden="false" ht="30" outlineLevel="0" r="69">
      <c r="A69" s="7" t="s">
        <v>223</v>
      </c>
      <c r="B69" s="7" t="s">
        <v>224</v>
      </c>
      <c r="C69" s="7" t="s">
        <v>225</v>
      </c>
      <c r="D69" s="7" t="s">
        <v>226</v>
      </c>
      <c r="E69" s="7" t="s">
        <v>23</v>
      </c>
      <c r="F69" s="7"/>
      <c r="G69" s="7" t="n">
        <v>3143</v>
      </c>
      <c r="H69" s="7"/>
      <c r="I69" s="7"/>
      <c r="J69" s="14" t="n">
        <v>59.36</v>
      </c>
      <c r="K69" s="7" t="n">
        <v>24</v>
      </c>
      <c r="L69" s="8" t="n">
        <f aca="false">J69/K69</f>
        <v>2.47333333333333</v>
      </c>
      <c r="M69" s="7" t="n">
        <f aca="false">24*131</f>
        <v>3144</v>
      </c>
      <c r="N69" s="8" t="n">
        <f aca="false">L69*M69</f>
        <v>7776.16</v>
      </c>
      <c r="O69" s="7"/>
      <c r="P69" s="9"/>
      <c r="Q69" s="9"/>
      <c r="R69" s="9"/>
      <c r="S69" s="9"/>
      <c r="T69" s="9"/>
    </row>
    <row collapsed="false" customFormat="false" customHeight="false" hidden="false" ht="30" outlineLevel="0" r="70">
      <c r="A70" s="7" t="s">
        <v>227</v>
      </c>
      <c r="B70" s="7" t="s">
        <v>228</v>
      </c>
      <c r="C70" s="7" t="s">
        <v>225</v>
      </c>
      <c r="D70" s="7" t="s">
        <v>229</v>
      </c>
      <c r="E70" s="7" t="s">
        <v>23</v>
      </c>
      <c r="F70" s="7" t="n">
        <v>747150</v>
      </c>
      <c r="G70" s="7" t="n">
        <v>4098</v>
      </c>
      <c r="H70" s="7"/>
      <c r="I70" s="7"/>
      <c r="J70" s="14" t="n">
        <v>70.06</v>
      </c>
      <c r="K70" s="7" t="n">
        <v>24</v>
      </c>
      <c r="L70" s="8" t="n">
        <f aca="false">J70/K70</f>
        <v>2.91916666666667</v>
      </c>
      <c r="M70" s="7" t="n">
        <f aca="false">24*171</f>
        <v>4104</v>
      </c>
      <c r="N70" s="8" t="n">
        <f aca="false">L70*M70</f>
        <v>11980.26</v>
      </c>
      <c r="O70" s="7"/>
      <c r="P70" s="9"/>
      <c r="Q70" s="9"/>
      <c r="R70" s="9"/>
      <c r="S70" s="9"/>
      <c r="T70" s="9"/>
    </row>
    <row collapsed="false" customFormat="false" customHeight="false" hidden="false" ht="30" outlineLevel="0" r="71">
      <c r="A71" s="7" t="s">
        <v>230</v>
      </c>
      <c r="B71" s="7" t="s">
        <v>231</v>
      </c>
      <c r="C71" s="7" t="s">
        <v>232</v>
      </c>
      <c r="D71" s="7" t="n">
        <v>1955</v>
      </c>
      <c r="E71" s="7" t="s">
        <v>23</v>
      </c>
      <c r="F71" s="7"/>
      <c r="G71" s="7" t="n">
        <v>29</v>
      </c>
      <c r="H71" s="7"/>
      <c r="I71" s="7"/>
      <c r="J71" s="14" t="n">
        <v>284.5</v>
      </c>
      <c r="K71" s="7" t="n">
        <v>12</v>
      </c>
      <c r="L71" s="8" t="n">
        <f aca="false">J71/K71</f>
        <v>23.7083333333333</v>
      </c>
      <c r="M71" s="7" t="n">
        <v>36</v>
      </c>
      <c r="N71" s="8" t="n">
        <f aca="false">L71*M71</f>
        <v>853.5</v>
      </c>
      <c r="O71" s="7"/>
      <c r="P71" s="9"/>
      <c r="Q71" s="9"/>
      <c r="R71" s="9"/>
      <c r="S71" s="9"/>
      <c r="T71" s="9"/>
    </row>
    <row collapsed="false" customFormat="false" customHeight="false" hidden="false" ht="30" outlineLevel="0" r="72">
      <c r="A72" s="7" t="s">
        <v>233</v>
      </c>
      <c r="B72" s="7" t="s">
        <v>234</v>
      </c>
      <c r="C72" s="7" t="s">
        <v>235</v>
      </c>
      <c r="D72" s="7" t="s">
        <v>236</v>
      </c>
      <c r="E72" s="7" t="s">
        <v>23</v>
      </c>
      <c r="F72" s="7"/>
      <c r="G72" s="7" t="n">
        <v>8491</v>
      </c>
      <c r="H72" s="7"/>
      <c r="I72" s="7"/>
      <c r="J72" s="14" t="n">
        <v>305.31</v>
      </c>
      <c r="K72" s="7" t="n">
        <v>48</v>
      </c>
      <c r="L72" s="8" t="n">
        <f aca="false">J72/K72</f>
        <v>6.360625</v>
      </c>
      <c r="M72" s="7" t="n">
        <f aca="false">48*177</f>
        <v>8496</v>
      </c>
      <c r="N72" s="8" t="n">
        <f aca="false">L72*M72</f>
        <v>54039.87</v>
      </c>
      <c r="O72" s="7"/>
      <c r="P72" s="9"/>
      <c r="Q72" s="9"/>
      <c r="R72" s="9"/>
      <c r="S72" s="9"/>
      <c r="T72" s="9"/>
    </row>
    <row collapsed="false" customFormat="false" customHeight="false" hidden="false" ht="30" outlineLevel="0" r="73">
      <c r="A73" s="7" t="s">
        <v>237</v>
      </c>
      <c r="B73" s="7" t="s">
        <v>238</v>
      </c>
      <c r="C73" s="7" t="s">
        <v>36</v>
      </c>
      <c r="D73" s="7" t="s">
        <v>239</v>
      </c>
      <c r="E73" s="7" t="s">
        <v>23</v>
      </c>
      <c r="F73" s="7" t="n">
        <v>475430</v>
      </c>
      <c r="G73" s="7" t="n">
        <v>19320</v>
      </c>
      <c r="H73" s="7"/>
      <c r="I73" s="7"/>
      <c r="J73" s="14" t="n">
        <v>16.24</v>
      </c>
      <c r="K73" s="7" t="n">
        <v>100</v>
      </c>
      <c r="L73" s="8" t="n">
        <f aca="false">J73/K73</f>
        <v>0.1624</v>
      </c>
      <c r="M73" s="7" t="n">
        <f aca="false">100*194</f>
        <v>19400</v>
      </c>
      <c r="N73" s="8" t="n">
        <f aca="false">L73*M73</f>
        <v>3150.56</v>
      </c>
      <c r="O73" s="7"/>
      <c r="P73" s="9" t="n">
        <v>6000</v>
      </c>
      <c r="Q73" s="9" t="n">
        <v>13400</v>
      </c>
      <c r="R73" s="9"/>
      <c r="S73" s="9"/>
      <c r="T73" s="9"/>
    </row>
    <row collapsed="false" customFormat="false" customHeight="false" hidden="false" ht="30" outlineLevel="0" r="74">
      <c r="A74" s="7" t="s">
        <v>240</v>
      </c>
      <c r="B74" s="7" t="s">
        <v>241</v>
      </c>
      <c r="C74" s="7" t="s">
        <v>36</v>
      </c>
      <c r="D74" s="7" t="s">
        <v>242</v>
      </c>
      <c r="E74" s="7" t="s">
        <v>23</v>
      </c>
      <c r="F74" s="7" t="n">
        <v>543830</v>
      </c>
      <c r="G74" s="7" t="n">
        <v>338</v>
      </c>
      <c r="H74" s="7"/>
      <c r="I74" s="7"/>
      <c r="J74" s="14" t="n">
        <v>49.65</v>
      </c>
      <c r="K74" s="7" t="n">
        <v>20</v>
      </c>
      <c r="L74" s="8" t="n">
        <f aca="false">J74/K74</f>
        <v>2.4825</v>
      </c>
      <c r="M74" s="7" t="n">
        <f aca="false">20*17</f>
        <v>340</v>
      </c>
      <c r="N74" s="8" t="n">
        <f aca="false">L74*M74</f>
        <v>844.05</v>
      </c>
      <c r="O74" s="7"/>
      <c r="P74" s="9" t="n">
        <v>100</v>
      </c>
      <c r="Q74" s="9" t="n">
        <v>240</v>
      </c>
      <c r="R74" s="9"/>
      <c r="S74" s="9"/>
      <c r="T74" s="9"/>
    </row>
    <row collapsed="false" customFormat="false" customHeight="false" hidden="false" ht="30" outlineLevel="0" r="75">
      <c r="A75" s="7" t="s">
        <v>243</v>
      </c>
      <c r="B75" s="7" t="s">
        <v>244</v>
      </c>
      <c r="C75" s="7" t="s">
        <v>36</v>
      </c>
      <c r="D75" s="7" t="s">
        <v>245</v>
      </c>
      <c r="E75" s="7" t="s">
        <v>23</v>
      </c>
      <c r="F75" s="7" t="n">
        <v>543794</v>
      </c>
      <c r="G75" s="7" t="n">
        <v>49</v>
      </c>
      <c r="H75" s="7"/>
      <c r="I75" s="7"/>
      <c r="J75" s="14" t="n">
        <v>78.76</v>
      </c>
      <c r="K75" s="7" t="n">
        <v>50</v>
      </c>
      <c r="L75" s="8" t="n">
        <f aca="false">J75/K75</f>
        <v>1.5752</v>
      </c>
      <c r="M75" s="7" t="n">
        <v>50</v>
      </c>
      <c r="N75" s="8" t="n">
        <f aca="false">L75*M75</f>
        <v>78.76</v>
      </c>
      <c r="O75" s="7"/>
      <c r="P75" s="9"/>
      <c r="Q75" s="9"/>
      <c r="R75" s="9"/>
      <c r="S75" s="9"/>
      <c r="T75" s="9"/>
    </row>
    <row collapsed="false" customFormat="false" customHeight="false" hidden="false" ht="30" outlineLevel="0" r="76">
      <c r="A76" s="7" t="s">
        <v>246</v>
      </c>
      <c r="B76" s="7" t="s">
        <v>247</v>
      </c>
      <c r="C76" s="7" t="s">
        <v>36</v>
      </c>
      <c r="D76" s="7" t="s">
        <v>248</v>
      </c>
      <c r="E76" s="7" t="s">
        <v>23</v>
      </c>
      <c r="F76" s="7" t="n">
        <v>543793</v>
      </c>
      <c r="G76" s="7" t="n">
        <v>376</v>
      </c>
      <c r="H76" s="7"/>
      <c r="I76" s="7"/>
      <c r="J76" s="14" t="n">
        <v>69</v>
      </c>
      <c r="K76" s="7" t="n">
        <v>50</v>
      </c>
      <c r="L76" s="8" t="n">
        <f aca="false">J76/K76</f>
        <v>1.38</v>
      </c>
      <c r="M76" s="7" t="n">
        <f aca="false">50*8</f>
        <v>400</v>
      </c>
      <c r="N76" s="8" t="n">
        <f aca="false">L76*M76</f>
        <v>552</v>
      </c>
      <c r="O76" s="7"/>
      <c r="P76" s="9"/>
      <c r="Q76" s="9"/>
      <c r="R76" s="9"/>
      <c r="S76" s="9"/>
      <c r="T76" s="9"/>
    </row>
    <row collapsed="false" customFormat="false" customHeight="false" hidden="false" ht="45" outlineLevel="0" r="77">
      <c r="A77" s="7" t="s">
        <v>249</v>
      </c>
      <c r="B77" s="7" t="s">
        <v>250</v>
      </c>
      <c r="C77" s="7" t="s">
        <v>36</v>
      </c>
      <c r="D77" s="7" t="s">
        <v>251</v>
      </c>
      <c r="E77" s="7" t="s">
        <v>23</v>
      </c>
      <c r="F77" s="7" t="n">
        <v>543538</v>
      </c>
      <c r="G77" s="7" t="n">
        <v>322</v>
      </c>
      <c r="H77" s="7"/>
      <c r="I77" s="7"/>
      <c r="J77" s="14" t="n">
        <v>56.39</v>
      </c>
      <c r="K77" s="7" t="n">
        <v>50</v>
      </c>
      <c r="L77" s="8" t="n">
        <f aca="false">J77/K77</f>
        <v>1.1278</v>
      </c>
      <c r="M77" s="7" t="n">
        <f aca="false">50*7</f>
        <v>350</v>
      </c>
      <c r="N77" s="8" t="n">
        <f aca="false">L77*M77</f>
        <v>394.73</v>
      </c>
      <c r="O77" s="7"/>
      <c r="P77" s="9"/>
      <c r="Q77" s="9"/>
      <c r="R77" s="9"/>
      <c r="S77" s="9"/>
      <c r="T77" s="9"/>
    </row>
    <row collapsed="false" customFormat="false" customHeight="false" hidden="false" ht="60" outlineLevel="0" r="78">
      <c r="A78" s="7" t="s">
        <v>252</v>
      </c>
      <c r="B78" s="7" t="s">
        <v>253</v>
      </c>
      <c r="C78" s="7" t="s">
        <v>36</v>
      </c>
      <c r="D78" s="7" t="s">
        <v>254</v>
      </c>
      <c r="E78" s="7" t="s">
        <v>23</v>
      </c>
      <c r="F78" s="7" t="n">
        <v>543539</v>
      </c>
      <c r="G78" s="7" t="n">
        <v>88</v>
      </c>
      <c r="H78" s="7"/>
      <c r="I78" s="7"/>
      <c r="J78" s="14" t="n">
        <v>68.91</v>
      </c>
      <c r="K78" s="7" t="n">
        <v>50</v>
      </c>
      <c r="L78" s="8" t="n">
        <f aca="false">J78/K78</f>
        <v>1.3782</v>
      </c>
      <c r="M78" s="7" t="n">
        <v>100</v>
      </c>
      <c r="N78" s="8" t="n">
        <f aca="false">L78*M78</f>
        <v>137.82</v>
      </c>
      <c r="O78" s="7"/>
      <c r="P78" s="9"/>
      <c r="Q78" s="9"/>
      <c r="R78" s="9"/>
      <c r="S78" s="9"/>
      <c r="T78" s="9"/>
    </row>
    <row collapsed="false" customFormat="false" customHeight="false" hidden="false" ht="45" outlineLevel="0" r="79">
      <c r="A79" s="7" t="s">
        <v>255</v>
      </c>
      <c r="B79" s="7" t="s">
        <v>256</v>
      </c>
      <c r="C79" s="7" t="s">
        <v>36</v>
      </c>
      <c r="D79" s="7" t="s">
        <v>257</v>
      </c>
      <c r="E79" s="7" t="s">
        <v>23</v>
      </c>
      <c r="F79" s="7" t="n">
        <v>543521</v>
      </c>
      <c r="G79" s="7" t="n">
        <v>70</v>
      </c>
      <c r="H79" s="7"/>
      <c r="I79" s="7"/>
      <c r="J79" s="14" t="n">
        <v>33.76</v>
      </c>
      <c r="K79" s="7" t="n">
        <v>50</v>
      </c>
      <c r="L79" s="8" t="n">
        <f aca="false">J79/K79</f>
        <v>0.6752</v>
      </c>
      <c r="M79" s="7" t="n">
        <v>100</v>
      </c>
      <c r="N79" s="8" t="n">
        <f aca="false">L79*M79</f>
        <v>67.52</v>
      </c>
      <c r="O79" s="7"/>
      <c r="P79" s="9"/>
      <c r="Q79" s="9"/>
      <c r="R79" s="9"/>
      <c r="S79" s="9"/>
      <c r="T79" s="9"/>
    </row>
    <row collapsed="false" customFormat="false" customHeight="false" hidden="false" ht="45" outlineLevel="0" r="80">
      <c r="A80" s="7" t="s">
        <v>258</v>
      </c>
      <c r="B80" s="7" t="s">
        <v>259</v>
      </c>
      <c r="C80" s="7" t="s">
        <v>94</v>
      </c>
      <c r="D80" s="7" t="s">
        <v>260</v>
      </c>
      <c r="E80" s="7" t="s">
        <v>23</v>
      </c>
      <c r="F80" s="7" t="n">
        <v>648714</v>
      </c>
      <c r="G80" s="7" t="n">
        <v>860</v>
      </c>
      <c r="H80" s="7"/>
      <c r="I80" s="7"/>
      <c r="J80" s="10" t="n">
        <v>15.76</v>
      </c>
      <c r="K80" s="11" t="n">
        <v>10</v>
      </c>
      <c r="L80" s="8" t="n">
        <f aca="false">J80/K80</f>
        <v>1.576</v>
      </c>
      <c r="M80" s="11" t="n">
        <v>900</v>
      </c>
      <c r="N80" s="8" t="n">
        <f aca="false">L80*M80</f>
        <v>1418.4</v>
      </c>
      <c r="O80" s="11"/>
      <c r="P80" s="9" t="n">
        <v>300</v>
      </c>
      <c r="Q80" s="9" t="n">
        <v>560</v>
      </c>
      <c r="R80" s="9"/>
      <c r="S80" s="9"/>
      <c r="T80" s="9"/>
    </row>
    <row collapsed="false" customFormat="false" customHeight="false" hidden="false" ht="45" outlineLevel="0" r="81">
      <c r="A81" s="7" t="s">
        <v>261</v>
      </c>
      <c r="B81" s="7" t="s">
        <v>262</v>
      </c>
      <c r="C81" s="7" t="s">
        <v>36</v>
      </c>
      <c r="D81" s="7" t="s">
        <v>263</v>
      </c>
      <c r="E81" s="7" t="s">
        <v>23</v>
      </c>
      <c r="F81" s="7" t="n">
        <v>543522</v>
      </c>
      <c r="G81" s="7" t="n">
        <v>407</v>
      </c>
      <c r="H81" s="7"/>
      <c r="I81" s="7"/>
      <c r="J81" s="14" t="n">
        <v>71.73</v>
      </c>
      <c r="K81" s="7" t="n">
        <v>50</v>
      </c>
      <c r="L81" s="8" t="n">
        <f aca="false">J81/K81</f>
        <v>1.4346</v>
      </c>
      <c r="M81" s="7" t="n">
        <f aca="false">50*9</f>
        <v>450</v>
      </c>
      <c r="N81" s="8" t="n">
        <f aca="false">L81*M81</f>
        <v>645.57</v>
      </c>
      <c r="O81" s="7"/>
      <c r="P81" s="9"/>
      <c r="Q81" s="9"/>
      <c r="R81" s="9"/>
      <c r="S81" s="9"/>
      <c r="T81" s="9"/>
    </row>
    <row collapsed="false" customFormat="false" customHeight="false" hidden="false" ht="30" outlineLevel="0" r="82">
      <c r="A82" s="7" t="s">
        <v>264</v>
      </c>
      <c r="B82" s="7" t="s">
        <v>265</v>
      </c>
      <c r="C82" s="7" t="s">
        <v>36</v>
      </c>
      <c r="D82" s="7" t="s">
        <v>266</v>
      </c>
      <c r="E82" s="7" t="s">
        <v>23</v>
      </c>
      <c r="F82" s="7" t="n">
        <v>188696</v>
      </c>
      <c r="G82" s="7" t="n">
        <v>113424</v>
      </c>
      <c r="H82" s="7"/>
      <c r="I82" s="7"/>
      <c r="J82" s="14" t="n">
        <v>33.67</v>
      </c>
      <c r="K82" s="7" t="n">
        <v>300</v>
      </c>
      <c r="L82" s="8" t="n">
        <f aca="false">J82/K82</f>
        <v>0.112233333333333</v>
      </c>
      <c r="M82" s="7" t="n">
        <f aca="false">300*378</f>
        <v>113400</v>
      </c>
      <c r="N82" s="8" t="n">
        <f aca="false">L82*M82</f>
        <v>12727.26</v>
      </c>
      <c r="O82" s="7"/>
      <c r="P82" s="19" t="n">
        <v>30000</v>
      </c>
      <c r="Q82" s="19" t="n">
        <v>83400</v>
      </c>
      <c r="R82" s="9"/>
      <c r="S82" s="9"/>
      <c r="T82" s="9"/>
    </row>
    <row collapsed="false" customFormat="false" customHeight="false" hidden="false" ht="30" outlineLevel="0" r="83">
      <c r="A83" s="7" t="s">
        <v>267</v>
      </c>
      <c r="B83" s="7" t="s">
        <v>268</v>
      </c>
      <c r="C83" s="7" t="s">
        <v>269</v>
      </c>
      <c r="D83" s="7" t="s">
        <v>270</v>
      </c>
      <c r="E83" s="7" t="s">
        <v>23</v>
      </c>
      <c r="F83" s="7" t="n">
        <v>545257</v>
      </c>
      <c r="G83" s="7" t="n">
        <v>4</v>
      </c>
      <c r="H83" s="7"/>
      <c r="I83" s="7"/>
      <c r="J83" s="14" t="n">
        <v>147.62</v>
      </c>
      <c r="K83" s="7" t="n">
        <v>12</v>
      </c>
      <c r="L83" s="8" t="n">
        <f aca="false">J83/K83</f>
        <v>12.3016666666667</v>
      </c>
      <c r="M83" s="7" t="n">
        <v>12</v>
      </c>
      <c r="N83" s="8" t="n">
        <f aca="false">L83*M83</f>
        <v>147.62</v>
      </c>
      <c r="O83" s="7"/>
      <c r="P83" s="9"/>
      <c r="Q83" s="9"/>
      <c r="R83" s="9"/>
      <c r="S83" s="9"/>
      <c r="T83" s="9"/>
    </row>
    <row collapsed="false" customFormat="false" customHeight="false" hidden="false" ht="45" outlineLevel="0" r="84">
      <c r="A84" s="7" t="s">
        <v>271</v>
      </c>
      <c r="B84" s="7" t="s">
        <v>272</v>
      </c>
      <c r="C84" s="7" t="s">
        <v>273</v>
      </c>
      <c r="D84" s="7" t="n">
        <v>9010</v>
      </c>
      <c r="E84" s="7" t="s">
        <v>23</v>
      </c>
      <c r="F84" s="7" t="n">
        <v>316882</v>
      </c>
      <c r="G84" s="7" t="n">
        <v>3576</v>
      </c>
      <c r="H84" s="7"/>
      <c r="I84" s="7"/>
      <c r="J84" s="14" t="n">
        <v>10.22</v>
      </c>
      <c r="K84" s="7" t="n">
        <v>12</v>
      </c>
      <c r="L84" s="8" t="n">
        <f aca="false">J84/K84</f>
        <v>0.851666666666667</v>
      </c>
      <c r="M84" s="7" t="n">
        <f aca="false">12*298</f>
        <v>3576</v>
      </c>
      <c r="N84" s="8" t="n">
        <f aca="false">L84*M84</f>
        <v>3045.56</v>
      </c>
      <c r="O84" s="7"/>
      <c r="P84" s="9"/>
      <c r="Q84" s="9"/>
      <c r="R84" s="9"/>
      <c r="S84" s="9"/>
      <c r="T84" s="9"/>
    </row>
    <row collapsed="false" customFormat="false" customHeight="false" hidden="false" ht="30" outlineLevel="0" r="85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23</v>
      </c>
      <c r="F85" s="7" t="n">
        <v>720596</v>
      </c>
      <c r="G85" s="7" t="n">
        <v>1</v>
      </c>
      <c r="H85" s="7"/>
      <c r="I85" s="7"/>
      <c r="J85" s="14" t="n">
        <v>120</v>
      </c>
      <c r="K85" s="7" t="n">
        <v>1</v>
      </c>
      <c r="L85" s="8" t="n">
        <f aca="false">J85/K85</f>
        <v>120</v>
      </c>
      <c r="M85" s="7" t="n">
        <v>1</v>
      </c>
      <c r="N85" s="8" t="n">
        <f aca="false">L85*M85</f>
        <v>120</v>
      </c>
      <c r="O85" s="7"/>
      <c r="P85" s="9"/>
      <c r="Q85" s="9"/>
      <c r="R85" s="9"/>
      <c r="S85" s="9"/>
      <c r="T85" s="9"/>
    </row>
    <row collapsed="false" customFormat="false" customHeight="false" hidden="false" ht="30" outlineLevel="0" r="86">
      <c r="A86" s="7" t="s">
        <v>278</v>
      </c>
      <c r="B86" s="7" t="s">
        <v>279</v>
      </c>
      <c r="C86" s="7" t="s">
        <v>280</v>
      </c>
      <c r="D86" s="7" t="s">
        <v>281</v>
      </c>
      <c r="E86" s="7" t="s">
        <v>23</v>
      </c>
      <c r="F86" s="7" t="n">
        <v>487036</v>
      </c>
      <c r="G86" s="7" t="n">
        <v>537</v>
      </c>
      <c r="H86" s="7"/>
      <c r="I86" s="7"/>
      <c r="J86" s="14" t="n">
        <v>26.45</v>
      </c>
      <c r="K86" s="7" t="n">
        <v>850</v>
      </c>
      <c r="L86" s="8" t="n">
        <f aca="false">J86/K86</f>
        <v>0.0311176470588235</v>
      </c>
      <c r="M86" s="7" t="n">
        <v>850</v>
      </c>
      <c r="N86" s="8" t="n">
        <f aca="false">L86*M86</f>
        <v>26.45</v>
      </c>
      <c r="O86" s="7"/>
      <c r="P86" s="9"/>
      <c r="Q86" s="9"/>
      <c r="R86" s="9"/>
      <c r="S86" s="9"/>
      <c r="T86" s="9"/>
    </row>
    <row collapsed="false" customFormat="false" customHeight="false" hidden="false" ht="30" outlineLevel="0" r="87">
      <c r="A87" s="7" t="s">
        <v>282</v>
      </c>
      <c r="B87" s="7" t="s">
        <v>283</v>
      </c>
      <c r="C87" s="7" t="s">
        <v>280</v>
      </c>
      <c r="D87" s="7" t="s">
        <v>284</v>
      </c>
      <c r="E87" s="7" t="s">
        <v>23</v>
      </c>
      <c r="F87" s="7" t="n">
        <v>487037</v>
      </c>
      <c r="G87" s="7" t="n">
        <v>624</v>
      </c>
      <c r="H87" s="7"/>
      <c r="I87" s="7"/>
      <c r="J87" s="14" t="n">
        <v>26.45</v>
      </c>
      <c r="K87" s="7" t="n">
        <v>850</v>
      </c>
      <c r="L87" s="8" t="n">
        <f aca="false">J87/K87</f>
        <v>0.0311176470588235</v>
      </c>
      <c r="M87" s="7" t="n">
        <v>850</v>
      </c>
      <c r="N87" s="8" t="n">
        <f aca="false">L87*M87</f>
        <v>26.45</v>
      </c>
      <c r="O87" s="7"/>
      <c r="P87" s="9"/>
      <c r="Q87" s="9"/>
      <c r="R87" s="9"/>
      <c r="S87" s="9"/>
      <c r="T87" s="9"/>
    </row>
    <row collapsed="false" customFormat="false" customHeight="false" hidden="false" ht="30" outlineLevel="0" r="88">
      <c r="A88" s="7" t="s">
        <v>285</v>
      </c>
      <c r="B88" s="7" t="s">
        <v>286</v>
      </c>
      <c r="C88" s="7" t="s">
        <v>36</v>
      </c>
      <c r="D88" s="7" t="s">
        <v>287</v>
      </c>
      <c r="E88" s="7" t="s">
        <v>23</v>
      </c>
      <c r="F88" s="7" t="n">
        <v>470441</v>
      </c>
      <c r="G88" s="7" t="n">
        <v>62</v>
      </c>
      <c r="H88" s="7"/>
      <c r="I88" s="7"/>
      <c r="J88" s="14" t="n">
        <v>2.6</v>
      </c>
      <c r="K88" s="7" t="n">
        <v>1</v>
      </c>
      <c r="L88" s="8" t="n">
        <f aca="false">J88/K88</f>
        <v>2.6</v>
      </c>
      <c r="M88" s="7" t="n">
        <v>62</v>
      </c>
      <c r="N88" s="8" t="n">
        <f aca="false">L88*M88</f>
        <v>161.2</v>
      </c>
      <c r="O88" s="7"/>
      <c r="P88" s="9"/>
      <c r="Q88" s="9"/>
      <c r="R88" s="9"/>
      <c r="S88" s="9"/>
      <c r="T88" s="9"/>
    </row>
    <row collapsed="false" customFormat="false" customHeight="false" hidden="false" ht="45" outlineLevel="0" r="89">
      <c r="A89" s="7" t="s">
        <v>288</v>
      </c>
      <c r="B89" s="7" t="s">
        <v>289</v>
      </c>
      <c r="C89" s="7" t="s">
        <v>290</v>
      </c>
      <c r="D89" s="7" t="s">
        <v>291</v>
      </c>
      <c r="E89" s="7" t="s">
        <v>23</v>
      </c>
      <c r="F89" s="7" t="n">
        <v>510927</v>
      </c>
      <c r="G89" s="7" t="n">
        <v>270</v>
      </c>
      <c r="H89" s="7"/>
      <c r="I89" s="7"/>
      <c r="J89" s="14" t="n">
        <v>112.89</v>
      </c>
      <c r="K89" s="7" t="n">
        <v>8</v>
      </c>
      <c r="L89" s="8" t="n">
        <f aca="false">J89/K89</f>
        <v>14.11125</v>
      </c>
      <c r="M89" s="7" t="n">
        <f aca="false">8*34</f>
        <v>272</v>
      </c>
      <c r="N89" s="8" t="n">
        <f aca="false">L89*M89</f>
        <v>3838.26</v>
      </c>
      <c r="O89" s="7"/>
      <c r="P89" s="9" t="n">
        <v>64</v>
      </c>
      <c r="Q89" s="9" t="n">
        <v>208</v>
      </c>
      <c r="R89" s="9"/>
      <c r="S89" s="9"/>
      <c r="T89" s="9"/>
    </row>
    <row collapsed="false" customFormat="false" customHeight="false" hidden="false" ht="45" outlineLevel="0" r="90">
      <c r="A90" s="7" t="s">
        <v>292</v>
      </c>
      <c r="B90" s="7" t="s">
        <v>293</v>
      </c>
      <c r="C90" s="7" t="s">
        <v>294</v>
      </c>
      <c r="D90" s="7" t="s">
        <v>295</v>
      </c>
      <c r="E90" s="7" t="s">
        <v>101</v>
      </c>
      <c r="F90" s="7" t="n">
        <v>191089</v>
      </c>
      <c r="G90" s="7" t="n">
        <v>83538</v>
      </c>
      <c r="H90" s="7"/>
      <c r="I90" s="7"/>
      <c r="J90" s="14" t="n">
        <v>27.6</v>
      </c>
      <c r="K90" s="7" t="n">
        <v>4000</v>
      </c>
      <c r="L90" s="8" t="n">
        <f aca="false">J90/K90</f>
        <v>0.0069</v>
      </c>
      <c r="M90" s="7" t="n">
        <f aca="false">4000*21</f>
        <v>84000</v>
      </c>
      <c r="N90" s="8" t="n">
        <f aca="false">L90*M90</f>
        <v>579.6</v>
      </c>
      <c r="O90" s="7"/>
      <c r="P90" s="19" t="n">
        <v>20000</v>
      </c>
      <c r="Q90" s="19" t="n">
        <v>64000</v>
      </c>
      <c r="R90" s="9"/>
      <c r="S90" s="9"/>
      <c r="T90" s="9"/>
    </row>
    <row collapsed="false" customFormat="false" customHeight="false" hidden="false" ht="30" outlineLevel="0" r="91">
      <c r="A91" s="7" t="s">
        <v>296</v>
      </c>
      <c r="B91" s="7" t="s">
        <v>297</v>
      </c>
      <c r="C91" s="7" t="s">
        <v>107</v>
      </c>
      <c r="D91" s="7" t="n">
        <v>31142790</v>
      </c>
      <c r="E91" s="7" t="s">
        <v>23</v>
      </c>
      <c r="F91" s="7" t="n">
        <v>183117</v>
      </c>
      <c r="G91" s="7" t="n">
        <v>3555</v>
      </c>
      <c r="H91" s="7"/>
      <c r="I91" s="7"/>
      <c r="J91" s="14" t="n">
        <v>16.4</v>
      </c>
      <c r="K91" s="7" t="n">
        <v>25</v>
      </c>
      <c r="L91" s="8" t="n">
        <f aca="false">J91/K91</f>
        <v>0.656</v>
      </c>
      <c r="M91" s="7" t="n">
        <f aca="false">25*143</f>
        <v>3575</v>
      </c>
      <c r="N91" s="8" t="n">
        <f aca="false">L91*M91</f>
        <v>2345.2</v>
      </c>
      <c r="O91" s="7"/>
      <c r="P91" s="9"/>
      <c r="Q91" s="9"/>
      <c r="R91" s="9"/>
      <c r="S91" s="9"/>
      <c r="T91" s="9"/>
    </row>
    <row collapsed="false" customFormat="false" customHeight="false" hidden="false" ht="30" outlineLevel="0" r="92">
      <c r="A92" s="7" t="s">
        <v>298</v>
      </c>
      <c r="B92" s="7" t="s">
        <v>299</v>
      </c>
      <c r="C92" s="7" t="s">
        <v>107</v>
      </c>
      <c r="D92" s="7" t="s">
        <v>300</v>
      </c>
      <c r="E92" s="7" t="s">
        <v>23</v>
      </c>
      <c r="F92" s="7" t="n">
        <v>722095</v>
      </c>
      <c r="G92" s="7" t="n">
        <v>10146</v>
      </c>
      <c r="H92" s="7"/>
      <c r="I92" s="7"/>
      <c r="J92" s="14" t="n">
        <v>17.64</v>
      </c>
      <c r="K92" s="7" t="n">
        <v>168</v>
      </c>
      <c r="L92" s="8" t="n">
        <f aca="false">J92/K92</f>
        <v>0.105</v>
      </c>
      <c r="M92" s="7" t="n">
        <f aca="false">168*61</f>
        <v>10248</v>
      </c>
      <c r="N92" s="8" t="n">
        <f aca="false">L92*M92</f>
        <v>1076.04</v>
      </c>
      <c r="O92" s="7"/>
      <c r="P92" s="9"/>
      <c r="Q92" s="9"/>
      <c r="R92" s="9"/>
      <c r="S92" s="9"/>
      <c r="T92" s="9"/>
    </row>
    <row collapsed="false" customFormat="false" customHeight="false" hidden="false" ht="30" outlineLevel="0" r="93">
      <c r="A93" s="7" t="s">
        <v>301</v>
      </c>
      <c r="B93" s="7" t="s">
        <v>302</v>
      </c>
      <c r="C93" s="7" t="s">
        <v>169</v>
      </c>
      <c r="D93" s="7" t="n">
        <v>2036970</v>
      </c>
      <c r="E93" s="7" t="s">
        <v>23</v>
      </c>
      <c r="F93" s="7"/>
      <c r="G93" s="7" t="n">
        <v>17200</v>
      </c>
      <c r="H93" s="7"/>
      <c r="I93" s="7"/>
      <c r="J93" s="20" t="n">
        <v>45</v>
      </c>
      <c r="K93" s="11" t="n">
        <v>2000</v>
      </c>
      <c r="L93" s="8" t="n">
        <f aca="false">J93/K93</f>
        <v>0.0225</v>
      </c>
      <c r="M93" s="11" t="n">
        <v>18000</v>
      </c>
      <c r="N93" s="8" t="n">
        <f aca="false">L93*M93</f>
        <v>405</v>
      </c>
      <c r="O93" s="7"/>
      <c r="P93" s="9"/>
      <c r="Q93" s="9"/>
      <c r="R93" s="9"/>
      <c r="S93" s="9"/>
      <c r="T93" s="9"/>
    </row>
    <row collapsed="false" customFormat="false" customHeight="false" hidden="false" ht="30" outlineLevel="0" r="94">
      <c r="A94" s="7" t="s">
        <v>303</v>
      </c>
      <c r="B94" s="7" t="s">
        <v>304</v>
      </c>
      <c r="C94" s="7" t="s">
        <v>36</v>
      </c>
      <c r="D94" s="7" t="s">
        <v>305</v>
      </c>
      <c r="E94" s="7" t="s">
        <v>23</v>
      </c>
      <c r="F94" s="7" t="n">
        <v>180613</v>
      </c>
      <c r="G94" s="7" t="n">
        <v>835</v>
      </c>
      <c r="H94" s="7"/>
      <c r="I94" s="7"/>
      <c r="J94" s="14" t="n">
        <v>28.65</v>
      </c>
      <c r="K94" s="7" t="n">
        <v>12</v>
      </c>
      <c r="L94" s="8" t="n">
        <f aca="false">J94/K94</f>
        <v>2.3875</v>
      </c>
      <c r="M94" s="7" t="n">
        <f aca="false">12*70</f>
        <v>840</v>
      </c>
      <c r="N94" s="8" t="n">
        <f aca="false">L94*M94</f>
        <v>2005.5</v>
      </c>
      <c r="O94" s="7"/>
      <c r="P94" s="9" t="n">
        <v>300</v>
      </c>
      <c r="Q94" s="9" t="n">
        <v>540</v>
      </c>
      <c r="R94" s="9"/>
      <c r="S94" s="9"/>
      <c r="T94" s="9"/>
    </row>
    <row collapsed="false" customFormat="false" customHeight="false" hidden="false" ht="30" outlineLevel="0" r="95">
      <c r="A95" s="7" t="s">
        <v>306</v>
      </c>
      <c r="B95" s="7" t="s">
        <v>307</v>
      </c>
      <c r="C95" s="7" t="s">
        <v>308</v>
      </c>
      <c r="D95" s="7" t="n">
        <v>10001</v>
      </c>
      <c r="E95" s="7" t="s">
        <v>23</v>
      </c>
      <c r="F95" s="7" t="n">
        <v>234125</v>
      </c>
      <c r="G95" s="7" t="n">
        <v>489</v>
      </c>
      <c r="H95" s="7"/>
      <c r="I95" s="7"/>
      <c r="J95" s="14" t="n">
        <v>26.08</v>
      </c>
      <c r="K95" s="7" t="n">
        <v>100</v>
      </c>
      <c r="L95" s="8" t="n">
        <f aca="false">J95/K95</f>
        <v>0.2608</v>
      </c>
      <c r="M95" s="7" t="n">
        <v>500</v>
      </c>
      <c r="N95" s="8" t="n">
        <f aca="false">L95*M95</f>
        <v>130.4</v>
      </c>
      <c r="O95" s="7"/>
      <c r="P95" s="9"/>
      <c r="Q95" s="9"/>
      <c r="R95" s="9"/>
      <c r="S95" s="9"/>
      <c r="T95" s="9"/>
    </row>
    <row collapsed="false" customFormat="false" customHeight="false" hidden="false" ht="30" outlineLevel="0" r="96">
      <c r="A96" s="7" t="s">
        <v>309</v>
      </c>
      <c r="B96" s="7" t="s">
        <v>310</v>
      </c>
      <c r="C96" s="7" t="s">
        <v>311</v>
      </c>
      <c r="D96" s="7" t="n">
        <v>530213000</v>
      </c>
      <c r="E96" s="7" t="s">
        <v>23</v>
      </c>
      <c r="F96" s="7" t="n">
        <v>533885</v>
      </c>
      <c r="G96" s="7" t="n">
        <v>10</v>
      </c>
      <c r="H96" s="7"/>
      <c r="I96" s="7"/>
      <c r="J96" s="14" t="n">
        <v>132.53</v>
      </c>
      <c r="K96" s="7" t="n">
        <v>12</v>
      </c>
      <c r="L96" s="8" t="n">
        <f aca="false">J96/K96</f>
        <v>11.0441666666667</v>
      </c>
      <c r="M96" s="7" t="n">
        <v>12</v>
      </c>
      <c r="N96" s="8" t="n">
        <f aca="false">L96*M96</f>
        <v>132.53</v>
      </c>
      <c r="O96" s="7"/>
      <c r="P96" s="9"/>
      <c r="Q96" s="9"/>
      <c r="R96" s="9"/>
      <c r="S96" s="9"/>
      <c r="T96" s="9"/>
    </row>
    <row collapsed="false" customFormat="false" customHeight="false" hidden="false" ht="30" outlineLevel="0" r="97">
      <c r="A97" s="7" t="s">
        <v>312</v>
      </c>
      <c r="B97" s="7" t="s">
        <v>313</v>
      </c>
      <c r="C97" s="7" t="s">
        <v>314</v>
      </c>
      <c r="D97" s="7" t="s">
        <v>315</v>
      </c>
      <c r="E97" s="7" t="s">
        <v>23</v>
      </c>
      <c r="F97" s="7" t="n">
        <v>475300</v>
      </c>
      <c r="G97" s="7" t="n">
        <v>12820</v>
      </c>
      <c r="H97" s="7"/>
      <c r="I97" s="7"/>
      <c r="J97" s="20" t="n">
        <v>213.6</v>
      </c>
      <c r="K97" s="11" t="n">
        <v>300</v>
      </c>
      <c r="L97" s="8" t="n">
        <f aca="false">J97/K97</f>
        <v>0.712</v>
      </c>
      <c r="M97" s="11" t="n">
        <f aca="false">300*43</f>
        <v>12900</v>
      </c>
      <c r="N97" s="8" t="n">
        <f aca="false">L97*M97</f>
        <v>9184.8</v>
      </c>
      <c r="O97" s="7"/>
      <c r="P97" s="9"/>
      <c r="Q97" s="9"/>
      <c r="R97" s="9"/>
      <c r="S97" s="9"/>
      <c r="T97" s="9"/>
    </row>
    <row collapsed="false" customFormat="false" customHeight="false" hidden="false" ht="45" outlineLevel="0" r="98">
      <c r="A98" s="7" t="s">
        <v>316</v>
      </c>
      <c r="B98" s="7" t="s">
        <v>317</v>
      </c>
      <c r="C98" s="7" t="s">
        <v>107</v>
      </c>
      <c r="D98" s="7" t="s">
        <v>318</v>
      </c>
      <c r="E98" s="7" t="s">
        <v>23</v>
      </c>
      <c r="F98" s="7" t="n">
        <v>277085</v>
      </c>
      <c r="G98" s="7" t="n">
        <v>678</v>
      </c>
      <c r="H98" s="7"/>
      <c r="I98" s="7"/>
      <c r="J98" s="14" t="n">
        <v>89.15</v>
      </c>
      <c r="K98" s="7" t="n">
        <v>10</v>
      </c>
      <c r="L98" s="8" t="n">
        <f aca="false">J98/K98</f>
        <v>8.915</v>
      </c>
      <c r="M98" s="7" t="n">
        <f aca="false">680</f>
        <v>680</v>
      </c>
      <c r="N98" s="8" t="n">
        <f aca="false">L98*M98</f>
        <v>6062.2</v>
      </c>
      <c r="O98" s="7"/>
      <c r="P98" s="9" t="n">
        <v>200</v>
      </c>
      <c r="Q98" s="9" t="n">
        <v>480</v>
      </c>
      <c r="R98" s="9"/>
      <c r="S98" s="9"/>
      <c r="T98" s="9"/>
    </row>
    <row collapsed="false" customFormat="false" customHeight="false" hidden="false" ht="30" outlineLevel="0" r="99">
      <c r="A99" s="7" t="s">
        <v>319</v>
      </c>
      <c r="B99" s="7" t="s">
        <v>320</v>
      </c>
      <c r="C99" s="7" t="s">
        <v>107</v>
      </c>
      <c r="D99" s="7" t="n">
        <v>851301</v>
      </c>
      <c r="E99" s="7" t="s">
        <v>23</v>
      </c>
      <c r="F99" s="7" t="n">
        <v>178743</v>
      </c>
      <c r="G99" s="7" t="n">
        <v>415</v>
      </c>
      <c r="H99" s="7"/>
      <c r="I99" s="7"/>
      <c r="J99" s="14" t="n">
        <v>89.56</v>
      </c>
      <c r="K99" s="7" t="n">
        <v>20</v>
      </c>
      <c r="L99" s="8" t="n">
        <f aca="false">J99/K99</f>
        <v>4.478</v>
      </c>
      <c r="M99" s="7" t="n">
        <f aca="false">20*21</f>
        <v>420</v>
      </c>
      <c r="N99" s="8" t="n">
        <f aca="false">L99*M99</f>
        <v>1880.76</v>
      </c>
      <c r="O99" s="7"/>
      <c r="P99" s="9"/>
      <c r="Q99" s="9"/>
      <c r="R99" s="9"/>
      <c r="S99" s="9"/>
      <c r="T99" s="9"/>
    </row>
    <row collapsed="false" customFormat="false" customHeight="false" hidden="false" ht="30" outlineLevel="0" r="100">
      <c r="A100" s="7" t="s">
        <v>321</v>
      </c>
      <c r="B100" s="7" t="s">
        <v>322</v>
      </c>
      <c r="C100" s="7" t="s">
        <v>36</v>
      </c>
      <c r="D100" s="7" t="s">
        <v>323</v>
      </c>
      <c r="E100" s="7" t="s">
        <v>23</v>
      </c>
      <c r="F100" s="7" t="n">
        <v>293646</v>
      </c>
      <c r="G100" s="7" t="n">
        <v>38475</v>
      </c>
      <c r="H100" s="7"/>
      <c r="I100" s="7"/>
      <c r="J100" s="21" t="n">
        <v>25.74</v>
      </c>
      <c r="K100" s="11" t="n">
        <v>100</v>
      </c>
      <c r="L100" s="8" t="n">
        <f aca="false">J100/K100</f>
        <v>0.2574</v>
      </c>
      <c r="M100" s="11" t="n">
        <f aca="false">100*385</f>
        <v>38500</v>
      </c>
      <c r="N100" s="8" t="n">
        <f aca="false">L100*M100</f>
        <v>9909.9</v>
      </c>
      <c r="O100" s="9"/>
      <c r="P100" s="9"/>
      <c r="Q100" s="9"/>
      <c r="R100" s="9"/>
      <c r="S100" s="9"/>
      <c r="T100" s="15" t="s">
        <v>324</v>
      </c>
    </row>
    <row collapsed="false" customFormat="false" customHeight="false" hidden="false" ht="30" outlineLevel="0" r="101">
      <c r="A101" s="7" t="s">
        <v>325</v>
      </c>
      <c r="B101" s="7" t="s">
        <v>326</v>
      </c>
      <c r="C101" s="7" t="s">
        <v>36</v>
      </c>
      <c r="D101" s="7" t="s">
        <v>327</v>
      </c>
      <c r="E101" s="7" t="s">
        <v>23</v>
      </c>
      <c r="F101" s="7" t="n">
        <v>237334</v>
      </c>
      <c r="G101" s="7" t="n">
        <v>47203</v>
      </c>
      <c r="H101" s="7"/>
      <c r="I101" s="7"/>
      <c r="J101" s="21" t="n">
        <v>35.73</v>
      </c>
      <c r="K101" s="11" t="n">
        <v>150</v>
      </c>
      <c r="L101" s="8" t="n">
        <f aca="false">J101/K101</f>
        <v>0.2382</v>
      </c>
      <c r="M101" s="11" t="n">
        <f aca="false">K101*315</f>
        <v>47250</v>
      </c>
      <c r="N101" s="8" t="n">
        <f aca="false">L101*M101</f>
        <v>11254.95</v>
      </c>
      <c r="O101" s="9"/>
      <c r="P101" s="19" t="n">
        <v>10000</v>
      </c>
      <c r="Q101" s="9"/>
      <c r="R101" s="9"/>
      <c r="S101" s="9"/>
      <c r="T101" s="15" t="s">
        <v>324</v>
      </c>
    </row>
    <row collapsed="false" customFormat="false" customHeight="false" hidden="false" ht="30" outlineLevel="0" r="102">
      <c r="A102" s="7" t="s">
        <v>328</v>
      </c>
      <c r="B102" s="7" t="s">
        <v>329</v>
      </c>
      <c r="C102" s="7" t="s">
        <v>36</v>
      </c>
      <c r="D102" s="7" t="s">
        <v>330</v>
      </c>
      <c r="E102" s="7" t="s">
        <v>23</v>
      </c>
      <c r="F102" s="7" t="n">
        <v>803185</v>
      </c>
      <c r="G102" s="7" t="n">
        <v>6</v>
      </c>
      <c r="H102" s="7"/>
      <c r="I102" s="7"/>
      <c r="J102" s="14" t="n">
        <v>20.38</v>
      </c>
      <c r="K102" s="7" t="n">
        <v>1</v>
      </c>
      <c r="L102" s="8" t="n">
        <f aca="false">J102/K102</f>
        <v>20.38</v>
      </c>
      <c r="M102" s="7" t="n">
        <v>6</v>
      </c>
      <c r="N102" s="8" t="n">
        <f aca="false">L102*M102</f>
        <v>122.28</v>
      </c>
      <c r="O102" s="7"/>
      <c r="P102" s="9"/>
      <c r="Q102" s="9"/>
      <c r="R102" s="9"/>
      <c r="S102" s="9"/>
      <c r="T102" s="9"/>
    </row>
    <row collapsed="false" customFormat="false" customHeight="false" hidden="false" ht="30" outlineLevel="0" r="103">
      <c r="A103" s="7" t="s">
        <v>331</v>
      </c>
      <c r="B103" s="7" t="s">
        <v>332</v>
      </c>
      <c r="C103" s="7" t="s">
        <v>276</v>
      </c>
      <c r="D103" s="7" t="s">
        <v>333</v>
      </c>
      <c r="E103" s="7" t="s">
        <v>23</v>
      </c>
      <c r="F103" s="7" t="n">
        <v>257007</v>
      </c>
      <c r="G103" s="7" t="n">
        <v>7</v>
      </c>
      <c r="H103" s="7"/>
      <c r="I103" s="7"/>
      <c r="J103" s="14" t="n">
        <v>31.37</v>
      </c>
      <c r="K103" s="7" t="n">
        <v>1</v>
      </c>
      <c r="L103" s="8" t="n">
        <f aca="false">J103/K103</f>
        <v>31.37</v>
      </c>
      <c r="M103" s="7" t="n">
        <v>7</v>
      </c>
      <c r="N103" s="8" t="n">
        <f aca="false">L103*M103</f>
        <v>219.59</v>
      </c>
      <c r="O103" s="7"/>
      <c r="P103" s="9"/>
      <c r="Q103" s="9"/>
      <c r="R103" s="9"/>
      <c r="S103" s="9"/>
      <c r="T103" s="9"/>
    </row>
    <row collapsed="false" customFormat="false" customHeight="false" hidden="false" ht="30" outlineLevel="0" r="104">
      <c r="A104" s="7" t="s">
        <v>334</v>
      </c>
      <c r="B104" s="7" t="s">
        <v>335</v>
      </c>
      <c r="C104" s="7" t="s">
        <v>36</v>
      </c>
      <c r="D104" s="7" t="s">
        <v>336</v>
      </c>
      <c r="E104" s="7" t="s">
        <v>23</v>
      </c>
      <c r="F104" s="7" t="n">
        <v>803189</v>
      </c>
      <c r="G104" s="7" t="n">
        <v>7</v>
      </c>
      <c r="H104" s="7"/>
      <c r="I104" s="7"/>
      <c r="J104" s="10" t="n">
        <v>20.38</v>
      </c>
      <c r="K104" s="11" t="n">
        <v>1</v>
      </c>
      <c r="L104" s="8" t="n">
        <f aca="false">J104/K104</f>
        <v>20.38</v>
      </c>
      <c r="M104" s="11" t="n">
        <v>7</v>
      </c>
      <c r="N104" s="8" t="n">
        <f aca="false">L104*M104</f>
        <v>142.66</v>
      </c>
      <c r="O104" s="7"/>
      <c r="P104" s="9"/>
      <c r="Q104" s="9"/>
      <c r="R104" s="9"/>
      <c r="S104" s="9"/>
      <c r="T104" s="9"/>
    </row>
    <row collapsed="false" customFormat="false" customHeight="false" hidden="false" ht="30" outlineLevel="0" r="105">
      <c r="A105" s="7" t="s">
        <v>337</v>
      </c>
      <c r="B105" s="7" t="s">
        <v>338</v>
      </c>
      <c r="C105" s="7" t="s">
        <v>101</v>
      </c>
      <c r="D105" s="7" t="s">
        <v>339</v>
      </c>
      <c r="E105" s="7" t="s">
        <v>23</v>
      </c>
      <c r="F105" s="7"/>
      <c r="G105" s="7" t="n">
        <v>18270</v>
      </c>
      <c r="H105" s="7"/>
      <c r="I105" s="7"/>
      <c r="J105" s="10" t="n">
        <v>48.24</v>
      </c>
      <c r="K105" s="11" t="n">
        <v>1200</v>
      </c>
      <c r="L105" s="8" t="n">
        <f aca="false">J105/K105</f>
        <v>0.0402</v>
      </c>
      <c r="M105" s="11" t="n">
        <f aca="false">1200*31</f>
        <v>37200</v>
      </c>
      <c r="N105" s="8" t="n">
        <f aca="false">L105*M105</f>
        <v>1495.44</v>
      </c>
      <c r="O105" s="9"/>
      <c r="P105" s="9" t="n">
        <v>6000</v>
      </c>
      <c r="Q105" s="19" t="n">
        <v>31200</v>
      </c>
      <c r="R105" s="9"/>
      <c r="S105" s="9"/>
      <c r="T105" s="9"/>
    </row>
    <row collapsed="false" customFormat="false" customHeight="false" hidden="false" ht="30" outlineLevel="0" r="106">
      <c r="A106" s="7" t="s">
        <v>340</v>
      </c>
      <c r="B106" s="7" t="s">
        <v>341</v>
      </c>
      <c r="C106" s="7" t="s">
        <v>36</v>
      </c>
      <c r="D106" s="7" t="n">
        <v>22122000</v>
      </c>
      <c r="E106" s="7" t="s">
        <v>23</v>
      </c>
      <c r="F106" s="7" t="n">
        <v>446029</v>
      </c>
      <c r="G106" s="7" t="n">
        <v>67120</v>
      </c>
      <c r="H106" s="7"/>
      <c r="I106" s="7"/>
      <c r="J106" s="14" t="n">
        <v>42</v>
      </c>
      <c r="K106" s="7" t="n">
        <v>8000</v>
      </c>
      <c r="L106" s="8" t="n">
        <f aca="false">J106/K106</f>
        <v>0.00525</v>
      </c>
      <c r="M106" s="7" t="n">
        <f aca="false">8000*9</f>
        <v>72000</v>
      </c>
      <c r="N106" s="8" t="n">
        <f aca="false">L106*M106</f>
        <v>378</v>
      </c>
      <c r="O106" s="7"/>
      <c r="P106" s="9"/>
      <c r="Q106" s="9"/>
      <c r="R106" s="9"/>
      <c r="S106" s="9"/>
      <c r="T106" s="9"/>
    </row>
    <row collapsed="false" customFormat="false" customHeight="false" hidden="false" ht="45" outlineLevel="0" r="107">
      <c r="A107" s="7" t="s">
        <v>342</v>
      </c>
      <c r="B107" s="7" t="s">
        <v>343</v>
      </c>
      <c r="C107" s="7" t="s">
        <v>36</v>
      </c>
      <c r="D107" s="7" t="n">
        <v>44122000</v>
      </c>
      <c r="E107" s="7" t="s">
        <v>23</v>
      </c>
      <c r="F107" s="7" t="n">
        <v>440343</v>
      </c>
      <c r="G107" s="7" t="n">
        <v>168048</v>
      </c>
      <c r="H107" s="7"/>
      <c r="I107" s="7"/>
      <c r="J107" s="14" t="n">
        <v>43.2</v>
      </c>
      <c r="K107" s="7" t="n">
        <v>2000</v>
      </c>
      <c r="L107" s="8" t="n">
        <f aca="false">J107/K107</f>
        <v>0.0216</v>
      </c>
      <c r="M107" s="7" t="n">
        <f aca="false">2000*84</f>
        <v>168000</v>
      </c>
      <c r="N107" s="8" t="n">
        <f aca="false">L107*M107</f>
        <v>3628.8</v>
      </c>
      <c r="O107" s="7"/>
      <c r="P107" s="19" t="n">
        <v>30000</v>
      </c>
      <c r="Q107" s="19" t="n">
        <v>138000</v>
      </c>
      <c r="R107" s="9"/>
      <c r="S107" s="9"/>
      <c r="T107" s="9"/>
    </row>
    <row collapsed="false" customFormat="false" customHeight="false" hidden="false" ht="30" outlineLevel="0" r="108">
      <c r="A108" s="7" t="s">
        <v>344</v>
      </c>
      <c r="B108" s="7" t="s">
        <v>345</v>
      </c>
      <c r="C108" s="7" t="s">
        <v>36</v>
      </c>
      <c r="D108" s="7" t="s">
        <v>346</v>
      </c>
      <c r="E108" s="7" t="s">
        <v>23</v>
      </c>
      <c r="F108" s="7" t="n">
        <v>281500</v>
      </c>
      <c r="G108" s="7" t="n">
        <v>21710</v>
      </c>
      <c r="H108" s="7"/>
      <c r="I108" s="7"/>
      <c r="J108" s="14" t="n">
        <v>60.46</v>
      </c>
      <c r="K108" s="7" t="n">
        <v>200</v>
      </c>
      <c r="L108" s="8" t="n">
        <f aca="false">J108/K108</f>
        <v>0.3023</v>
      </c>
      <c r="M108" s="7" t="n">
        <f aca="false">200*109</f>
        <v>21800</v>
      </c>
      <c r="N108" s="8" t="n">
        <f aca="false">L108*M108</f>
        <v>6590.14</v>
      </c>
      <c r="O108" s="7"/>
      <c r="P108" s="9"/>
      <c r="Q108" s="9"/>
      <c r="R108" s="9"/>
      <c r="S108" s="9"/>
      <c r="T108" s="9"/>
    </row>
    <row collapsed="false" customFormat="false" customHeight="false" hidden="false" ht="30" outlineLevel="0" r="109">
      <c r="A109" s="7" t="s">
        <v>347</v>
      </c>
      <c r="B109" s="7" t="s">
        <v>348</v>
      </c>
      <c r="C109" s="7" t="s">
        <v>36</v>
      </c>
      <c r="D109" s="7" t="s">
        <v>349</v>
      </c>
      <c r="E109" s="7" t="s">
        <v>23</v>
      </c>
      <c r="F109" s="7" t="n">
        <v>709920</v>
      </c>
      <c r="G109" s="7" t="n">
        <v>2400</v>
      </c>
      <c r="H109" s="7"/>
      <c r="I109" s="7"/>
      <c r="J109" s="14" t="n">
        <v>21.96</v>
      </c>
      <c r="K109" s="7" t="n">
        <v>200</v>
      </c>
      <c r="L109" s="8" t="n">
        <f aca="false">J109/K109</f>
        <v>0.1098</v>
      </c>
      <c r="M109" s="7" t="n">
        <f aca="false">200*12</f>
        <v>2400</v>
      </c>
      <c r="N109" s="8" t="n">
        <f aca="false">L109*M109</f>
        <v>263.52</v>
      </c>
      <c r="O109" s="7"/>
      <c r="P109" s="9"/>
      <c r="Q109" s="9"/>
      <c r="R109" s="9"/>
      <c r="S109" s="9"/>
      <c r="T109" s="9"/>
    </row>
    <row collapsed="false" customFormat="false" customHeight="false" hidden="false" ht="30" outlineLevel="0" r="110">
      <c r="A110" s="7" t="s">
        <v>350</v>
      </c>
      <c r="B110" s="7" t="s">
        <v>351</v>
      </c>
      <c r="C110" s="7" t="s">
        <v>352</v>
      </c>
      <c r="D110" s="7" t="s">
        <v>353</v>
      </c>
      <c r="E110" s="7" t="s">
        <v>23</v>
      </c>
      <c r="F110" s="7"/>
      <c r="G110" s="7" t="n">
        <v>15</v>
      </c>
      <c r="H110" s="7"/>
      <c r="I110" s="7"/>
      <c r="J110" s="14" t="n">
        <v>6.7</v>
      </c>
      <c r="K110" s="7" t="n">
        <v>1</v>
      </c>
      <c r="L110" s="8" t="n">
        <f aca="false">J110/K110</f>
        <v>6.7</v>
      </c>
      <c r="M110" s="7" t="n">
        <v>15</v>
      </c>
      <c r="N110" s="8" t="n">
        <f aca="false">L110*M110</f>
        <v>100.5</v>
      </c>
      <c r="O110" s="7"/>
      <c r="P110" s="9"/>
      <c r="Q110" s="9"/>
      <c r="R110" s="9"/>
      <c r="S110" s="9"/>
      <c r="T110" s="15" t="s">
        <v>354</v>
      </c>
    </row>
    <row collapsed="false" customFormat="false" customHeight="false" hidden="false" ht="30" outlineLevel="0" r="111">
      <c r="A111" s="7" t="s">
        <v>355</v>
      </c>
      <c r="B111" s="7" t="s">
        <v>356</v>
      </c>
      <c r="C111" s="7" t="s">
        <v>36</v>
      </c>
      <c r="D111" s="7" t="s">
        <v>357</v>
      </c>
      <c r="E111" s="7" t="s">
        <v>23</v>
      </c>
      <c r="F111" s="7" t="n">
        <v>457629</v>
      </c>
      <c r="G111" s="7" t="n">
        <v>176</v>
      </c>
      <c r="H111" s="7"/>
      <c r="I111" s="7"/>
      <c r="J111" s="20" t="n">
        <v>72.24</v>
      </c>
      <c r="K111" s="7" t="n">
        <v>12</v>
      </c>
      <c r="L111" s="8" t="n">
        <f aca="false">J111/K111</f>
        <v>6.02</v>
      </c>
      <c r="M111" s="7" t="n">
        <f aca="false">12*15</f>
        <v>180</v>
      </c>
      <c r="N111" s="8" t="n">
        <f aca="false">L111*M111</f>
        <v>1083.6</v>
      </c>
      <c r="O111" s="7"/>
      <c r="P111" s="9" t="n">
        <v>30</v>
      </c>
      <c r="Q111" s="9" t="n">
        <v>146</v>
      </c>
      <c r="R111" s="9"/>
      <c r="S111" s="9"/>
      <c r="T111" s="9"/>
    </row>
    <row collapsed="false" customFormat="false" customHeight="false" hidden="false" ht="30" outlineLevel="0" r="112">
      <c r="A112" s="7" t="s">
        <v>358</v>
      </c>
      <c r="B112" s="7" t="s">
        <v>359</v>
      </c>
      <c r="C112" s="7" t="s">
        <v>36</v>
      </c>
      <c r="D112" s="7" t="s">
        <v>360</v>
      </c>
      <c r="E112" s="7" t="s">
        <v>23</v>
      </c>
      <c r="F112" s="7" t="n">
        <v>457627</v>
      </c>
      <c r="G112" s="7" t="n">
        <v>700</v>
      </c>
      <c r="H112" s="7"/>
      <c r="I112" s="7"/>
      <c r="J112" s="14" t="n">
        <v>81.19</v>
      </c>
      <c r="K112" s="7" t="n">
        <v>40</v>
      </c>
      <c r="L112" s="8" t="n">
        <f aca="false">J112/K112</f>
        <v>2.02975</v>
      </c>
      <c r="M112" s="7" t="n">
        <f aca="false">40*18</f>
        <v>720</v>
      </c>
      <c r="N112" s="8" t="n">
        <f aca="false">L112*M112</f>
        <v>1461.42</v>
      </c>
      <c r="O112" s="7"/>
      <c r="P112" s="9"/>
      <c r="Q112" s="9"/>
      <c r="R112" s="9"/>
      <c r="S112" s="9"/>
      <c r="T112" s="9"/>
    </row>
    <row collapsed="false" customFormat="false" customHeight="false" hidden="false" ht="30" outlineLevel="0" r="113">
      <c r="A113" s="7" t="s">
        <v>361</v>
      </c>
      <c r="B113" s="7" t="s">
        <v>362</v>
      </c>
      <c r="C113" s="7" t="s">
        <v>88</v>
      </c>
      <c r="D113" s="7" t="s">
        <v>363</v>
      </c>
      <c r="E113" s="7" t="s">
        <v>23</v>
      </c>
      <c r="F113" s="7" t="n">
        <v>178022</v>
      </c>
      <c r="G113" s="7" t="n">
        <v>3047</v>
      </c>
      <c r="H113" s="7"/>
      <c r="I113" s="7"/>
      <c r="J113" s="14" t="n">
        <v>33.26</v>
      </c>
      <c r="K113" s="7" t="n">
        <v>50</v>
      </c>
      <c r="L113" s="8" t="n">
        <f aca="false">J113/K113</f>
        <v>0.6652</v>
      </c>
      <c r="M113" s="7" t="n">
        <f aca="false">50*61</f>
        <v>3050</v>
      </c>
      <c r="N113" s="8" t="n">
        <f aca="false">L113*M113</f>
        <v>2028.86</v>
      </c>
      <c r="O113" s="7"/>
      <c r="P113" s="9" t="n">
        <v>1000</v>
      </c>
      <c r="Q113" s="9" t="n">
        <v>2050</v>
      </c>
      <c r="R113" s="9"/>
      <c r="S113" s="9"/>
      <c r="T113" s="9"/>
    </row>
    <row collapsed="false" customFormat="false" customHeight="false" hidden="false" ht="30" outlineLevel="0" r="114">
      <c r="A114" s="7" t="s">
        <v>364</v>
      </c>
      <c r="B114" s="7" t="s">
        <v>365</v>
      </c>
      <c r="C114" s="7" t="s">
        <v>101</v>
      </c>
      <c r="D114" s="7" t="n">
        <v>1666204</v>
      </c>
      <c r="E114" s="7" t="s">
        <v>23</v>
      </c>
      <c r="F114" s="22" t="n">
        <v>649121</v>
      </c>
      <c r="G114" s="7" t="n">
        <v>6305</v>
      </c>
      <c r="H114" s="7"/>
      <c r="I114" s="7"/>
      <c r="J114" s="14" t="n">
        <v>28.72</v>
      </c>
      <c r="K114" s="7" t="n">
        <v>50</v>
      </c>
      <c r="L114" s="8" t="n">
        <f aca="false">J114/K114</f>
        <v>0.5744</v>
      </c>
      <c r="M114" s="7" t="n">
        <f aca="false">50*126</f>
        <v>6300</v>
      </c>
      <c r="N114" s="8" t="n">
        <f aca="false">L114*M114</f>
        <v>3618.72</v>
      </c>
      <c r="O114" s="7"/>
      <c r="P114" s="9"/>
      <c r="Q114" s="9"/>
      <c r="R114" s="9"/>
      <c r="S114" s="9"/>
      <c r="T114" s="9"/>
    </row>
    <row collapsed="false" customFormat="false" customHeight="false" hidden="false" ht="30" outlineLevel="0" r="115">
      <c r="A115" s="7" t="s">
        <v>366</v>
      </c>
      <c r="B115" s="7" t="s">
        <v>367</v>
      </c>
      <c r="C115" s="7" t="s">
        <v>179</v>
      </c>
      <c r="D115" s="7" t="s">
        <v>368</v>
      </c>
      <c r="E115" s="7" t="s">
        <v>23</v>
      </c>
      <c r="F115" s="7" t="n">
        <v>687449</v>
      </c>
      <c r="G115" s="7" t="n">
        <v>603</v>
      </c>
      <c r="H115" s="7"/>
      <c r="I115" s="7"/>
      <c r="J115" s="14" t="n">
        <v>21.31</v>
      </c>
      <c r="K115" s="7" t="n">
        <v>50</v>
      </c>
      <c r="L115" s="8" t="n">
        <f aca="false">J115/K115</f>
        <v>0.4262</v>
      </c>
      <c r="M115" s="7" t="n">
        <f aca="false">50*13</f>
        <v>650</v>
      </c>
      <c r="N115" s="8" t="n">
        <f aca="false">L115*M115</f>
        <v>277.03</v>
      </c>
      <c r="O115" s="7"/>
      <c r="P115" s="9"/>
      <c r="Q115" s="9"/>
      <c r="R115" s="9"/>
      <c r="S115" s="9"/>
      <c r="T115" s="9"/>
    </row>
    <row collapsed="false" customFormat="false" customHeight="false" hidden="false" ht="30" outlineLevel="0" r="116">
      <c r="A116" s="7" t="s">
        <v>369</v>
      </c>
      <c r="B116" s="7" t="s">
        <v>370</v>
      </c>
      <c r="C116" s="7" t="s">
        <v>161</v>
      </c>
      <c r="D116" s="7" t="n">
        <v>25402</v>
      </c>
      <c r="E116" s="7" t="s">
        <v>23</v>
      </c>
      <c r="F116" s="7" t="n">
        <v>348520</v>
      </c>
      <c r="G116" s="7" t="n">
        <v>2066</v>
      </c>
      <c r="H116" s="7"/>
      <c r="I116" s="7"/>
      <c r="J116" s="14" t="n">
        <v>45.35</v>
      </c>
      <c r="K116" s="7" t="n">
        <v>50</v>
      </c>
      <c r="L116" s="8" t="n">
        <f aca="false">J116/K116</f>
        <v>0.907</v>
      </c>
      <c r="M116" s="7" t="n">
        <f aca="false">50*42</f>
        <v>2100</v>
      </c>
      <c r="N116" s="8" t="n">
        <f aca="false">L116*M116</f>
        <v>1904.7</v>
      </c>
      <c r="O116" s="7"/>
      <c r="P116" s="9"/>
      <c r="Q116" s="9"/>
      <c r="R116" s="9"/>
      <c r="S116" s="9"/>
      <c r="T116" s="9"/>
    </row>
    <row collapsed="false" customFormat="false" customHeight="false" hidden="false" ht="30" outlineLevel="0" r="117">
      <c r="A117" s="7" t="s">
        <v>371</v>
      </c>
      <c r="B117" s="7" t="s">
        <v>372</v>
      </c>
      <c r="C117" s="7" t="s">
        <v>36</v>
      </c>
      <c r="D117" s="7" t="s">
        <v>373</v>
      </c>
      <c r="E117" s="7" t="s">
        <v>23</v>
      </c>
      <c r="F117" s="7" t="n">
        <v>455538</v>
      </c>
      <c r="G117" s="7" t="n">
        <v>422</v>
      </c>
      <c r="H117" s="7"/>
      <c r="I117" s="7"/>
      <c r="J117" s="14" t="n">
        <v>108.12</v>
      </c>
      <c r="K117" s="7" t="n">
        <v>72</v>
      </c>
      <c r="L117" s="8" t="n">
        <f aca="false">J117/K117</f>
        <v>1.50166666666667</v>
      </c>
      <c r="M117" s="7" t="n">
        <f aca="false">72*6</f>
        <v>432</v>
      </c>
      <c r="N117" s="8" t="n">
        <f aca="false">L117*M117</f>
        <v>648.72</v>
      </c>
      <c r="O117" s="7"/>
      <c r="P117" s="9"/>
      <c r="Q117" s="9"/>
      <c r="R117" s="9"/>
      <c r="S117" s="9"/>
      <c r="T117" s="9"/>
    </row>
    <row collapsed="false" customFormat="false" customHeight="false" hidden="false" ht="45" outlineLevel="0" r="118">
      <c r="A118" s="7" t="s">
        <v>374</v>
      </c>
      <c r="B118" s="7" t="s">
        <v>375</v>
      </c>
      <c r="C118" s="7" t="s">
        <v>126</v>
      </c>
      <c r="D118" s="7" t="n">
        <v>371001</v>
      </c>
      <c r="E118" s="7" t="s">
        <v>23</v>
      </c>
      <c r="F118" s="7" t="n">
        <v>371001</v>
      </c>
      <c r="G118" s="7" t="n">
        <v>1800</v>
      </c>
      <c r="H118" s="7"/>
      <c r="I118" s="7"/>
      <c r="J118" s="14" t="n">
        <v>32.86</v>
      </c>
      <c r="K118" s="7" t="n">
        <v>100</v>
      </c>
      <c r="L118" s="8" t="n">
        <f aca="false">J118/K118</f>
        <v>0.3286</v>
      </c>
      <c r="M118" s="7" t="n">
        <v>1800</v>
      </c>
      <c r="N118" s="8" t="n">
        <f aca="false">L118*M118</f>
        <v>591.48</v>
      </c>
      <c r="O118" s="7"/>
      <c r="P118" s="9" t="n">
        <v>400</v>
      </c>
      <c r="Q118" s="9" t="n">
        <v>1200</v>
      </c>
      <c r="R118" s="9"/>
      <c r="S118" s="9"/>
      <c r="T118" s="9"/>
    </row>
    <row collapsed="false" customFormat="false" customHeight="false" hidden="false" ht="45" outlineLevel="0" r="119">
      <c r="A119" s="7" t="s">
        <v>376</v>
      </c>
      <c r="B119" s="7" t="s">
        <v>377</v>
      </c>
      <c r="C119" s="7" t="s">
        <v>36</v>
      </c>
      <c r="D119" s="7" t="n">
        <v>732284</v>
      </c>
      <c r="E119" s="7" t="s">
        <v>23</v>
      </c>
      <c r="F119" s="7" t="n">
        <v>508755</v>
      </c>
      <c r="G119" s="7" t="n">
        <v>34</v>
      </c>
      <c r="H119" s="7" t="s">
        <v>378</v>
      </c>
      <c r="I119" s="7"/>
      <c r="J119" s="14" t="n">
        <v>5.13</v>
      </c>
      <c r="K119" s="7" t="n">
        <v>1</v>
      </c>
      <c r="L119" s="8" t="n">
        <f aca="false">J119/K119</f>
        <v>5.13</v>
      </c>
      <c r="M119" s="7" t="n">
        <v>34</v>
      </c>
      <c r="N119" s="8" t="n">
        <f aca="false">L119*M119</f>
        <v>174.42</v>
      </c>
      <c r="O119" s="7"/>
      <c r="P119" s="9"/>
      <c r="Q119" s="9"/>
      <c r="R119" s="9"/>
      <c r="S119" s="9"/>
      <c r="T119" s="15" t="s">
        <v>379</v>
      </c>
    </row>
    <row collapsed="false" customFormat="false" customHeight="false" hidden="false" ht="30" outlineLevel="0" r="120">
      <c r="A120" s="7" t="s">
        <v>380</v>
      </c>
      <c r="B120" s="7" t="s">
        <v>381</v>
      </c>
      <c r="C120" s="7" t="s">
        <v>36</v>
      </c>
      <c r="D120" s="7" t="s">
        <v>382</v>
      </c>
      <c r="E120" s="7" t="s">
        <v>23</v>
      </c>
      <c r="F120" s="7" t="n">
        <v>484942</v>
      </c>
      <c r="G120" s="7" t="n">
        <v>24309</v>
      </c>
      <c r="H120" s="7"/>
      <c r="I120" s="7"/>
      <c r="J120" s="14" t="n">
        <v>44.8</v>
      </c>
      <c r="K120" s="7" t="n">
        <v>5000</v>
      </c>
      <c r="L120" s="8" t="n">
        <f aca="false">J120/K120</f>
        <v>0.00896</v>
      </c>
      <c r="M120" s="7" t="n">
        <f aca="false">5000*5</f>
        <v>25000</v>
      </c>
      <c r="N120" s="8" t="n">
        <f aca="false">L120*M120</f>
        <v>224</v>
      </c>
      <c r="O120" s="7"/>
      <c r="P120" s="9"/>
      <c r="Q120" s="9"/>
      <c r="R120" s="9"/>
      <c r="S120" s="9"/>
      <c r="T120" s="9"/>
    </row>
    <row collapsed="false" customFormat="false" customHeight="false" hidden="false" ht="30" outlineLevel="0" r="121">
      <c r="A121" s="7" t="s">
        <v>383</v>
      </c>
      <c r="B121" s="7" t="s">
        <v>384</v>
      </c>
      <c r="C121" s="7" t="s">
        <v>36</v>
      </c>
      <c r="D121" s="7" t="s">
        <v>385</v>
      </c>
      <c r="E121" s="7" t="s">
        <v>23</v>
      </c>
      <c r="F121" s="7" t="n">
        <v>520569</v>
      </c>
      <c r="G121" s="7" t="n">
        <v>1007</v>
      </c>
      <c r="H121" s="7"/>
      <c r="I121" s="7"/>
      <c r="J121" s="14" t="n">
        <v>10.19</v>
      </c>
      <c r="K121" s="7" t="n">
        <v>25</v>
      </c>
      <c r="L121" s="8" t="n">
        <f aca="false">J121/K121</f>
        <v>0.4076</v>
      </c>
      <c r="M121" s="7" t="n">
        <f aca="false">25*41</f>
        <v>1025</v>
      </c>
      <c r="N121" s="8" t="n">
        <f aca="false">L121*M121</f>
        <v>417.79</v>
      </c>
      <c r="O121" s="7"/>
      <c r="P121" s="9"/>
      <c r="Q121" s="9"/>
      <c r="R121" s="9"/>
      <c r="S121" s="9"/>
      <c r="T121" s="9"/>
    </row>
    <row collapsed="false" customFormat="false" customHeight="false" hidden="false" ht="30" outlineLevel="0" r="122">
      <c r="A122" s="7" t="s">
        <v>386</v>
      </c>
      <c r="B122" s="7" t="s">
        <v>387</v>
      </c>
      <c r="C122" s="7" t="s">
        <v>36</v>
      </c>
      <c r="D122" s="7" t="s">
        <v>388</v>
      </c>
      <c r="E122" s="7" t="s">
        <v>23</v>
      </c>
      <c r="F122" s="7" t="n">
        <v>277863</v>
      </c>
      <c r="G122" s="7" t="n">
        <v>22896</v>
      </c>
      <c r="H122" s="7"/>
      <c r="I122" s="7"/>
      <c r="J122" s="14" t="n">
        <v>67.32</v>
      </c>
      <c r="K122" s="7" t="n">
        <v>80</v>
      </c>
      <c r="L122" s="8" t="n">
        <f aca="false">J122/K122</f>
        <v>0.8415</v>
      </c>
      <c r="M122" s="7" t="n">
        <f aca="false">80*287</f>
        <v>22960</v>
      </c>
      <c r="N122" s="8" t="n">
        <f aca="false">L122*M122</f>
        <v>19320.84</v>
      </c>
      <c r="O122" s="7"/>
      <c r="P122" s="9"/>
      <c r="Q122" s="9"/>
      <c r="R122" s="9"/>
      <c r="S122" s="9"/>
      <c r="T122" s="9"/>
    </row>
    <row collapsed="false" customFormat="false" customHeight="false" hidden="false" ht="45" outlineLevel="0" r="123">
      <c r="A123" s="7" t="s">
        <v>389</v>
      </c>
      <c r="B123" s="7" t="s">
        <v>390</v>
      </c>
      <c r="C123" s="7" t="s">
        <v>391</v>
      </c>
      <c r="D123" s="7" t="s">
        <v>392</v>
      </c>
      <c r="E123" s="7" t="s">
        <v>23</v>
      </c>
      <c r="F123" s="7" t="n">
        <v>242573</v>
      </c>
      <c r="G123" s="7" t="n">
        <v>88</v>
      </c>
      <c r="H123" s="7"/>
      <c r="I123" s="7"/>
      <c r="J123" s="14" t="n">
        <v>18.73</v>
      </c>
      <c r="K123" s="7" t="n">
        <v>10</v>
      </c>
      <c r="L123" s="8" t="n">
        <f aca="false">J123/K123</f>
        <v>1.873</v>
      </c>
      <c r="M123" s="7" t="n">
        <v>90</v>
      </c>
      <c r="N123" s="8" t="n">
        <f aca="false">L123*M123</f>
        <v>168.57</v>
      </c>
      <c r="O123" s="7"/>
      <c r="P123" s="9"/>
      <c r="Q123" s="9"/>
      <c r="R123" s="9"/>
      <c r="S123" s="9"/>
      <c r="T123" s="9"/>
    </row>
    <row collapsed="false" customFormat="false" customHeight="false" hidden="false" ht="45" outlineLevel="0" r="124">
      <c r="A124" s="7" t="s">
        <v>393</v>
      </c>
      <c r="B124" s="7" t="s">
        <v>394</v>
      </c>
      <c r="C124" s="7" t="s">
        <v>22</v>
      </c>
      <c r="D124" s="7" t="s">
        <v>395</v>
      </c>
      <c r="E124" s="7" t="s">
        <v>23</v>
      </c>
      <c r="F124" s="7" t="n">
        <v>286390</v>
      </c>
      <c r="G124" s="7" t="n">
        <v>57</v>
      </c>
      <c r="H124" s="7"/>
      <c r="I124" s="7"/>
      <c r="J124" s="14" t="n">
        <v>18.73</v>
      </c>
      <c r="K124" s="7" t="n">
        <v>10</v>
      </c>
      <c r="L124" s="8" t="n">
        <f aca="false">J124/K124</f>
        <v>1.873</v>
      </c>
      <c r="M124" s="7" t="n">
        <v>60</v>
      </c>
      <c r="N124" s="8" t="n">
        <f aca="false">L124*M124</f>
        <v>112.38</v>
      </c>
      <c r="O124" s="7"/>
      <c r="P124" s="9"/>
      <c r="Q124" s="9"/>
      <c r="R124" s="9"/>
      <c r="S124" s="9"/>
      <c r="T124" s="9"/>
    </row>
    <row collapsed="false" customFormat="false" customHeight="false" hidden="false" ht="60" outlineLevel="0" r="125">
      <c r="A125" s="7" t="s">
        <v>396</v>
      </c>
      <c r="B125" s="7" t="s">
        <v>397</v>
      </c>
      <c r="C125" s="7" t="s">
        <v>22</v>
      </c>
      <c r="D125" s="7" t="s">
        <v>398</v>
      </c>
      <c r="E125" s="7" t="s">
        <v>23</v>
      </c>
      <c r="F125" s="7" t="n">
        <v>242580</v>
      </c>
      <c r="G125" s="7" t="n">
        <v>22</v>
      </c>
      <c r="H125" s="7"/>
      <c r="I125" s="7"/>
      <c r="J125" s="14" t="n">
        <v>12.93</v>
      </c>
      <c r="K125" s="7" t="n">
        <v>10</v>
      </c>
      <c r="L125" s="8" t="n">
        <f aca="false">J125/K125</f>
        <v>1.293</v>
      </c>
      <c r="M125" s="7" t="n">
        <v>30</v>
      </c>
      <c r="N125" s="8" t="n">
        <f aca="false">L125*M125</f>
        <v>38.79</v>
      </c>
      <c r="O125" s="7"/>
      <c r="P125" s="9"/>
      <c r="Q125" s="9"/>
      <c r="R125" s="9"/>
      <c r="S125" s="9"/>
      <c r="T125" s="9"/>
    </row>
    <row collapsed="false" customFormat="false" customHeight="false" hidden="false" ht="60" outlineLevel="0" r="126">
      <c r="A126" s="7" t="s">
        <v>399</v>
      </c>
      <c r="B126" s="7" t="s">
        <v>400</v>
      </c>
      <c r="C126" s="7" t="s">
        <v>401</v>
      </c>
      <c r="D126" s="7" t="s">
        <v>402</v>
      </c>
      <c r="E126" s="7" t="s">
        <v>23</v>
      </c>
      <c r="F126" s="7" t="n">
        <v>242582</v>
      </c>
      <c r="G126" s="7" t="n">
        <v>3</v>
      </c>
      <c r="H126" s="7"/>
      <c r="I126" s="7"/>
      <c r="J126" s="14" t="n">
        <v>12.93</v>
      </c>
      <c r="K126" s="7" t="n">
        <v>10</v>
      </c>
      <c r="L126" s="8" t="n">
        <f aca="false">J126/K126</f>
        <v>1.293</v>
      </c>
      <c r="M126" s="7" t="n">
        <v>10</v>
      </c>
      <c r="N126" s="8" t="n">
        <f aca="false">L126*M126</f>
        <v>12.93</v>
      </c>
      <c r="O126" s="7"/>
      <c r="P126" s="9"/>
      <c r="Q126" s="9"/>
      <c r="R126" s="9"/>
      <c r="S126" s="9"/>
      <c r="T126" s="9"/>
    </row>
    <row collapsed="false" customFormat="false" customHeight="false" hidden="false" ht="60" outlineLevel="0" r="127">
      <c r="A127" s="7" t="s">
        <v>403</v>
      </c>
      <c r="B127" s="7" t="s">
        <v>404</v>
      </c>
      <c r="C127" s="7" t="s">
        <v>405</v>
      </c>
      <c r="D127" s="7" t="n">
        <v>510406</v>
      </c>
      <c r="E127" s="7" t="s">
        <v>23</v>
      </c>
      <c r="F127" s="7" t="n">
        <v>242581</v>
      </c>
      <c r="G127" s="7" t="n">
        <v>6</v>
      </c>
      <c r="H127" s="7"/>
      <c r="I127" s="7"/>
      <c r="J127" s="14" t="n">
        <v>12.93</v>
      </c>
      <c r="K127" s="7" t="n">
        <v>10</v>
      </c>
      <c r="L127" s="8" t="n">
        <f aca="false">J127/K127</f>
        <v>1.293</v>
      </c>
      <c r="M127" s="7" t="n">
        <v>10</v>
      </c>
      <c r="N127" s="8" t="n">
        <f aca="false">L127*M127</f>
        <v>12.93</v>
      </c>
      <c r="O127" s="7"/>
      <c r="P127" s="9"/>
      <c r="Q127" s="9"/>
      <c r="R127" s="9"/>
      <c r="S127" s="9"/>
      <c r="T127" s="9"/>
    </row>
    <row collapsed="false" customFormat="false" customHeight="false" hidden="false" ht="30" outlineLevel="0" r="128">
      <c r="A128" s="7" t="s">
        <v>406</v>
      </c>
      <c r="B128" s="7" t="s">
        <v>407</v>
      </c>
      <c r="C128" s="7" t="s">
        <v>36</v>
      </c>
      <c r="D128" s="7" t="s">
        <v>408</v>
      </c>
      <c r="E128" s="7" t="s">
        <v>23</v>
      </c>
      <c r="F128" s="7" t="n">
        <v>649123</v>
      </c>
      <c r="G128" s="7" t="n">
        <v>435</v>
      </c>
      <c r="H128" s="7"/>
      <c r="I128" s="7"/>
      <c r="J128" s="14" t="n">
        <v>42.53</v>
      </c>
      <c r="K128" s="7" t="n">
        <v>50</v>
      </c>
      <c r="L128" s="8" t="n">
        <f aca="false">J128/K128</f>
        <v>0.8506</v>
      </c>
      <c r="M128" s="7" t="n">
        <f aca="false">50*9</f>
        <v>450</v>
      </c>
      <c r="N128" s="8" t="n">
        <f aca="false">L128*M128</f>
        <v>382.77</v>
      </c>
      <c r="O128" s="7"/>
      <c r="P128" s="9"/>
      <c r="Q128" s="9"/>
      <c r="R128" s="9"/>
      <c r="S128" s="9"/>
      <c r="T128" s="9"/>
    </row>
    <row collapsed="false" customFormat="false" customHeight="false" hidden="false" ht="45" outlineLevel="0" r="129">
      <c r="A129" s="7" t="s">
        <v>409</v>
      </c>
      <c r="B129" s="7" t="s">
        <v>410</v>
      </c>
      <c r="C129" s="7" t="s">
        <v>36</v>
      </c>
      <c r="D129" s="7" t="s">
        <v>411</v>
      </c>
      <c r="E129" s="7" t="s">
        <v>23</v>
      </c>
      <c r="F129" s="7" t="n">
        <v>649122</v>
      </c>
      <c r="G129" s="7" t="n">
        <v>7851</v>
      </c>
      <c r="H129" s="7"/>
      <c r="I129" s="7"/>
      <c r="J129" s="14" t="n">
        <v>28.49</v>
      </c>
      <c r="K129" s="7" t="n">
        <v>50</v>
      </c>
      <c r="L129" s="8" t="n">
        <f aca="false">J129/K129</f>
        <v>0.5698</v>
      </c>
      <c r="M129" s="7" t="n">
        <f aca="false">50*157</f>
        <v>7850</v>
      </c>
      <c r="N129" s="8" t="n">
        <f aca="false">L129*M129</f>
        <v>4472.93</v>
      </c>
      <c r="O129" s="7"/>
      <c r="P129" s="9" t="n">
        <v>2000</v>
      </c>
      <c r="Q129" s="9" t="n">
        <v>5850</v>
      </c>
      <c r="R129" s="9"/>
      <c r="S129" s="9"/>
      <c r="T129" s="9"/>
    </row>
    <row collapsed="false" customFormat="false" customHeight="false" hidden="false" ht="30" outlineLevel="0" r="130">
      <c r="A130" s="7" t="s">
        <v>412</v>
      </c>
      <c r="B130" s="7" t="s">
        <v>413</v>
      </c>
      <c r="C130" s="7" t="s">
        <v>414</v>
      </c>
      <c r="D130" s="7" t="s">
        <v>415</v>
      </c>
      <c r="E130" s="7" t="s">
        <v>23</v>
      </c>
      <c r="F130" s="7" t="n">
        <v>508424</v>
      </c>
      <c r="G130" s="7" t="n">
        <v>130</v>
      </c>
      <c r="H130" s="7"/>
      <c r="I130" s="7"/>
      <c r="J130" s="14" t="n">
        <v>109.53</v>
      </c>
      <c r="K130" s="7" t="n">
        <v>12</v>
      </c>
      <c r="L130" s="8" t="n">
        <f aca="false">J130/K130</f>
        <v>9.1275</v>
      </c>
      <c r="M130" s="7" t="n">
        <f aca="false">12*11</f>
        <v>132</v>
      </c>
      <c r="N130" s="8" t="n">
        <f aca="false">L130*M130</f>
        <v>1204.83</v>
      </c>
      <c r="O130" s="7"/>
      <c r="P130" s="9"/>
      <c r="Q130" s="9"/>
      <c r="R130" s="9"/>
      <c r="S130" s="9"/>
      <c r="T130" s="9"/>
    </row>
    <row collapsed="false" customFormat="false" customHeight="false" hidden="false" ht="30" outlineLevel="0" r="131">
      <c r="A131" s="7" t="s">
        <v>416</v>
      </c>
      <c r="B131" s="7" t="s">
        <v>417</v>
      </c>
      <c r="C131" s="7" t="s">
        <v>36</v>
      </c>
      <c r="D131" s="7" t="s">
        <v>418</v>
      </c>
      <c r="E131" s="7" t="s">
        <v>23</v>
      </c>
      <c r="F131" s="7" t="n">
        <v>477563</v>
      </c>
      <c r="G131" s="7" t="n">
        <v>32379</v>
      </c>
      <c r="H131" s="7"/>
      <c r="I131" s="7"/>
      <c r="J131" s="14" t="n">
        <v>30.94</v>
      </c>
      <c r="K131" s="7" t="n">
        <v>300</v>
      </c>
      <c r="L131" s="8" t="n">
        <f aca="false">J131/K131</f>
        <v>0.103133333333333</v>
      </c>
      <c r="M131" s="7" t="n">
        <f aca="false">300*108</f>
        <v>32400</v>
      </c>
      <c r="N131" s="8" t="n">
        <f aca="false">L131*M131</f>
        <v>3341.52</v>
      </c>
      <c r="O131" s="7"/>
      <c r="P131" s="9"/>
      <c r="Q131" s="9"/>
      <c r="R131" s="9"/>
      <c r="S131" s="9"/>
      <c r="T131" s="9"/>
    </row>
    <row collapsed="false" customFormat="false" customHeight="false" hidden="false" ht="45" outlineLevel="0" r="132">
      <c r="A132" s="7" t="s">
        <v>419</v>
      </c>
      <c r="B132" s="7" t="s">
        <v>420</v>
      </c>
      <c r="C132" s="7" t="s">
        <v>36</v>
      </c>
      <c r="D132" s="7" t="n">
        <v>340001</v>
      </c>
      <c r="E132" s="7" t="s">
        <v>23</v>
      </c>
      <c r="F132" s="7" t="n">
        <v>505150</v>
      </c>
      <c r="G132" s="7" t="n">
        <v>1101</v>
      </c>
      <c r="H132" s="7"/>
      <c r="I132" s="7"/>
      <c r="J132" s="14" t="n">
        <v>173.4</v>
      </c>
      <c r="K132" s="7" t="n">
        <v>10</v>
      </c>
      <c r="L132" s="8" t="n">
        <f aca="false">J132/K132</f>
        <v>17.34</v>
      </c>
      <c r="M132" s="7" t="n">
        <f aca="false">10*111</f>
        <v>1110</v>
      </c>
      <c r="N132" s="8" t="n">
        <f aca="false">L132*M132</f>
        <v>19247.4</v>
      </c>
      <c r="O132" s="7"/>
      <c r="P132" s="9"/>
      <c r="Q132" s="9"/>
      <c r="R132" s="9"/>
      <c r="S132" s="9"/>
      <c r="T132" s="9"/>
    </row>
    <row collapsed="false" customFormat="true" customHeight="false" hidden="false" ht="15" outlineLevel="0" r="133" s="24">
      <c r="A133" s="11" t="s">
        <v>421</v>
      </c>
      <c r="B133" s="23" t="s">
        <v>422</v>
      </c>
      <c r="C133" s="23" t="n">
        <v>36</v>
      </c>
      <c r="D133" s="11"/>
      <c r="E133" s="11"/>
      <c r="F133" s="11"/>
      <c r="G133" s="23" t="n">
        <v>36</v>
      </c>
      <c r="H133" s="11"/>
      <c r="I133" s="11"/>
      <c r="J133" s="10" t="n">
        <v>123.21</v>
      </c>
      <c r="K133" s="11" t="n">
        <v>5</v>
      </c>
      <c r="L133" s="8" t="n">
        <f aca="false">J133/K133</f>
        <v>24.642</v>
      </c>
      <c r="M133" s="11" t="n">
        <f aca="false">5*8</f>
        <v>40</v>
      </c>
      <c r="N133" s="8" t="n">
        <f aca="false">L133*M133</f>
        <v>985.68</v>
      </c>
      <c r="O133" s="11"/>
      <c r="P133" s="23"/>
      <c r="Q133" s="23"/>
      <c r="R133" s="23"/>
      <c r="S133" s="23"/>
      <c r="T133" s="15" t="s">
        <v>423</v>
      </c>
    </row>
    <row collapsed="false" customFormat="true" customHeight="false" hidden="false" ht="15" outlineLevel="0" r="134" s="24">
      <c r="A134" s="11" t="s">
        <v>421</v>
      </c>
      <c r="B134" s="25" t="s">
        <v>424</v>
      </c>
      <c r="C134" s="23" t="n">
        <v>5000</v>
      </c>
      <c r="D134" s="11"/>
      <c r="E134" s="11"/>
      <c r="F134" s="11"/>
      <c r="G134" s="23" t="n">
        <v>5000</v>
      </c>
      <c r="H134" s="11"/>
      <c r="I134" s="11"/>
      <c r="J134" s="10" t="n">
        <v>19.2</v>
      </c>
      <c r="K134" s="11" t="n">
        <v>50</v>
      </c>
      <c r="L134" s="8" t="n">
        <f aca="false">J134/K134</f>
        <v>0.384</v>
      </c>
      <c r="M134" s="11" t="n">
        <v>5000</v>
      </c>
      <c r="N134" s="8" t="n">
        <f aca="false">L134*M134</f>
        <v>1920</v>
      </c>
      <c r="O134" s="11"/>
      <c r="P134" s="23"/>
      <c r="Q134" s="23"/>
      <c r="R134" s="23"/>
      <c r="S134" s="23"/>
      <c r="T134" s="15" t="s">
        <v>425</v>
      </c>
    </row>
    <row collapsed="false" customFormat="true" customHeight="false" hidden="false" ht="15" outlineLevel="0" r="135" s="24">
      <c r="A135" s="11" t="s">
        <v>421</v>
      </c>
      <c r="B135" s="26" t="s">
        <v>426</v>
      </c>
      <c r="C135" s="23" t="n">
        <v>9000</v>
      </c>
      <c r="D135" s="11"/>
      <c r="E135" s="11"/>
      <c r="F135" s="11"/>
      <c r="G135" s="23" t="n">
        <v>9000</v>
      </c>
      <c r="H135" s="11"/>
      <c r="I135" s="11"/>
      <c r="J135" s="10" t="n">
        <v>21.46</v>
      </c>
      <c r="K135" s="11" t="n">
        <v>240</v>
      </c>
      <c r="L135" s="8" t="n">
        <f aca="false">J135/K135</f>
        <v>0.0894166666666667</v>
      </c>
      <c r="M135" s="11" t="n">
        <f aca="false">240*38</f>
        <v>9120</v>
      </c>
      <c r="N135" s="8" t="n">
        <f aca="false">L135*M135</f>
        <v>815.48</v>
      </c>
      <c r="O135" s="11"/>
      <c r="P135" s="23"/>
      <c r="Q135" s="23"/>
      <c r="R135" s="23"/>
      <c r="S135" s="23"/>
      <c r="T135" s="15" t="s">
        <v>427</v>
      </c>
    </row>
    <row collapsed="false" customFormat="true" customHeight="false" hidden="false" ht="15" outlineLevel="0" r="136" s="24">
      <c r="A136" s="11" t="s">
        <v>421</v>
      </c>
      <c r="B136" s="26" t="s">
        <v>428</v>
      </c>
      <c r="C136" s="23" t="n">
        <v>50</v>
      </c>
      <c r="D136" s="11"/>
      <c r="E136" s="11"/>
      <c r="F136" s="11"/>
      <c r="G136" s="23" t="n">
        <v>50</v>
      </c>
      <c r="H136" s="11"/>
      <c r="I136" s="11"/>
      <c r="J136" s="10" t="n">
        <v>66.21</v>
      </c>
      <c r="K136" s="11" t="n">
        <v>12</v>
      </c>
      <c r="L136" s="8" t="n">
        <f aca="false">J136/K136</f>
        <v>5.5175</v>
      </c>
      <c r="M136" s="11" t="n">
        <v>60</v>
      </c>
      <c r="N136" s="8" t="n">
        <f aca="false">L136*M136</f>
        <v>331.05</v>
      </c>
      <c r="O136" s="11"/>
      <c r="P136" s="23"/>
      <c r="Q136" s="23"/>
      <c r="R136" s="23"/>
      <c r="S136" s="23"/>
      <c r="T136" s="15" t="s">
        <v>429</v>
      </c>
    </row>
    <row collapsed="false" customFormat="true" customHeight="false" hidden="false" ht="15" outlineLevel="0" r="137" s="24">
      <c r="A137" s="11" t="s">
        <v>421</v>
      </c>
      <c r="B137" s="23" t="s">
        <v>430</v>
      </c>
      <c r="C137" s="23" t="n">
        <v>180</v>
      </c>
      <c r="D137" s="11"/>
      <c r="E137" s="11"/>
      <c r="F137" s="11"/>
      <c r="G137" s="23" t="n">
        <v>180</v>
      </c>
      <c r="H137" s="11"/>
      <c r="I137" s="11"/>
      <c r="J137" s="10" t="n">
        <v>140.62</v>
      </c>
      <c r="K137" s="11" t="n">
        <v>20</v>
      </c>
      <c r="L137" s="8" t="n">
        <f aca="false">J137/K137</f>
        <v>7.031</v>
      </c>
      <c r="M137" s="11" t="n">
        <f aca="false">20*9</f>
        <v>180</v>
      </c>
      <c r="N137" s="8" t="n">
        <f aca="false">L137*M137</f>
        <v>1265.58</v>
      </c>
      <c r="O137" s="11"/>
      <c r="P137" s="23"/>
      <c r="Q137" s="23"/>
      <c r="R137" s="23"/>
      <c r="S137" s="23"/>
      <c r="T137" s="15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2013-11-26T19:31:16.00Z</dcterms:created>
  <dc:creator>Jesse Greensapn</dc:creator>
  <cp:lastModifiedBy>Jesse Greensapn</cp:lastModifiedBy>
  <dcterms:modified xsi:type="dcterms:W3CDTF">2013-12-12T16:28:14.00Z</dcterms:modified>
  <cp:revision>0</cp:revision>
</cp:coreProperties>
</file>